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activeX/activeX34.xml" ContentType="application/vnd.ms-office.activeX+xml"/>
  <Override PartName="/xl/activeX/activeX34.bin" ContentType="application/vnd.ms-office.activeX"/>
  <Override PartName="/xl/drawings/drawing18.xml" ContentType="application/vnd.openxmlformats-officedocument.drawing+xml"/>
  <Override PartName="/xl/activeX/activeX35.xml" ContentType="application/vnd.ms-office.activeX+xml"/>
  <Override PartName="/xl/activeX/activeX35.bin" ContentType="application/vnd.ms-office.activeX"/>
  <Override PartName="/xl/drawings/drawing19.xml" ContentType="application/vnd.openxmlformats-officedocument.drawing+xml"/>
  <Override PartName="/xl/activeX/activeX36.xml" ContentType="application/vnd.ms-office.activeX+xml"/>
  <Override PartName="/xl/activeX/activeX3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Y:\MCST\FY2019\Hydrogen\NREL H2 Website\H2A\Version 3.2018 H2A Cases to Publish\"/>
    </mc:Choice>
  </mc:AlternateContent>
  <xr:revisionPtr revIDLastSave="0" documentId="13_ncr:1_{133B3D53-6BFC-4D12-A961-531A4C98FB25}" xr6:coauthVersionLast="38" xr6:coauthVersionMax="38" xr10:uidLastSave="{00000000-0000-0000-0000-000000000000}"/>
  <bookViews>
    <workbookView xWindow="0" yWindow="0" windowWidth="27860" windowHeight="9200" tabRatio="942"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 name="ProcessFlow - blank" sheetId="37" state="hidden" r:id="rId20"/>
    <sheet name="Description - blank" sheetId="38" state="hidden" r:id="rId21"/>
    <sheet name="Title - blank" sheetId="39" state="hidden" r:id="rId22"/>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Input_Sheet_Template!$E$102</definedName>
    <definedName name="acres">Input_Sheet_Template!$E$103</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Input_Sheet_Template!$E$158</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Input_Sheet_Template!$C$89</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Input_Sheet_Template!$E$99</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Input_Sheet_Template!$C$88</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Input_Sheet_Template!$F$79:$F$80</definedName>
    <definedName name="Dynamic_Feed_Total">Input_Sheet_Template!$F$73:$F$76</definedName>
    <definedName name="Dynamic_NonE_Byprod_Total">Input_Sheet_Template!$E$141:$E$142</definedName>
    <definedName name="Dynamic_NonE_Feed_Total">Input_Sheet_Template!$E$136:$E$141</definedName>
    <definedName name="Dynamic_Utilities_Total">Input_Sheet_Template!$F$76:$F$79</definedName>
    <definedName name="Energy_Feed_List">Lists!$K$12</definedName>
    <definedName name="Energy_Feed_Years">Lists!$K$14</definedName>
    <definedName name="Engin">Input_Sheet_Template!$E$93</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Input_Sheet_Template!#REF!</definedName>
    <definedName name="feedstockIndustrial_Natural_Gas_Price">Input_Sheet_Template!$D$75</definedName>
    <definedName name="feedstockIndustrial_Natural_Gas_Usage">Input_Sheet_Template!$E$75</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Input_Sheet_Template!$E$97</definedName>
    <definedName name="fixed">Input_Sheet_Template!$E$124</definedName>
    <definedName name="FTE_cost">Input_Sheet_Template!$E$112</definedName>
    <definedName name="FTEs">Input_Sheet_Template!$E$111</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Input_Sheet_Template!$E$113</definedName>
    <definedName name="land_cost">Input_Sheet_Template!$E$104</definedName>
    <definedName name="lb_to_kg">'Constants and Conversions'!$C$7</definedName>
    <definedName name="licensing">Input_Sheet_Template!$E$116</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Input_Sheet_Template!$E$120</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Input_Sheet_Template!$E$106</definedName>
    <definedName name="non_dep_infl">'Cash Flow Analysis'!$B$52</definedName>
    <definedName name="NPV">'Cash Flow Analysis'!$E$26</definedName>
    <definedName name="operator_profit">Input_Sheet_Template!$E$156</definedName>
    <definedName name="other_fees">Input_Sheet_Template!$E$122</definedName>
    <definedName name="other_fixed">Input_Sheet_Template!$E$123</definedName>
    <definedName name="Other_indirect">Input_Sheet_Template!$E$96</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Input_Sheet_Template!$E$115</definedName>
    <definedName name="overhead_rate">Input_Sheet_Template!$C$114</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Input_Sheet_Template!$E$98</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Input_Sheet_Template!$B$126:$G$163</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Input_Sheet_Template!$E$159</definedName>
    <definedName name="Proc_CO2_taxpYear">Input_Sheet_Template!$E$160</definedName>
    <definedName name="ProcEqpCap">'Plant Scaling'!$E$27</definedName>
    <definedName name="Process_cont">Input_Sheet_Template!$E$94</definedName>
    <definedName name="prod_maint">Input_Sheet_Template!$E$121</definedName>
    <definedName name="Project_cont">Input_Sheet_Template!$E$95</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Input_Sheet_Template!$E$119</definedName>
    <definedName name="replace_factor">Input_Sheet_Template!$C$154</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Input_Sheet_Template!$E$155</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Input_Sheet_Template!$C$88</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Input_Sheet_Template!$E$92</definedName>
    <definedName name="solidwaste_treat">Input_Sheet_Template!$E$153</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Input_Sheet_Template!$A$80</definedName>
    <definedName name="START_FEED">Input_Sheet_Template!$A$76</definedName>
    <definedName name="START_NONE_BYPROD">Input_Sheet_Template!$A$142</definedName>
    <definedName name="START_NONE_FEED">Input_Sheet_Template!$A$141</definedName>
    <definedName name="START_NONE_TOP">Input_Sheet_Template!$A$136</definedName>
    <definedName name="start_time">Input_Sheet_Template!$C$38</definedName>
    <definedName name="START_TOP">Input_Sheet_Template!$A$73</definedName>
    <definedName name="START_UTILITY">Input_Sheet_Template!$A$79</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Input_Sheet_Template!$E$157</definedName>
    <definedName name="tax_ins_rate">Input_Sheet_Template!$C$117</definedName>
    <definedName name="tax_insurance">Input_Sheet_Template!$E$118</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Input_Sheet_Template!$C$135</definedName>
    <definedName name="TMP_NonE_Feed">Input_Sheet_Template!$C$131</definedName>
    <definedName name="TMP_NonE_StartPrice">Input_Sheet_Template!$C$132</definedName>
    <definedName name="TMP_NonE_StartYrCost">Input_Sheet_Template!$C$134</definedName>
    <definedName name="TMP_NonE_Type">Input_Sheet_Template!$B$131</definedName>
    <definedName name="TMP_NonE_Usage">Input_Sheet_Template!$C$133</definedName>
    <definedName name="TMP_NonE_Usage_txt">Input_Sheet_Template!$B$132</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Input_Sheet_Template!$C$148</definedName>
    <definedName name="total_cap">Input_Sheet_Template!$C$108</definedName>
    <definedName name="Total_Energy_Byproduct_Cost">Input_Sheet_Template!$D$84</definedName>
    <definedName name="Total_Energy_Byproduct_Credit">Input_Sheet_Template!$F$84</definedName>
    <definedName name="Total_Energy_Feed_Cost">Input_Sheet_Template!$F$82</definedName>
    <definedName name="Total_Energy_Utilities_Cost">Input_Sheet_Template!$F$83</definedName>
    <definedName name="total_feedstock">Input_Sheet_Template!$C$146</definedName>
    <definedName name="total_non_energy_byproduct_credit">Input_Sheet_Template!$C$144</definedName>
    <definedName name="Total_Non_Energy_Feed_Cost">Input_Sheet_Template!$C$143</definedName>
    <definedName name="total_other_raw">Input_Sheet_Template!$E$151</definedName>
    <definedName name="total_tax_rate">Input_Sheet_Template!$C$55</definedName>
    <definedName name="total_utilities">Input_Sheet_Template!$C$147</definedName>
    <definedName name="total_var">Input_Sheet_Template!$E$163</definedName>
    <definedName name="upper_capacity_limit">'Plant Scaling'!$C$8</definedName>
    <definedName name="Upstream_CO2_tax">Input_Sheet_Template!$E$161</definedName>
    <definedName name="Upstream_CO2_taxpYear">Input_Sheet_Template!$E$162</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Input_Sheet_Template!$D$78</definedName>
    <definedName name="utilityIndustrial_Electricity_Usage">Input_Sheet_Template!$E$78</definedName>
    <definedName name="VAR_FEED_VALUES">Input_Sheet_Template!$B$65:$D$70</definedName>
    <definedName name="var_misc">Input_Sheet_Template!$E$150</definedName>
    <definedName name="VAR_NonE_FEED_VALUES">Input_Sheet_Template!$B$131:$D$135</definedName>
    <definedName name="waste_treat">Input_Sheet_Template!$E$152</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35" i="15" l="1"/>
  <c r="F134" i="15"/>
  <c r="F132" i="15"/>
  <c r="F131" i="15"/>
  <c r="B135" i="15"/>
  <c r="B134" i="15"/>
  <c r="B132" i="15"/>
  <c r="B131" i="15"/>
  <c r="A14" i="13" l="1"/>
  <c r="C141" i="12" l="1"/>
  <c r="CZ141" i="12" s="1"/>
  <c r="C140" i="12"/>
  <c r="CT140" i="12" s="1"/>
  <c r="C139" i="12"/>
  <c r="CV139" i="12" s="1"/>
  <c r="C138" i="12"/>
  <c r="CW138" i="12" s="1"/>
  <c r="C137" i="12"/>
  <c r="CV137" i="12" s="1"/>
  <c r="C136" i="12"/>
  <c r="CY136" i="12" s="1"/>
  <c r="C135" i="12"/>
  <c r="CU135" i="12" s="1"/>
  <c r="C134" i="12"/>
  <c r="CU134" i="12" s="1"/>
  <c r="C133" i="12"/>
  <c r="CX133" i="12" s="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B130" i="12"/>
  <c r="BE138" i="12" l="1"/>
  <c r="CD141" i="12"/>
  <c r="I140" i="12"/>
  <c r="M137" i="12"/>
  <c r="CL137" i="12"/>
  <c r="AI137" i="12"/>
  <c r="Q137" i="12"/>
  <c r="CW137" i="12"/>
  <c r="AO137" i="12"/>
  <c r="X138" i="12"/>
  <c r="AO140" i="12"/>
  <c r="BS135" i="12"/>
  <c r="AS137" i="12"/>
  <c r="AS138" i="12"/>
  <c r="BE140" i="12"/>
  <c r="BE137" i="12"/>
  <c r="BD138" i="12"/>
  <c r="BU140" i="12"/>
  <c r="BY137" i="12"/>
  <c r="I137" i="12"/>
  <c r="CE137" i="12"/>
  <c r="CT138" i="12"/>
  <c r="AO141" i="12"/>
  <c r="CZ135" i="12"/>
  <c r="S135" i="12"/>
  <c r="BN138" i="12"/>
  <c r="S140" i="12"/>
  <c r="CE140" i="12"/>
  <c r="S137" i="12"/>
  <c r="BG137" i="12"/>
  <c r="W135" i="12"/>
  <c r="AL136" i="12"/>
  <c r="Y137" i="12"/>
  <c r="BI137" i="12"/>
  <c r="M138" i="12"/>
  <c r="CA138" i="12"/>
  <c r="Y140" i="12"/>
  <c r="CK140" i="12"/>
  <c r="AG135" i="12"/>
  <c r="AW136" i="12"/>
  <c r="AC137" i="12"/>
  <c r="BO137" i="12"/>
  <c r="O138" i="12"/>
  <c r="CJ138" i="12"/>
  <c r="AI140" i="12"/>
  <c r="CU140" i="12"/>
  <c r="BA135" i="12"/>
  <c r="CC136" i="12"/>
  <c r="BI135" i="12"/>
  <c r="AK137" i="12"/>
  <c r="CC137" i="12"/>
  <c r="AI138" i="12"/>
  <c r="CU138" i="12"/>
  <c r="AY140" i="12"/>
  <c r="R141" i="12"/>
  <c r="CH135" i="12"/>
  <c r="BO140" i="12"/>
  <c r="BH141" i="12"/>
  <c r="J135" i="12"/>
  <c r="AT133" i="12"/>
  <c r="Y139" i="12"/>
  <c r="AU133" i="12"/>
  <c r="AR134" i="12"/>
  <c r="U135" i="12"/>
  <c r="AM135" i="12"/>
  <c r="BB135" i="12"/>
  <c r="BT135" i="12"/>
  <c r="CI135" i="12"/>
  <c r="O137" i="12"/>
  <c r="AJ137" i="12"/>
  <c r="BF137" i="12"/>
  <c r="CA137" i="12"/>
  <c r="AU138" i="12"/>
  <c r="CK138" i="12"/>
  <c r="N139" i="12"/>
  <c r="AA139" i="12"/>
  <c r="AN139" i="12"/>
  <c r="BA139" i="12"/>
  <c r="BM139" i="12"/>
  <c r="BZ139" i="12"/>
  <c r="CM139" i="12"/>
  <c r="CZ139" i="12"/>
  <c r="T140" i="12"/>
  <c r="AJ140" i="12"/>
  <c r="AZ140" i="12"/>
  <c r="BP140" i="12"/>
  <c r="CF140" i="12"/>
  <c r="CV140" i="12"/>
  <c r="T141" i="12"/>
  <c r="AP141" i="12"/>
  <c r="BM141" i="12"/>
  <c r="CF141" i="12"/>
  <c r="BL139" i="12"/>
  <c r="L134" i="12"/>
  <c r="BX134" i="12"/>
  <c r="BK133" i="12"/>
  <c r="M134" i="12"/>
  <c r="AS134" i="12"/>
  <c r="BY134" i="12"/>
  <c r="I135" i="12"/>
  <c r="V135" i="12"/>
  <c r="AN135" i="12"/>
  <c r="BC135" i="12"/>
  <c r="BU135" i="12"/>
  <c r="CO135" i="12"/>
  <c r="P139" i="12"/>
  <c r="AC139" i="12"/>
  <c r="AO139" i="12"/>
  <c r="BB139" i="12"/>
  <c r="BO139" i="12"/>
  <c r="CB139" i="12"/>
  <c r="CO139" i="12"/>
  <c r="V140" i="12"/>
  <c r="AL140" i="12"/>
  <c r="BB140" i="12"/>
  <c r="BR140" i="12"/>
  <c r="CH140" i="12"/>
  <c r="CX140" i="12"/>
  <c r="Y141" i="12"/>
  <c r="AR141" i="12"/>
  <c r="BN141" i="12"/>
  <c r="CK141" i="12"/>
  <c r="BQ134" i="12"/>
  <c r="AL139" i="12"/>
  <c r="BY139" i="12"/>
  <c r="CK139" i="12"/>
  <c r="T134" i="12"/>
  <c r="BW135" i="12"/>
  <c r="CP135" i="12"/>
  <c r="Q139" i="12"/>
  <c r="AD139" i="12"/>
  <c r="AQ139" i="12"/>
  <c r="BD139" i="12"/>
  <c r="BQ139" i="12"/>
  <c r="CC139" i="12"/>
  <c r="CP139" i="12"/>
  <c r="Z141" i="12"/>
  <c r="AW141" i="12"/>
  <c r="BP141" i="12"/>
  <c r="CL141" i="12"/>
  <c r="S139" i="12"/>
  <c r="AF139" i="12"/>
  <c r="AS139" i="12"/>
  <c r="BE139" i="12"/>
  <c r="BR139" i="12"/>
  <c r="CE139" i="12"/>
  <c r="CR139" i="12"/>
  <c r="K140" i="12"/>
  <c r="AA140" i="12"/>
  <c r="AQ140" i="12"/>
  <c r="BG140" i="12"/>
  <c r="BW140" i="12"/>
  <c r="CM140" i="12"/>
  <c r="I141" i="12"/>
  <c r="AB141" i="12"/>
  <c r="AX141" i="12"/>
  <c r="BU141" i="12"/>
  <c r="CN141" i="12"/>
  <c r="AK134" i="12"/>
  <c r="AY139" i="12"/>
  <c r="BR133" i="12"/>
  <c r="AO135" i="12"/>
  <c r="U134" i="12"/>
  <c r="CG134" i="12"/>
  <c r="K135" i="12"/>
  <c r="BJ135" i="12"/>
  <c r="BY135" i="12"/>
  <c r="O133" i="12"/>
  <c r="CA133" i="12"/>
  <c r="AB134" i="12"/>
  <c r="BH134" i="12"/>
  <c r="CN134" i="12"/>
  <c r="L135" i="12"/>
  <c r="AD135" i="12"/>
  <c r="AS135" i="12"/>
  <c r="BK135" i="12"/>
  <c r="CC135" i="12"/>
  <c r="CR135" i="12"/>
  <c r="CN136" i="12"/>
  <c r="Z137" i="12"/>
  <c r="AU137" i="12"/>
  <c r="BP137" i="12"/>
  <c r="CM137" i="12"/>
  <c r="Y138" i="12"/>
  <c r="BO138" i="12"/>
  <c r="H139" i="12"/>
  <c r="U139" i="12"/>
  <c r="AG139" i="12"/>
  <c r="AT139" i="12"/>
  <c r="BG139" i="12"/>
  <c r="BT139" i="12"/>
  <c r="CG139" i="12"/>
  <c r="CS139" i="12"/>
  <c r="L140" i="12"/>
  <c r="AB140" i="12"/>
  <c r="AR140" i="12"/>
  <c r="BH140" i="12"/>
  <c r="BX140" i="12"/>
  <c r="CN140" i="12"/>
  <c r="J141" i="12"/>
  <c r="AG141" i="12"/>
  <c r="AZ141" i="12"/>
  <c r="BV141" i="12"/>
  <c r="CS141" i="12"/>
  <c r="CW134" i="12"/>
  <c r="M139" i="12"/>
  <c r="CX139" i="12"/>
  <c r="AZ134" i="12"/>
  <c r="N133" i="12"/>
  <c r="AQ135" i="12"/>
  <c r="AE133" i="12"/>
  <c r="AC134" i="12"/>
  <c r="BI134" i="12"/>
  <c r="CO134" i="12"/>
  <c r="M135" i="12"/>
  <c r="AE135" i="12"/>
  <c r="AW135" i="12"/>
  <c r="BL135" i="12"/>
  <c r="CE135" i="12"/>
  <c r="CS135" i="12"/>
  <c r="AA137" i="12"/>
  <c r="AW137" i="12"/>
  <c r="BQ137" i="12"/>
  <c r="CO137" i="12"/>
  <c r="AH138" i="12"/>
  <c r="BY138" i="12"/>
  <c r="I139" i="12"/>
  <c r="V139" i="12"/>
  <c r="AI139" i="12"/>
  <c r="AV139" i="12"/>
  <c r="BI139" i="12"/>
  <c r="BU139" i="12"/>
  <c r="CH139" i="12"/>
  <c r="CU139" i="12"/>
  <c r="N140" i="12"/>
  <c r="AD140" i="12"/>
  <c r="AT140" i="12"/>
  <c r="BJ140" i="12"/>
  <c r="BZ140" i="12"/>
  <c r="CP140" i="12"/>
  <c r="L141" i="12"/>
  <c r="AH141" i="12"/>
  <c r="BE141" i="12"/>
  <c r="BX141" i="12"/>
  <c r="CT141" i="12"/>
  <c r="CF134" i="12"/>
  <c r="BZ133" i="12"/>
  <c r="BA134" i="12"/>
  <c r="AC135" i="12"/>
  <c r="CQ135" i="12"/>
  <c r="CQ133" i="12"/>
  <c r="AL133" i="12"/>
  <c r="AJ134" i="12"/>
  <c r="BP134" i="12"/>
  <c r="CV134" i="12"/>
  <c r="Q135" i="12"/>
  <c r="AF135" i="12"/>
  <c r="AY135" i="12"/>
  <c r="BM135" i="12"/>
  <c r="CG135" i="12"/>
  <c r="CY135" i="12"/>
  <c r="AY137" i="12"/>
  <c r="BU137" i="12"/>
  <c r="K139" i="12"/>
  <c r="X139" i="12"/>
  <c r="AK139" i="12"/>
  <c r="AW139" i="12"/>
  <c r="BJ139" i="12"/>
  <c r="BW139" i="12"/>
  <c r="CJ139" i="12"/>
  <c r="CW139" i="12"/>
  <c r="Q140" i="12"/>
  <c r="AG140" i="12"/>
  <c r="AW140" i="12"/>
  <c r="BM140" i="12"/>
  <c r="CC140" i="12"/>
  <c r="CS140" i="12"/>
  <c r="Q141" i="12"/>
  <c r="AJ141" i="12"/>
  <c r="BF141" i="12"/>
  <c r="CC141" i="12"/>
  <c r="CV141" i="12"/>
  <c r="CW133" i="12"/>
  <c r="CO133" i="12"/>
  <c r="CG133" i="12"/>
  <c r="BY133" i="12"/>
  <c r="BQ133" i="12"/>
  <c r="BI133" i="12"/>
  <c r="BA133" i="12"/>
  <c r="AS133" i="12"/>
  <c r="AK133" i="12"/>
  <c r="AC133" i="12"/>
  <c r="U133" i="12"/>
  <c r="M133" i="12"/>
  <c r="BE133" i="12"/>
  <c r="Q133" i="12"/>
  <c r="CV133" i="12"/>
  <c r="CN133" i="12"/>
  <c r="CF133" i="12"/>
  <c r="BX133" i="12"/>
  <c r="BP133" i="12"/>
  <c r="BH133" i="12"/>
  <c r="AZ133" i="12"/>
  <c r="AR133" i="12"/>
  <c r="AJ133" i="12"/>
  <c r="AB133" i="12"/>
  <c r="T133" i="12"/>
  <c r="L133" i="12"/>
  <c r="CU133" i="12"/>
  <c r="CM133" i="12"/>
  <c r="CE133" i="12"/>
  <c r="BW133" i="12"/>
  <c r="BO133" i="12"/>
  <c r="BG133" i="12"/>
  <c r="AY133" i="12"/>
  <c r="AQ133" i="12"/>
  <c r="AI133" i="12"/>
  <c r="AA133" i="12"/>
  <c r="S133" i="12"/>
  <c r="K133" i="12"/>
  <c r="CS133" i="12"/>
  <c r="CC133" i="12"/>
  <c r="BM133" i="12"/>
  <c r="AW133" i="12"/>
  <c r="AG133" i="12"/>
  <c r="I133" i="12"/>
  <c r="CT133" i="12"/>
  <c r="CL133" i="12"/>
  <c r="CD133" i="12"/>
  <c r="BV133" i="12"/>
  <c r="BN133" i="12"/>
  <c r="BF133" i="12"/>
  <c r="AX133" i="12"/>
  <c r="AP133" i="12"/>
  <c r="AH133" i="12"/>
  <c r="Z133" i="12"/>
  <c r="R133" i="12"/>
  <c r="J133" i="12"/>
  <c r="CK133" i="12"/>
  <c r="BU133" i="12"/>
  <c r="AO133" i="12"/>
  <c r="Y133" i="12"/>
  <c r="CZ133" i="12"/>
  <c r="CR133" i="12"/>
  <c r="CJ133" i="12"/>
  <c r="CB133" i="12"/>
  <c r="BT133" i="12"/>
  <c r="BL133" i="12"/>
  <c r="BD133" i="12"/>
  <c r="AV133" i="12"/>
  <c r="AN133" i="12"/>
  <c r="AF133" i="12"/>
  <c r="X133" i="12"/>
  <c r="P133" i="12"/>
  <c r="H133" i="12"/>
  <c r="AM133" i="12"/>
  <c r="BS133" i="12"/>
  <c r="CY133" i="12"/>
  <c r="AM136" i="12"/>
  <c r="CE136" i="12"/>
  <c r="CO136" i="12"/>
  <c r="V133" i="12"/>
  <c r="BB133" i="12"/>
  <c r="CH133" i="12"/>
  <c r="Q136" i="12"/>
  <c r="BH136" i="12"/>
  <c r="CX136" i="12"/>
  <c r="AY136" i="12"/>
  <c r="W133" i="12"/>
  <c r="BC133" i="12"/>
  <c r="CI133" i="12"/>
  <c r="S136" i="12"/>
  <c r="BI136" i="12"/>
  <c r="CT136" i="12"/>
  <c r="CL136" i="12"/>
  <c r="CD136" i="12"/>
  <c r="BV136" i="12"/>
  <c r="BN136" i="12"/>
  <c r="BF136" i="12"/>
  <c r="AX136" i="12"/>
  <c r="AP136" i="12"/>
  <c r="AH136" i="12"/>
  <c r="Z136" i="12"/>
  <c r="R136" i="12"/>
  <c r="J136" i="12"/>
  <c r="CZ136" i="12"/>
  <c r="CR136" i="12"/>
  <c r="CJ136" i="12"/>
  <c r="CB136" i="12"/>
  <c r="BT136" i="12"/>
  <c r="BL136" i="12"/>
  <c r="BD136" i="12"/>
  <c r="AV136" i="12"/>
  <c r="AN136" i="12"/>
  <c r="AF136" i="12"/>
  <c r="X136" i="12"/>
  <c r="P136" i="12"/>
  <c r="H136" i="12"/>
  <c r="CW136" i="12"/>
  <c r="CM136" i="12"/>
  <c r="CA136" i="12"/>
  <c r="BQ136" i="12"/>
  <c r="BG136" i="12"/>
  <c r="AU136" i="12"/>
  <c r="AK136" i="12"/>
  <c r="AA136" i="12"/>
  <c r="O136" i="12"/>
  <c r="CV136" i="12"/>
  <c r="CK136" i="12"/>
  <c r="BZ136" i="12"/>
  <c r="BP136" i="12"/>
  <c r="BE136" i="12"/>
  <c r="AT136" i="12"/>
  <c r="AJ136" i="12"/>
  <c r="Y136" i="12"/>
  <c r="N136" i="12"/>
  <c r="CU136" i="12"/>
  <c r="CI136" i="12"/>
  <c r="BY136" i="12"/>
  <c r="BO136" i="12"/>
  <c r="BC136" i="12"/>
  <c r="AS136" i="12"/>
  <c r="AI136" i="12"/>
  <c r="W136" i="12"/>
  <c r="M136" i="12"/>
  <c r="CS136" i="12"/>
  <c r="CH136" i="12"/>
  <c r="BX136" i="12"/>
  <c r="BM136" i="12"/>
  <c r="BB136" i="12"/>
  <c r="AR136" i="12"/>
  <c r="AG136" i="12"/>
  <c r="V136" i="12"/>
  <c r="L136" i="12"/>
  <c r="CQ136" i="12"/>
  <c r="CG136" i="12"/>
  <c r="BW136" i="12"/>
  <c r="BK136" i="12"/>
  <c r="BA136" i="12"/>
  <c r="AQ136" i="12"/>
  <c r="AE136" i="12"/>
  <c r="U136" i="12"/>
  <c r="K136" i="12"/>
  <c r="CP136" i="12"/>
  <c r="CF136" i="12"/>
  <c r="BU136" i="12"/>
  <c r="BJ136" i="12"/>
  <c r="AZ136" i="12"/>
  <c r="AO136" i="12"/>
  <c r="AD136" i="12"/>
  <c r="T136" i="12"/>
  <c r="I136" i="12"/>
  <c r="AD133" i="12"/>
  <c r="BJ133" i="12"/>
  <c r="CP133" i="12"/>
  <c r="AB136" i="12"/>
  <c r="BR136" i="12"/>
  <c r="AC136" i="12"/>
  <c r="BS136" i="12"/>
  <c r="N134" i="12"/>
  <c r="V134" i="12"/>
  <c r="AD134" i="12"/>
  <c r="AL134" i="12"/>
  <c r="AT134" i="12"/>
  <c r="BB134" i="12"/>
  <c r="BJ134" i="12"/>
  <c r="BR134" i="12"/>
  <c r="BZ134" i="12"/>
  <c r="CH134" i="12"/>
  <c r="CP134" i="12"/>
  <c r="CX134" i="12"/>
  <c r="CZ137" i="12"/>
  <c r="CR137" i="12"/>
  <c r="CJ137" i="12"/>
  <c r="CB137" i="12"/>
  <c r="BT137" i="12"/>
  <c r="BL137" i="12"/>
  <c r="BD137" i="12"/>
  <c r="AV137" i="12"/>
  <c r="AN137" i="12"/>
  <c r="AF137" i="12"/>
  <c r="X137" i="12"/>
  <c r="P137" i="12"/>
  <c r="H137" i="12"/>
  <c r="CX137" i="12"/>
  <c r="CP137" i="12"/>
  <c r="CH137" i="12"/>
  <c r="BZ137" i="12"/>
  <c r="BR137" i="12"/>
  <c r="BJ137" i="12"/>
  <c r="BB137" i="12"/>
  <c r="AT137" i="12"/>
  <c r="AL137" i="12"/>
  <c r="AD137" i="12"/>
  <c r="V137" i="12"/>
  <c r="N137" i="12"/>
  <c r="R137" i="12"/>
  <c r="AB137" i="12"/>
  <c r="AM137" i="12"/>
  <c r="AX137" i="12"/>
  <c r="BH137" i="12"/>
  <c r="BS137" i="12"/>
  <c r="CD137" i="12"/>
  <c r="CN137" i="12"/>
  <c r="CY137" i="12"/>
  <c r="P138" i="12"/>
  <c r="Z138" i="12"/>
  <c r="AK138" i="12"/>
  <c r="AV138" i="12"/>
  <c r="BF138" i="12"/>
  <c r="BQ138" i="12"/>
  <c r="CB138" i="12"/>
  <c r="CL138" i="12"/>
  <c r="W134" i="12"/>
  <c r="AU134" i="12"/>
  <c r="BS134" i="12"/>
  <c r="CQ134" i="12"/>
  <c r="CX138" i="12"/>
  <c r="CP138" i="12"/>
  <c r="CH138" i="12"/>
  <c r="BZ138" i="12"/>
  <c r="BR138" i="12"/>
  <c r="BJ138" i="12"/>
  <c r="BB138" i="12"/>
  <c r="AT138" i="12"/>
  <c r="AL138" i="12"/>
  <c r="AD138" i="12"/>
  <c r="V138" i="12"/>
  <c r="N138" i="12"/>
  <c r="CV138" i="12"/>
  <c r="CN138" i="12"/>
  <c r="CF138" i="12"/>
  <c r="BX138" i="12"/>
  <c r="BP138" i="12"/>
  <c r="BH138" i="12"/>
  <c r="AZ138" i="12"/>
  <c r="AR138" i="12"/>
  <c r="AJ138" i="12"/>
  <c r="AB138" i="12"/>
  <c r="T138" i="12"/>
  <c r="L138" i="12"/>
  <c r="Q138" i="12"/>
  <c r="AA138" i="12"/>
  <c r="AM138" i="12"/>
  <c r="AW138" i="12"/>
  <c r="BG138" i="12"/>
  <c r="BS138" i="12"/>
  <c r="CC138" i="12"/>
  <c r="CM138" i="12"/>
  <c r="CY138" i="12"/>
  <c r="H134" i="12"/>
  <c r="P134" i="12"/>
  <c r="X134" i="12"/>
  <c r="AF134" i="12"/>
  <c r="AN134" i="12"/>
  <c r="AV134" i="12"/>
  <c r="BD134" i="12"/>
  <c r="BL134" i="12"/>
  <c r="BT134" i="12"/>
  <c r="CB134" i="12"/>
  <c r="CJ134" i="12"/>
  <c r="CR134" i="12"/>
  <c r="CZ134" i="12"/>
  <c r="N135" i="12"/>
  <c r="X135" i="12"/>
  <c r="AI135" i="12"/>
  <c r="AT135" i="12"/>
  <c r="BD135" i="12"/>
  <c r="BO135" i="12"/>
  <c r="BZ135" i="12"/>
  <c r="CJ135" i="12"/>
  <c r="J137" i="12"/>
  <c r="T137" i="12"/>
  <c r="AE137" i="12"/>
  <c r="AP137" i="12"/>
  <c r="AZ137" i="12"/>
  <c r="BK137" i="12"/>
  <c r="BV137" i="12"/>
  <c r="CF137" i="12"/>
  <c r="CQ137" i="12"/>
  <c r="H138" i="12"/>
  <c r="R138" i="12"/>
  <c r="AC138" i="12"/>
  <c r="AN138" i="12"/>
  <c r="AX138" i="12"/>
  <c r="BI138" i="12"/>
  <c r="BT138" i="12"/>
  <c r="CD138" i="12"/>
  <c r="CO138" i="12"/>
  <c r="CZ138" i="12"/>
  <c r="O134" i="12"/>
  <c r="AM134" i="12"/>
  <c r="BK134" i="12"/>
  <c r="CI134" i="12"/>
  <c r="I134" i="12"/>
  <c r="Q134" i="12"/>
  <c r="Y134" i="12"/>
  <c r="AG134" i="12"/>
  <c r="AO134" i="12"/>
  <c r="AW134" i="12"/>
  <c r="BE134" i="12"/>
  <c r="BM134" i="12"/>
  <c r="BU134" i="12"/>
  <c r="CC134" i="12"/>
  <c r="CK134" i="12"/>
  <c r="CS134" i="12"/>
  <c r="CV135" i="12"/>
  <c r="CN135" i="12"/>
  <c r="CF135" i="12"/>
  <c r="BX135" i="12"/>
  <c r="BP135" i="12"/>
  <c r="BH135" i="12"/>
  <c r="AZ135" i="12"/>
  <c r="AR135" i="12"/>
  <c r="AJ135" i="12"/>
  <c r="AB135" i="12"/>
  <c r="T135" i="12"/>
  <c r="CT135" i="12"/>
  <c r="CL135" i="12"/>
  <c r="CD135" i="12"/>
  <c r="BV135" i="12"/>
  <c r="BN135" i="12"/>
  <c r="BF135" i="12"/>
  <c r="AX135" i="12"/>
  <c r="AP135" i="12"/>
  <c r="AH135" i="12"/>
  <c r="Z135" i="12"/>
  <c r="R135" i="12"/>
  <c r="O135" i="12"/>
  <c r="Y135" i="12"/>
  <c r="AK135" i="12"/>
  <c r="AU135" i="12"/>
  <c r="BE135" i="12"/>
  <c r="BQ135" i="12"/>
  <c r="CA135" i="12"/>
  <c r="CK135" i="12"/>
  <c r="CW135" i="12"/>
  <c r="K137" i="12"/>
  <c r="U137" i="12"/>
  <c r="AG137" i="12"/>
  <c r="AQ137" i="12"/>
  <c r="BA137" i="12"/>
  <c r="BM137" i="12"/>
  <c r="BW137" i="12"/>
  <c r="CG137" i="12"/>
  <c r="CS137" i="12"/>
  <c r="I138" i="12"/>
  <c r="S138" i="12"/>
  <c r="AE138" i="12"/>
  <c r="AO138" i="12"/>
  <c r="AY138" i="12"/>
  <c r="BK138" i="12"/>
  <c r="BU138" i="12"/>
  <c r="CE138" i="12"/>
  <c r="CQ138" i="12"/>
  <c r="AE134" i="12"/>
  <c r="BC134" i="12"/>
  <c r="CA134" i="12"/>
  <c r="CY134" i="12"/>
  <c r="J134" i="12"/>
  <c r="R134" i="12"/>
  <c r="Z134" i="12"/>
  <c r="AH134" i="12"/>
  <c r="AP134" i="12"/>
  <c r="AX134" i="12"/>
  <c r="BF134" i="12"/>
  <c r="BN134" i="12"/>
  <c r="BV134" i="12"/>
  <c r="CD134" i="12"/>
  <c r="CL134" i="12"/>
  <c r="CT134" i="12"/>
  <c r="H135" i="12"/>
  <c r="P135" i="12"/>
  <c r="AA135" i="12"/>
  <c r="AL135" i="12"/>
  <c r="AV135" i="12"/>
  <c r="BG135" i="12"/>
  <c r="BR135" i="12"/>
  <c r="CB135" i="12"/>
  <c r="CM135" i="12"/>
  <c r="CX135" i="12"/>
  <c r="L137" i="12"/>
  <c r="W137" i="12"/>
  <c r="AH137" i="12"/>
  <c r="AR137" i="12"/>
  <c r="BC137" i="12"/>
  <c r="BN137" i="12"/>
  <c r="BX137" i="12"/>
  <c r="CI137" i="12"/>
  <c r="CT137" i="12"/>
  <c r="J138" i="12"/>
  <c r="U138" i="12"/>
  <c r="AF138" i="12"/>
  <c r="AP138" i="12"/>
  <c r="BA138" i="12"/>
  <c r="BL138" i="12"/>
  <c r="BV138" i="12"/>
  <c r="CG138" i="12"/>
  <c r="CR138" i="12"/>
  <c r="K134" i="12"/>
  <c r="S134" i="12"/>
  <c r="AA134" i="12"/>
  <c r="AI134" i="12"/>
  <c r="AQ134" i="12"/>
  <c r="AY134" i="12"/>
  <c r="BG134" i="12"/>
  <c r="BO134" i="12"/>
  <c r="BW134" i="12"/>
  <c r="CE134" i="12"/>
  <c r="CM134" i="12"/>
  <c r="CK137" i="12"/>
  <c r="CU137" i="12"/>
  <c r="K138" i="12"/>
  <c r="W138" i="12"/>
  <c r="AG138" i="12"/>
  <c r="AQ138" i="12"/>
  <c r="BC138" i="12"/>
  <c r="BM138" i="12"/>
  <c r="BW138" i="12"/>
  <c r="CI138" i="12"/>
  <c r="CS138" i="12"/>
  <c r="O139" i="12"/>
  <c r="W139" i="12"/>
  <c r="AE139" i="12"/>
  <c r="AM139" i="12"/>
  <c r="AU139" i="12"/>
  <c r="BC139" i="12"/>
  <c r="BK139" i="12"/>
  <c r="BS139" i="12"/>
  <c r="CA139" i="12"/>
  <c r="CI139" i="12"/>
  <c r="CQ139" i="12"/>
  <c r="CY139" i="12"/>
  <c r="M140" i="12"/>
  <c r="U140" i="12"/>
  <c r="AC140" i="12"/>
  <c r="AK140" i="12"/>
  <c r="AS140" i="12"/>
  <c r="BA140" i="12"/>
  <c r="BI140" i="12"/>
  <c r="BQ140" i="12"/>
  <c r="BY140" i="12"/>
  <c r="CG140" i="12"/>
  <c r="CO140" i="12"/>
  <c r="CW140" i="12"/>
  <c r="K141" i="12"/>
  <c r="S141" i="12"/>
  <c r="AA141" i="12"/>
  <c r="AI141" i="12"/>
  <c r="AQ141" i="12"/>
  <c r="AY141" i="12"/>
  <c r="BG141" i="12"/>
  <c r="BO141" i="12"/>
  <c r="BW141" i="12"/>
  <c r="CE141" i="12"/>
  <c r="CM141" i="12"/>
  <c r="CU141" i="12"/>
  <c r="O140" i="12"/>
  <c r="W140" i="12"/>
  <c r="AE140" i="12"/>
  <c r="AM140" i="12"/>
  <c r="AU140" i="12"/>
  <c r="BC140" i="12"/>
  <c r="BK140" i="12"/>
  <c r="BS140" i="12"/>
  <c r="CA140" i="12"/>
  <c r="CI140" i="12"/>
  <c r="CQ140" i="12"/>
  <c r="CY140" i="12"/>
  <c r="M141" i="12"/>
  <c r="U141" i="12"/>
  <c r="AC141" i="12"/>
  <c r="AK141" i="12"/>
  <c r="AS141" i="12"/>
  <c r="BA141" i="12"/>
  <c r="BI141" i="12"/>
  <c r="BQ141" i="12"/>
  <c r="BY141" i="12"/>
  <c r="CG141" i="12"/>
  <c r="CO141" i="12"/>
  <c r="CW141" i="12"/>
  <c r="J139" i="12"/>
  <c r="R139" i="12"/>
  <c r="Z139" i="12"/>
  <c r="AH139" i="12"/>
  <c r="AP139" i="12"/>
  <c r="AX139" i="12"/>
  <c r="BF139" i="12"/>
  <c r="BN139" i="12"/>
  <c r="BV139" i="12"/>
  <c r="CD139" i="12"/>
  <c r="CL139" i="12"/>
  <c r="CT139" i="12"/>
  <c r="H140" i="12"/>
  <c r="P140" i="12"/>
  <c r="X140" i="12"/>
  <c r="AF140" i="12"/>
  <c r="AN140" i="12"/>
  <c r="AV140" i="12"/>
  <c r="BD140" i="12"/>
  <c r="BL140" i="12"/>
  <c r="BT140" i="12"/>
  <c r="CB140" i="12"/>
  <c r="CJ140" i="12"/>
  <c r="CR140" i="12"/>
  <c r="CZ140" i="12"/>
  <c r="N141" i="12"/>
  <c r="V141" i="12"/>
  <c r="AD141" i="12"/>
  <c r="AL141" i="12"/>
  <c r="AT141" i="12"/>
  <c r="BB141" i="12"/>
  <c r="BJ141" i="12"/>
  <c r="BR141" i="12"/>
  <c r="BZ141" i="12"/>
  <c r="CH141" i="12"/>
  <c r="CP141" i="12"/>
  <c r="CX141" i="12"/>
  <c r="O141" i="12"/>
  <c r="W141" i="12"/>
  <c r="AE141" i="12"/>
  <c r="AM141" i="12"/>
  <c r="AU141" i="12"/>
  <c r="BC141" i="12"/>
  <c r="BK141" i="12"/>
  <c r="BS141" i="12"/>
  <c r="CA141" i="12"/>
  <c r="CI141" i="12"/>
  <c r="CQ141" i="12"/>
  <c r="CY141" i="12"/>
  <c r="L139" i="12"/>
  <c r="T139" i="12"/>
  <c r="AB139" i="12"/>
  <c r="AJ139" i="12"/>
  <c r="AR139" i="12"/>
  <c r="AZ139" i="12"/>
  <c r="BH139" i="12"/>
  <c r="BP139" i="12"/>
  <c r="BX139" i="12"/>
  <c r="CF139" i="12"/>
  <c r="CN139" i="12"/>
  <c r="J140" i="12"/>
  <c r="R140" i="12"/>
  <c r="Z140" i="12"/>
  <c r="AH140" i="12"/>
  <c r="AP140" i="12"/>
  <c r="AX140" i="12"/>
  <c r="BF140" i="12"/>
  <c r="BN140" i="12"/>
  <c r="BV140" i="12"/>
  <c r="CD140" i="12"/>
  <c r="CL140" i="12"/>
  <c r="H141" i="12"/>
  <c r="P141" i="12"/>
  <c r="X141" i="12"/>
  <c r="AF141" i="12"/>
  <c r="AN141" i="12"/>
  <c r="AV141" i="12"/>
  <c r="BD141" i="12"/>
  <c r="BL141" i="12"/>
  <c r="BT141" i="12"/>
  <c r="CB141" i="12"/>
  <c r="CJ141" i="12"/>
  <c r="CR141" i="12"/>
  <c r="Q134" i="15"/>
  <c r="Q133" i="15"/>
  <c r="Q132" i="15"/>
  <c r="Q131" i="15"/>
  <c r="P134" i="15"/>
  <c r="P133" i="15"/>
  <c r="P132" i="15"/>
  <c r="P131" i="15"/>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V23" i="119" l="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4" i="6"/>
  <c r="C143" i="6"/>
  <c r="C3" i="24"/>
  <c r="C36" i="35"/>
  <c r="C11" i="35"/>
  <c r="F84"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2" i="6"/>
  <c r="E112" i="6" s="1"/>
  <c r="C12" i="35"/>
  <c r="F13" i="24"/>
  <c r="F14" i="24"/>
  <c r="F15" i="24"/>
  <c r="F16" i="24"/>
  <c r="F17" i="24"/>
  <c r="F18" i="24"/>
  <c r="F19" i="24"/>
  <c r="F20" i="24"/>
  <c r="F21" i="24"/>
  <c r="F22" i="24"/>
  <c r="F23" i="24"/>
  <c r="F24" i="24"/>
  <c r="F25" i="24"/>
  <c r="F26" i="24"/>
  <c r="E91" i="6"/>
  <c r="C91" i="6"/>
  <c r="E149" i="6"/>
  <c r="C149" i="6"/>
  <c r="E110" i="6"/>
  <c r="C110" i="6"/>
  <c r="E101" i="6"/>
  <c r="C101" i="6"/>
  <c r="C9" i="35"/>
  <c r="B15" i="24"/>
  <c r="B16" i="24"/>
  <c r="B17" i="24"/>
  <c r="B18" i="24"/>
  <c r="B19" i="24"/>
  <c r="B20" i="24"/>
  <c r="B21" i="24"/>
  <c r="B22" i="24"/>
  <c r="B23" i="24"/>
  <c r="B24" i="24"/>
  <c r="B25" i="24"/>
  <c r="B26" i="24"/>
  <c r="C131" i="6"/>
  <c r="B132"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3"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s="1"/>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4" i="6"/>
  <c r="F50" i="34"/>
  <c r="F49" i="34"/>
  <c r="F48"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AI507" i="11" l="1"/>
  <c r="B186" i="15"/>
  <c r="Q65" i="15"/>
  <c r="B15" i="13"/>
  <c r="D54" i="119"/>
  <c r="D189" i="119"/>
  <c r="D191" i="119"/>
  <c r="G60" i="119"/>
  <c r="G189" i="119"/>
  <c r="G191" i="119"/>
  <c r="E56" i="119"/>
  <c r="E189" i="119"/>
  <c r="E249" i="119" s="1"/>
  <c r="E191" i="119"/>
  <c r="H6" i="119"/>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AJ32" i="12" s="1"/>
  <c r="G96" i="12"/>
  <c r="AE276" i="11"/>
  <c r="AF276" i="11" s="1"/>
  <c r="AG276" i="11" s="1"/>
  <c r="AH276" i="11" s="1"/>
  <c r="AQ34" i="12"/>
  <c r="G7" i="12"/>
  <c r="H38" i="34"/>
  <c r="B116" i="34"/>
  <c r="G49" i="11"/>
  <c r="G50" i="11" s="1"/>
  <c r="G10" i="12"/>
  <c r="D102" i="6"/>
  <c r="E102"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9" i="6"/>
  <c r="P5" i="19"/>
  <c r="AA94" i="12"/>
  <c r="AP34" i="12"/>
  <c r="AJ98" i="12"/>
  <c r="AR94" i="12"/>
  <c r="AE34" i="12"/>
  <c r="AE98" i="12"/>
  <c r="AT94" i="12"/>
  <c r="BD94" i="12"/>
  <c r="AU94" i="12"/>
  <c r="AI94" i="12"/>
  <c r="AS94" i="12"/>
  <c r="T98" i="12"/>
  <c r="N18" i="12"/>
  <c r="D93"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AY276" i="11"/>
  <c r="AZ276" i="11" s="1"/>
  <c r="BA276" i="11" s="1"/>
  <c r="BB276" i="11" s="1"/>
  <c r="BC276" i="11" s="1"/>
  <c r="BD276" i="11" s="1"/>
  <c r="BE276" i="11" s="1"/>
  <c r="BF276" i="11" s="1"/>
  <c r="BG276" i="11" s="1"/>
  <c r="BH276" i="11" s="1"/>
  <c r="BI276" i="11" s="1"/>
  <c r="BJ276" i="11" s="1"/>
  <c r="BK276" i="11" s="1"/>
  <c r="BL276" i="11" s="1"/>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Y480" i="11"/>
  <c r="AZ480" i="11" s="1"/>
  <c r="BA480" i="11" s="1"/>
  <c r="BB480" i="11" s="1"/>
  <c r="BC480" i="11" s="1"/>
  <c r="BD480" i="11" s="1"/>
  <c r="BE480" i="11" s="1"/>
  <c r="BF480" i="11" s="1"/>
  <c r="BG480" i="11" s="1"/>
  <c r="BH480" i="11" s="1"/>
  <c r="BI480" i="11" s="1"/>
  <c r="BJ480" i="11" s="1"/>
  <c r="BK480" i="11" s="1"/>
  <c r="BL480" i="11" s="1"/>
  <c r="AA100" i="12"/>
  <c r="Z677" i="11"/>
  <c r="AA507" i="11" s="1"/>
  <c r="AB507" i="11" s="1"/>
  <c r="AC507" i="11" s="1"/>
  <c r="AD507" i="11" s="1"/>
  <c r="AE507" i="11" s="1"/>
  <c r="AF507" i="11" s="1"/>
  <c r="AG507" i="11" s="1"/>
  <c r="AH507" i="11" s="1"/>
  <c r="AX507" i="11"/>
  <c r="AX488" i="11"/>
  <c r="AJ254" i="11"/>
  <c r="AK254" i="11" s="1"/>
  <c r="AL254" i="11" s="1"/>
  <c r="AM254" i="11" s="1"/>
  <c r="AN254" i="11" s="1"/>
  <c r="AO254" i="11" s="1"/>
  <c r="AP254" i="11" s="1"/>
  <c r="AQ254" i="11" s="1"/>
  <c r="AR254" i="11" s="1"/>
  <c r="AS254" i="11" s="1"/>
  <c r="AT254" i="11" s="1"/>
  <c r="AU254" i="11" s="1"/>
  <c r="AV254" i="11" s="1"/>
  <c r="AW254" i="11" s="1"/>
  <c r="AE254" i="11"/>
  <c r="AF254" i="11" s="1"/>
  <c r="AG254" i="11" s="1"/>
  <c r="AH254" i="11" s="1"/>
  <c r="AX254" i="1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Z550" i="11"/>
  <c r="AA380" i="11" s="1"/>
  <c r="AB380" i="11" s="1"/>
  <c r="AC380" i="11" s="1"/>
  <c r="AD380" i="11" s="1"/>
  <c r="AE380" i="11" s="1"/>
  <c r="AF380" i="11" s="1"/>
  <c r="AG380" i="11" s="1"/>
  <c r="AH380" i="11" s="1"/>
  <c r="AX380" i="11"/>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E32" i="34" s="1"/>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AL28"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4" i="6"/>
  <c r="E94" i="6" s="1"/>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5"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6" i="6"/>
  <c r="E96" i="6" s="1"/>
  <c r="D28" i="35"/>
  <c r="D33" i="35"/>
  <c r="F33" i="35" s="1"/>
  <c r="D18" i="35"/>
  <c r="D92" i="6"/>
  <c r="D24" i="35"/>
  <c r="C21" i="24" s="1"/>
  <c r="H21" i="24" s="1"/>
  <c r="D95"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8" i="6"/>
  <c r="I17" i="12"/>
  <c r="Z34" i="12"/>
  <c r="AM12" i="12"/>
  <c r="BN12" i="12"/>
  <c r="K17" i="12"/>
  <c r="T66" i="12"/>
  <c r="H12" i="12"/>
  <c r="M12" i="12"/>
  <c r="D97" i="6"/>
  <c r="E97"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U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Q66" i="15" s="1"/>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8" i="6"/>
  <c r="D161"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C86" i="119"/>
  <c r="D86" i="119" s="1"/>
  <c r="F58" i="119"/>
  <c r="N101" i="119"/>
  <c r="N107" i="119"/>
  <c r="N103" i="119"/>
  <c r="N105" i="119"/>
  <c r="N104" i="119"/>
  <c r="N106" i="119"/>
  <c r="N102" i="119"/>
  <c r="B68" i="6"/>
  <c r="B67" i="6"/>
  <c r="B66" i="6"/>
  <c r="C25" i="33"/>
  <c r="C281" i="15"/>
  <c r="T9" i="12" l="1"/>
  <c r="Z664" i="11"/>
  <c r="AA494" i="11" s="1"/>
  <c r="AB494" i="11" s="1"/>
  <c r="AC494" i="11" s="1"/>
  <c r="AD494" i="11" s="1"/>
  <c r="AE494" i="11" s="1"/>
  <c r="AF494" i="11" s="1"/>
  <c r="AG494" i="11" s="1"/>
  <c r="AH494" i="11" s="1"/>
  <c r="B16" i="13"/>
  <c r="AF9" i="12"/>
  <c r="AG97" i="12"/>
  <c r="R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AJ358" i="11"/>
  <c r="AK358" i="11" s="1"/>
  <c r="AL358" i="11" s="1"/>
  <c r="AM358" i="11" s="1"/>
  <c r="AN358" i="11" s="1"/>
  <c r="AO358" i="11" s="1"/>
  <c r="AP358" i="11" s="1"/>
  <c r="AQ358" i="11" s="1"/>
  <c r="AR358" i="11" s="1"/>
  <c r="AS358" i="11" s="1"/>
  <c r="AT358" i="11" s="1"/>
  <c r="AU358" i="11" s="1"/>
  <c r="AV358" i="11" s="1"/>
  <c r="AW358" i="11" s="1"/>
  <c r="O14" i="12"/>
  <c r="P14" i="12" s="1"/>
  <c r="Q14" i="12" s="1"/>
  <c r="R14" i="12" s="1"/>
  <c r="S14" i="12" s="1"/>
  <c r="T14" i="12" s="1"/>
  <c r="C132"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G187" i="15"/>
  <c r="N187" i="15"/>
  <c r="F187" i="15"/>
  <c r="M187" i="15"/>
  <c r="E187" i="15"/>
  <c r="L187" i="15"/>
  <c r="D187" i="15"/>
  <c r="J187" i="15"/>
  <c r="H187" i="15"/>
  <c r="K187" i="15"/>
  <c r="C187" i="15"/>
  <c r="I187" i="15"/>
  <c r="AS67" i="12"/>
  <c r="AT67" i="12" s="1"/>
  <c r="AU67" i="12" s="1"/>
  <c r="AV67" i="12" s="1"/>
  <c r="AW67" i="12" s="1"/>
  <c r="AX67" i="12" s="1"/>
  <c r="AY67" i="12" s="1"/>
  <c r="AZ67" i="12" s="1"/>
  <c r="BA67" i="12" s="1"/>
  <c r="O66" i="15"/>
  <c r="B187" i="15"/>
  <c r="D66" i="15"/>
  <c r="M66" i="15" s="1"/>
  <c r="C34" i="34"/>
  <c r="E63" i="34" s="1"/>
  <c r="I49" i="14"/>
  <c r="C102" i="34"/>
  <c r="D102" i="34"/>
  <c r="AE66" i="15"/>
  <c r="B115" i="34"/>
  <c r="E37" i="34"/>
  <c r="H32" i="34"/>
  <c r="B110" i="34"/>
  <c r="B61" i="34"/>
  <c r="C117" i="34"/>
  <c r="D117" i="34"/>
  <c r="W66" i="15"/>
  <c r="E117" i="34"/>
  <c r="F102" i="34"/>
  <c r="F117" i="34"/>
  <c r="C49" i="14"/>
  <c r="B97" i="14" s="1"/>
  <c r="E68" i="34"/>
  <c r="D68" i="34"/>
  <c r="C98" i="34"/>
  <c r="C35" i="34"/>
  <c r="E64" i="34" s="1"/>
  <c r="D98" i="34"/>
  <c r="E98" i="34"/>
  <c r="V49" i="14"/>
  <c r="L49" i="14"/>
  <c r="L66" i="15"/>
  <c r="B66" i="34"/>
  <c r="K49" i="14"/>
  <c r="W49" i="14"/>
  <c r="H49" i="14"/>
  <c r="C18" i="24"/>
  <c r="H18" i="24" s="1"/>
  <c r="F21" i="35"/>
  <c r="O49" i="14"/>
  <c r="T49" i="14"/>
  <c r="M49" i="14"/>
  <c r="N66" i="15"/>
  <c r="K66" i="15"/>
  <c r="N49" i="14"/>
  <c r="J49" i="14"/>
  <c r="R66" i="15"/>
  <c r="U49" i="14"/>
  <c r="S49" i="14"/>
  <c r="G49" i="14"/>
  <c r="C16" i="24"/>
  <c r="H16" i="24" s="1"/>
  <c r="F19" i="35"/>
  <c r="AI8" i="12"/>
  <c r="AJ8" i="12" s="1"/>
  <c r="AK8" i="12" s="1"/>
  <c r="AL8" i="12" s="1"/>
  <c r="AM8" i="12" s="1"/>
  <c r="AN8" i="12" s="1"/>
  <c r="AO8" i="12" s="1"/>
  <c r="AP8" i="12" s="1"/>
  <c r="AQ8" i="12" s="1"/>
  <c r="AR8" i="12" s="1"/>
  <c r="AS8" i="12" s="1"/>
  <c r="AT8" i="12" s="1"/>
  <c r="AU8" i="12" s="1"/>
  <c r="AV8" i="12" s="1"/>
  <c r="AW8" i="12" s="1"/>
  <c r="AX8" i="12" s="1"/>
  <c r="AY8" i="12" s="1"/>
  <c r="AZ8" i="12" s="1"/>
  <c r="BA8" i="12" s="1"/>
  <c r="BQ8" i="12"/>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C25" i="24"/>
  <c r="H25" i="24" s="1"/>
  <c r="F28" i="35"/>
  <c r="F29" i="35"/>
  <c r="C26" i="24"/>
  <c r="H26" i="24" s="1"/>
  <c r="C33" i="34"/>
  <c r="C111" i="34" s="1"/>
  <c r="C67" i="15"/>
  <c r="Q67" i="15" s="1"/>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B50" i="14" s="1"/>
  <c r="AF66" i="15"/>
  <c r="P66" i="15"/>
  <c r="J66" i="15"/>
  <c r="I66" i="15"/>
  <c r="F66" i="15"/>
  <c r="U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6" i="35"/>
  <c r="E96" i="34"/>
  <c r="C96" i="34"/>
  <c r="D96" i="34"/>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139" i="15"/>
  <c r="C282" i="15"/>
  <c r="C67" i="6"/>
  <c r="D281" i="15"/>
  <c r="B17" i="13" l="1"/>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B188" i="15"/>
  <c r="K188" i="15"/>
  <c r="C188" i="15"/>
  <c r="J188" i="15"/>
  <c r="I188" i="15"/>
  <c r="H188" i="15"/>
  <c r="N188" i="15"/>
  <c r="F188" i="15"/>
  <c r="L188" i="15"/>
  <c r="D188" i="15"/>
  <c r="G188" i="15"/>
  <c r="M188" i="15"/>
  <c r="E188" i="15"/>
  <c r="C63" i="34"/>
  <c r="E112" i="34"/>
  <c r="C180" i="119"/>
  <c r="C179" i="119"/>
  <c r="C178" i="119"/>
  <c r="C177" i="119"/>
  <c r="C176" i="119"/>
  <c r="D34" i="34"/>
  <c r="C112" i="34"/>
  <c r="D112" i="34"/>
  <c r="D63" i="34"/>
  <c r="C113" i="34"/>
  <c r="D113" i="34"/>
  <c r="E113" i="34"/>
  <c r="C64" i="34"/>
  <c r="F98" i="34"/>
  <c r="X49" i="14"/>
  <c r="D35" i="34"/>
  <c r="D64" i="34"/>
  <c r="F36" i="35"/>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E111" i="34"/>
  <c r="D111" i="34"/>
  <c r="D62" i="34"/>
  <c r="E62" i="34"/>
  <c r="C62" i="34"/>
  <c r="D33" i="34"/>
  <c r="H27" i="24"/>
  <c r="C27" i="2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F50" i="14"/>
  <c r="W50" i="14"/>
  <c r="G50" i="14"/>
  <c r="P50" i="14"/>
  <c r="H50" i="14"/>
  <c r="Q50" i="14"/>
  <c r="M50" i="14"/>
  <c r="N50" i="14"/>
  <c r="L50" i="14"/>
  <c r="I50" i="14"/>
  <c r="C50" i="14"/>
  <c r="K50" i="14"/>
  <c r="J50" i="14"/>
  <c r="T50" i="14"/>
  <c r="O50" i="14"/>
  <c r="E50" i="14"/>
  <c r="S50" i="14"/>
  <c r="R50" i="14"/>
  <c r="D50" i="14"/>
  <c r="V50" i="14"/>
  <c r="U50" i="14"/>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P67" i="15"/>
  <c r="AF67" i="15"/>
  <c r="I67" i="15"/>
  <c r="O67" i="15"/>
  <c r="AE67" i="15"/>
  <c r="F67" i="15"/>
  <c r="D67" i="15"/>
  <c r="M67" i="15" s="1"/>
  <c r="N67" i="15"/>
  <c r="W67" i="15"/>
  <c r="K67" i="15"/>
  <c r="A51" i="14"/>
  <c r="B51" i="14" s="1"/>
  <c r="J67" i="15"/>
  <c r="A99" i="14"/>
  <c r="C99" i="14" s="1"/>
  <c r="R67" i="15"/>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R27" i="12"/>
  <c r="BS27" i="12" s="1"/>
  <c r="BT27" i="12" s="1"/>
  <c r="BU27"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C140" i="15"/>
  <c r="E140" i="15"/>
  <c r="D140" i="15"/>
  <c r="D282" i="15"/>
  <c r="B18" i="13" l="1"/>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X50" i="14"/>
  <c r="B98" i="1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R51" i="14"/>
  <c r="V51" i="14"/>
  <c r="N51" i="14"/>
  <c r="S51" i="14"/>
  <c r="G51" i="14"/>
  <c r="F51" i="14"/>
  <c r="M51" i="14"/>
  <c r="T51" i="14"/>
  <c r="W51" i="14"/>
  <c r="I51" i="14"/>
  <c r="D51" i="14"/>
  <c r="U51" i="14"/>
  <c r="P51" i="14"/>
  <c r="K51" i="14"/>
  <c r="L51" i="14"/>
  <c r="J51" i="14"/>
  <c r="Q51" i="14"/>
  <c r="E51" i="14"/>
  <c r="O51" i="14"/>
  <c r="H51" i="14"/>
  <c r="C51" i="14"/>
  <c r="B99" i="14" s="1"/>
  <c r="U67" i="15"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C141" i="15"/>
  <c r="E141" i="15"/>
  <c r="B19" i="13" l="1"/>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X51" i="14"/>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B20" i="13" l="1"/>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B21" i="13" l="1"/>
  <c r="E105"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C144" i="15"/>
  <c r="E144" i="15"/>
  <c r="B74" i="15" l="1"/>
  <c r="A23" i="13" s="1"/>
  <c r="A22" i="13"/>
  <c r="B22" i="13" s="1"/>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C145" i="15"/>
  <c r="E145" i="15"/>
  <c r="C74" i="15" l="1"/>
  <c r="K74" i="15" s="1"/>
  <c r="B75" i="15"/>
  <c r="A24" i="13" s="1"/>
  <c r="B23"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C146" i="15"/>
  <c r="H74" i="15" l="1"/>
  <c r="D74" i="15"/>
  <c r="M74" i="15" s="1"/>
  <c r="AF74" i="15"/>
  <c r="A58" i="14"/>
  <c r="A106" i="14"/>
  <c r="C106" i="14" s="1"/>
  <c r="L74" i="15"/>
  <c r="C75" i="15"/>
  <c r="L75" i="15" s="1"/>
  <c r="W74" i="15"/>
  <c r="B76" i="15"/>
  <c r="B24" i="13"/>
  <c r="C30" i="17"/>
  <c r="B31" i="17"/>
  <c r="A148" i="15"/>
  <c r="A195" i="15" s="1"/>
  <c r="A27" i="17"/>
  <c r="A75" i="15"/>
  <c r="E74" i="15"/>
  <c r="Q147" i="15"/>
  <c r="R147" i="15"/>
  <c r="V147" i="15"/>
  <c r="L147" i="15"/>
  <c r="T147" i="15"/>
  <c r="P147" i="15"/>
  <c r="M147" i="15"/>
  <c r="U147" i="15"/>
  <c r="I147" i="15"/>
  <c r="H147" i="15"/>
  <c r="N147" i="15"/>
  <c r="C147" i="15"/>
  <c r="E147" i="15"/>
  <c r="D147" i="15"/>
  <c r="D75" i="15" l="1"/>
  <c r="M75" i="15" s="1"/>
  <c r="A59" i="14"/>
  <c r="C76" i="15"/>
  <c r="K76" i="15" s="1"/>
  <c r="H75" i="15"/>
  <c r="A107" i="14"/>
  <c r="C107" i="14" s="1"/>
  <c r="K75" i="15"/>
  <c r="W75" i="15"/>
  <c r="AF75" i="15"/>
  <c r="B77" i="15"/>
  <c r="C77" i="15" s="1"/>
  <c r="A25" i="13"/>
  <c r="B25" i="13" s="1"/>
  <c r="A60" i="14"/>
  <c r="H76" i="15"/>
  <c r="W76" i="15"/>
  <c r="AF76" i="15"/>
  <c r="A108" i="14"/>
  <c r="C108" i="14" s="1"/>
  <c r="D76" i="15"/>
  <c r="M76" i="15" s="1"/>
  <c r="C31" i="17"/>
  <c r="B32" i="17"/>
  <c r="P148" i="15"/>
  <c r="U148" i="15"/>
  <c r="L148" i="15"/>
  <c r="Q148" i="15"/>
  <c r="R148" i="15"/>
  <c r="M148" i="15"/>
  <c r="H148" i="15"/>
  <c r="N148" i="15"/>
  <c r="V148" i="15"/>
  <c r="T148" i="15"/>
  <c r="I148" i="15"/>
  <c r="A149" i="15"/>
  <c r="A196" i="15" s="1"/>
  <c r="A28" i="17"/>
  <c r="A76" i="15"/>
  <c r="E75" i="15"/>
  <c r="E148" i="15"/>
  <c r="D148" i="15"/>
  <c r="C148" i="15"/>
  <c r="L76" i="15" l="1"/>
  <c r="A26" i="13"/>
  <c r="B26" i="13" s="1"/>
  <c r="B78" i="15"/>
  <c r="C78" i="15" s="1"/>
  <c r="D77" i="15"/>
  <c r="M77" i="15" s="1"/>
  <c r="H77" i="15"/>
  <c r="A109" i="14"/>
  <c r="C109" i="14" s="1"/>
  <c r="K77" i="15"/>
  <c r="L77" i="15"/>
  <c r="W77" i="15"/>
  <c r="A61" i="14"/>
  <c r="AF77" i="15"/>
  <c r="B33" i="17"/>
  <c r="C32" i="17"/>
  <c r="P149" i="15"/>
  <c r="Q149" i="15"/>
  <c r="H149" i="15"/>
  <c r="I149" i="15"/>
  <c r="N149" i="15"/>
  <c r="R149" i="15"/>
  <c r="V149" i="15"/>
  <c r="M149" i="15"/>
  <c r="L149" i="15"/>
  <c r="T149" i="15"/>
  <c r="U149" i="15"/>
  <c r="A29" i="17"/>
  <c r="A150" i="15"/>
  <c r="A197" i="15" s="1"/>
  <c r="A77" i="15"/>
  <c r="E76" i="15"/>
  <c r="D149" i="15"/>
  <c r="C149" i="15"/>
  <c r="E149" i="15"/>
  <c r="A110" i="14" l="1"/>
  <c r="C110" i="14" s="1"/>
  <c r="K78" i="15"/>
  <c r="L78" i="15"/>
  <c r="W78" i="15"/>
  <c r="D78" i="15"/>
  <c r="M78" i="15" s="1"/>
  <c r="A62" i="14"/>
  <c r="H78" i="15"/>
  <c r="AF78" i="15"/>
  <c r="A27" i="13"/>
  <c r="B79" i="15"/>
  <c r="B27" i="13"/>
  <c r="C33" i="17"/>
  <c r="B34" i="17"/>
  <c r="A30" i="17"/>
  <c r="A151" i="15"/>
  <c r="A198" i="15" s="1"/>
  <c r="A78" i="15"/>
  <c r="E77" i="15"/>
  <c r="P150" i="15"/>
  <c r="U150" i="15"/>
  <c r="I150" i="15"/>
  <c r="R150" i="15"/>
  <c r="Q150" i="15"/>
  <c r="V150" i="15"/>
  <c r="L150" i="15"/>
  <c r="N150" i="15"/>
  <c r="T150" i="15"/>
  <c r="M150" i="15"/>
  <c r="H150" i="15"/>
  <c r="E150" i="15"/>
  <c r="D150" i="15"/>
  <c r="C150" i="15"/>
  <c r="A28" i="13" l="1"/>
  <c r="B28" i="13" s="1"/>
  <c r="C79" i="15"/>
  <c r="B80" i="15"/>
  <c r="B81" i="15" s="1"/>
  <c r="B35" i="17"/>
  <c r="C34" i="17"/>
  <c r="A31" i="17"/>
  <c r="A152" i="15"/>
  <c r="A199" i="15" s="1"/>
  <c r="A79" i="15"/>
  <c r="E78" i="15"/>
  <c r="Q151" i="15"/>
  <c r="P151" i="15"/>
  <c r="T151" i="15"/>
  <c r="U151" i="15"/>
  <c r="I151" i="15"/>
  <c r="V151" i="15"/>
  <c r="L151" i="15"/>
  <c r="R151" i="15"/>
  <c r="N151" i="15"/>
  <c r="H151" i="15"/>
  <c r="M151" i="15"/>
  <c r="C151" i="15"/>
  <c r="E151" i="15"/>
  <c r="D151" i="15"/>
  <c r="A30" i="13" l="1"/>
  <c r="B82" i="15"/>
  <c r="A29" i="13"/>
  <c r="C80" i="15"/>
  <c r="A63" i="14"/>
  <c r="K79" i="15"/>
  <c r="H79" i="15"/>
  <c r="W79" i="15"/>
  <c r="A111" i="14"/>
  <c r="C111" i="14" s="1"/>
  <c r="L79" i="15"/>
  <c r="AF79" i="15"/>
  <c r="D79" i="15"/>
  <c r="M79" i="15" s="1"/>
  <c r="B29" i="13"/>
  <c r="B36" i="17"/>
  <c r="C35" i="17"/>
  <c r="A32" i="17"/>
  <c r="A153" i="15"/>
  <c r="A200" i="15" s="1"/>
  <c r="A80" i="15"/>
  <c r="E79" i="15"/>
  <c r="P152" i="15"/>
  <c r="Q152" i="15"/>
  <c r="R152" i="15"/>
  <c r="H152" i="15"/>
  <c r="N152" i="15"/>
  <c r="I152" i="15"/>
  <c r="U152" i="15"/>
  <c r="T152" i="15"/>
  <c r="M152" i="15"/>
  <c r="L152" i="15"/>
  <c r="V152" i="15"/>
  <c r="C152" i="15"/>
  <c r="E152" i="15"/>
  <c r="D152" i="15"/>
  <c r="A64" i="14" l="1"/>
  <c r="A112" i="14"/>
  <c r="C112" i="14" s="1"/>
  <c r="K80" i="15"/>
  <c r="D80" i="15"/>
  <c r="M80" i="15" s="1"/>
  <c r="L80" i="15"/>
  <c r="H80" i="15"/>
  <c r="AF80" i="15"/>
  <c r="W80" i="15"/>
  <c r="B83" i="15"/>
  <c r="A31" i="13"/>
  <c r="C81" i="15"/>
  <c r="B30" i="13"/>
  <c r="B37" i="17"/>
  <c r="C36" i="17"/>
  <c r="A33" i="17"/>
  <c r="A154" i="15"/>
  <c r="A201" i="15" s="1"/>
  <c r="A81" i="15"/>
  <c r="E80" i="15"/>
  <c r="M153" i="15"/>
  <c r="V153" i="15"/>
  <c r="P153" i="15"/>
  <c r="R153" i="15"/>
  <c r="L153" i="15"/>
  <c r="H153" i="15"/>
  <c r="Q153" i="15"/>
  <c r="N153" i="15"/>
  <c r="T153" i="15"/>
  <c r="I153" i="15"/>
  <c r="U153" i="15"/>
  <c r="C153" i="15"/>
  <c r="D153" i="15"/>
  <c r="E153" i="15"/>
  <c r="W81" i="15" l="1"/>
  <c r="D81" i="15"/>
  <c r="M81" i="15" s="1"/>
  <c r="AF81" i="15"/>
  <c r="K81" i="15"/>
  <c r="A65" i="14"/>
  <c r="L81" i="15"/>
  <c r="H81" i="15"/>
  <c r="A113" i="14"/>
  <c r="C113" i="14" s="1"/>
  <c r="A32" i="13"/>
  <c r="B84" i="15"/>
  <c r="C82" i="15"/>
  <c r="B31" i="13"/>
  <c r="B38" i="17"/>
  <c r="C37" i="17"/>
  <c r="P154" i="15"/>
  <c r="I154" i="15"/>
  <c r="R154" i="15"/>
  <c r="M154" i="15"/>
  <c r="H154" i="15"/>
  <c r="L154" i="15"/>
  <c r="N154" i="15"/>
  <c r="Q154" i="15"/>
  <c r="U154" i="15"/>
  <c r="V154" i="15"/>
  <c r="T154" i="15"/>
  <c r="A34" i="17"/>
  <c r="A155" i="15"/>
  <c r="A202" i="15" s="1"/>
  <c r="A82" i="15"/>
  <c r="E81" i="15"/>
  <c r="D154" i="15"/>
  <c r="C154" i="15"/>
  <c r="E154" i="15"/>
  <c r="K82" i="15" l="1"/>
  <c r="W82" i="15"/>
  <c r="A66" i="14"/>
  <c r="L82" i="15"/>
  <c r="C83" i="15"/>
  <c r="H82" i="15"/>
  <c r="AF82" i="15"/>
  <c r="D82" i="15"/>
  <c r="M82" i="15" s="1"/>
  <c r="A114" i="14"/>
  <c r="C114" i="14" s="1"/>
  <c r="A33" i="13"/>
  <c r="B85" i="15"/>
  <c r="B32" i="13"/>
  <c r="C38" i="17"/>
  <c r="B39" i="17"/>
  <c r="A156" i="15"/>
  <c r="A203" i="15" s="1"/>
  <c r="A35" i="17"/>
  <c r="A83" i="15"/>
  <c r="E82" i="15"/>
  <c r="Q155" i="15"/>
  <c r="P155" i="15"/>
  <c r="T155" i="15"/>
  <c r="M155" i="15"/>
  <c r="I155" i="15"/>
  <c r="V155" i="15"/>
  <c r="N155" i="15"/>
  <c r="L155" i="15"/>
  <c r="H155" i="15"/>
  <c r="U155" i="15"/>
  <c r="R155" i="15"/>
  <c r="E155" i="15"/>
  <c r="D155" i="15"/>
  <c r="C155" i="15"/>
  <c r="D83" i="15" l="1"/>
  <c r="M83" i="15" s="1"/>
  <c r="L83" i="15"/>
  <c r="AF83" i="15"/>
  <c r="K83" i="15"/>
  <c r="A67" i="14"/>
  <c r="H83" i="15"/>
  <c r="W83" i="15"/>
  <c r="A115" i="14"/>
  <c r="C115" i="14" s="1"/>
  <c r="C84" i="15"/>
  <c r="A34" i="13"/>
  <c r="B86" i="15"/>
  <c r="B33" i="13"/>
  <c r="B40" i="17"/>
  <c r="C39" i="17"/>
  <c r="P156" i="15"/>
  <c r="V156" i="15"/>
  <c r="R156" i="15"/>
  <c r="Q156" i="15"/>
  <c r="H156" i="15"/>
  <c r="L156" i="15"/>
  <c r="N156" i="15"/>
  <c r="M156" i="15"/>
  <c r="U156" i="15"/>
  <c r="T156" i="15"/>
  <c r="I156" i="15"/>
  <c r="A36" i="17"/>
  <c r="A157" i="15"/>
  <c r="A204" i="15" s="1"/>
  <c r="A84" i="15"/>
  <c r="E83" i="15"/>
  <c r="C156" i="15"/>
  <c r="D156" i="15"/>
  <c r="E156" i="15"/>
  <c r="L84" i="15" l="1"/>
  <c r="A116" i="14"/>
  <c r="C116" i="14" s="1"/>
  <c r="H84" i="15"/>
  <c r="K84" i="15"/>
  <c r="D84" i="15"/>
  <c r="M84" i="15" s="1"/>
  <c r="W84" i="15"/>
  <c r="A68" i="14"/>
  <c r="AF84" i="15"/>
  <c r="A35" i="13"/>
  <c r="B87" i="15"/>
  <c r="C85" i="15"/>
  <c r="B34" i="13"/>
  <c r="C40" i="17"/>
  <c r="B41" i="17"/>
  <c r="A37" i="17"/>
  <c r="A158" i="15"/>
  <c r="A205" i="15" s="1"/>
  <c r="A85" i="15"/>
  <c r="E84" i="15"/>
  <c r="Q157" i="15"/>
  <c r="P157" i="15"/>
  <c r="U157" i="15"/>
  <c r="L157" i="15"/>
  <c r="V157" i="15"/>
  <c r="N157" i="15"/>
  <c r="R157" i="15"/>
  <c r="H157" i="15"/>
  <c r="T157" i="15"/>
  <c r="I157" i="15"/>
  <c r="M157" i="15"/>
  <c r="E157" i="15"/>
  <c r="D157" i="15"/>
  <c r="C157" i="15"/>
  <c r="K85" i="15" l="1"/>
  <c r="H85" i="15"/>
  <c r="L85" i="15"/>
  <c r="A117" i="14"/>
  <c r="C117" i="14" s="1"/>
  <c r="W85" i="15"/>
  <c r="D85" i="15"/>
  <c r="M85" i="15" s="1"/>
  <c r="A69" i="14"/>
  <c r="AF85" i="15"/>
  <c r="C86" i="15"/>
  <c r="B88" i="15"/>
  <c r="B89" i="15" s="1"/>
  <c r="A36" i="13"/>
  <c r="B35" i="13"/>
  <c r="B42" i="17"/>
  <c r="C41" i="17"/>
  <c r="A159" i="15"/>
  <c r="A206" i="15" s="1"/>
  <c r="A38" i="17"/>
  <c r="A86" i="15"/>
  <c r="E85" i="15"/>
  <c r="P158" i="15"/>
  <c r="Q158" i="15"/>
  <c r="I158" i="15"/>
  <c r="V158" i="15"/>
  <c r="L158" i="15"/>
  <c r="H158" i="15"/>
  <c r="U158" i="15"/>
  <c r="M158" i="15"/>
  <c r="T158" i="15"/>
  <c r="N158" i="15"/>
  <c r="R158" i="15"/>
  <c r="E158" i="15"/>
  <c r="D158" i="15"/>
  <c r="C158" i="15"/>
  <c r="B90" i="15" l="1"/>
  <c r="A39" i="13" s="1"/>
  <c r="A38" i="13"/>
  <c r="A37" i="13"/>
  <c r="A118" i="14"/>
  <c r="C118" i="14" s="1"/>
  <c r="A70" i="14"/>
  <c r="W86" i="15"/>
  <c r="AF86" i="15"/>
  <c r="L86" i="15"/>
  <c r="D86" i="15"/>
  <c r="M86" i="15" s="1"/>
  <c r="H86" i="15"/>
  <c r="C87" i="15"/>
  <c r="K86" i="15"/>
  <c r="B36" i="13"/>
  <c r="C42" i="17"/>
  <c r="B43" i="17"/>
  <c r="A160" i="15"/>
  <c r="A207" i="15" s="1"/>
  <c r="A39" i="17"/>
  <c r="A87" i="15"/>
  <c r="E86" i="15"/>
  <c r="Q159" i="15"/>
  <c r="P159" i="15"/>
  <c r="U159" i="15"/>
  <c r="I159" i="15"/>
  <c r="N159" i="15"/>
  <c r="H159" i="15"/>
  <c r="T159" i="15"/>
  <c r="R159" i="15"/>
  <c r="V159" i="15"/>
  <c r="L159" i="15"/>
  <c r="M159" i="15"/>
  <c r="E159" i="15"/>
  <c r="D159" i="15"/>
  <c r="C159" i="15"/>
  <c r="B91" i="15" l="1"/>
  <c r="A40" i="13" s="1"/>
  <c r="C88" i="15"/>
  <c r="A71" i="14"/>
  <c r="H87" i="15"/>
  <c r="A119" i="14"/>
  <c r="C119" i="14" s="1"/>
  <c r="AF87" i="15"/>
  <c r="W87" i="15"/>
  <c r="D87" i="15"/>
  <c r="K87" i="15"/>
  <c r="B37" i="13"/>
  <c r="C43" i="17"/>
  <c r="B44" i="17"/>
  <c r="A40" i="17"/>
  <c r="A161" i="15"/>
  <c r="A208" i="15" s="1"/>
  <c r="A88" i="15"/>
  <c r="E87" i="15"/>
  <c r="P160" i="15"/>
  <c r="L160" i="15"/>
  <c r="M160" i="15"/>
  <c r="N160" i="15"/>
  <c r="U160" i="15"/>
  <c r="V160" i="15"/>
  <c r="Q160" i="15"/>
  <c r="T160" i="15"/>
  <c r="I160" i="15"/>
  <c r="R160" i="15"/>
  <c r="H160" i="15"/>
  <c r="D160" i="15"/>
  <c r="E160" i="15"/>
  <c r="C160" i="15"/>
  <c r="B92" i="15" l="1"/>
  <c r="B93" i="15" s="1"/>
  <c r="W88" i="15"/>
  <c r="A120" i="14"/>
  <c r="K88" i="15"/>
  <c r="L88" i="15"/>
  <c r="AF88" i="15"/>
  <c r="D88" i="15"/>
  <c r="M88" i="15" s="1"/>
  <c r="H88" i="15"/>
  <c r="A72" i="14"/>
  <c r="C89" i="15"/>
  <c r="B38" i="13"/>
  <c r="C44" i="17"/>
  <c r="B45" i="17"/>
  <c r="A162" i="15"/>
  <c r="A209" i="15" s="1"/>
  <c r="A41" i="17"/>
  <c r="A89" i="15"/>
  <c r="E88" i="15"/>
  <c r="Q161" i="15"/>
  <c r="L161" i="15"/>
  <c r="H161" i="15"/>
  <c r="R161" i="15"/>
  <c r="N161" i="15"/>
  <c r="I161" i="15"/>
  <c r="U161" i="15"/>
  <c r="T161" i="15"/>
  <c r="M161" i="15"/>
  <c r="P161" i="15"/>
  <c r="V161" i="15"/>
  <c r="D161" i="15"/>
  <c r="E161" i="15"/>
  <c r="C161" i="15"/>
  <c r="A41" i="13" l="1"/>
  <c r="W89" i="15"/>
  <c r="D89" i="15"/>
  <c r="M89" i="15" s="1"/>
  <c r="H89" i="15"/>
  <c r="AF89" i="15"/>
  <c r="C90" i="15"/>
  <c r="A73" i="14"/>
  <c r="A121" i="14"/>
  <c r="K89" i="15"/>
  <c r="L89" i="15"/>
  <c r="A42" i="13"/>
  <c r="B94" i="15"/>
  <c r="B95" i="15" s="1"/>
  <c r="B39" i="13"/>
  <c r="C45" i="17"/>
  <c r="B46" i="17"/>
  <c r="A163" i="15"/>
  <c r="A210" i="15" s="1"/>
  <c r="A42" i="17"/>
  <c r="A90" i="15"/>
  <c r="E89" i="15"/>
  <c r="P162" i="15"/>
  <c r="Q162" i="15"/>
  <c r="T162" i="15"/>
  <c r="M162" i="15"/>
  <c r="H162" i="15"/>
  <c r="R162" i="15"/>
  <c r="N162" i="15"/>
  <c r="I162" i="15"/>
  <c r="U162" i="15"/>
  <c r="V162" i="15"/>
  <c r="L162" i="15"/>
  <c r="E162" i="15"/>
  <c r="D162" i="15"/>
  <c r="C162" i="15"/>
  <c r="A44" i="13" l="1"/>
  <c r="AF90" i="15"/>
  <c r="K90" i="15"/>
  <c r="W90" i="15"/>
  <c r="L90" i="15"/>
  <c r="D90" i="15"/>
  <c r="M90" i="15" s="1"/>
  <c r="H90" i="15"/>
  <c r="A74" i="14"/>
  <c r="A122" i="14"/>
  <c r="C91" i="15"/>
  <c r="A43" i="13"/>
  <c r="B96" i="15"/>
  <c r="A45" i="13" s="1"/>
  <c r="B40" i="13"/>
  <c r="C46" i="17"/>
  <c r="B47" i="17"/>
  <c r="A164" i="15"/>
  <c r="A211" i="15" s="1"/>
  <c r="A43" i="17"/>
  <c r="A91" i="15"/>
  <c r="E90" i="15"/>
  <c r="Q163" i="15"/>
  <c r="T163" i="15"/>
  <c r="R163" i="15"/>
  <c r="V163" i="15"/>
  <c r="N163" i="15"/>
  <c r="P163" i="15"/>
  <c r="U163" i="15"/>
  <c r="H163" i="15"/>
  <c r="I163" i="15"/>
  <c r="M163" i="15"/>
  <c r="L163" i="15"/>
  <c r="E163" i="15"/>
  <c r="D163" i="15"/>
  <c r="C163" i="15"/>
  <c r="A123" i="14" l="1"/>
  <c r="AF91" i="15"/>
  <c r="W91" i="15"/>
  <c r="D91" i="15"/>
  <c r="M91" i="15" s="1"/>
  <c r="K91" i="15"/>
  <c r="C92" i="15"/>
  <c r="L91" i="15"/>
  <c r="A75" i="14"/>
  <c r="H91" i="15"/>
  <c r="B97" i="15"/>
  <c r="B41" i="13"/>
  <c r="C47" i="17"/>
  <c r="B48" i="17"/>
  <c r="P164" i="15"/>
  <c r="Q164" i="15"/>
  <c r="R164" i="15"/>
  <c r="N164" i="15"/>
  <c r="L164" i="15"/>
  <c r="T164" i="15"/>
  <c r="H164" i="15"/>
  <c r="U164" i="15"/>
  <c r="V164" i="15"/>
  <c r="M164" i="15"/>
  <c r="I164" i="15"/>
  <c r="A44" i="17"/>
  <c r="A165" i="15"/>
  <c r="A212" i="15" s="1"/>
  <c r="A92" i="15"/>
  <c r="E91" i="15"/>
  <c r="E164" i="15"/>
  <c r="C164" i="15"/>
  <c r="D164" i="15"/>
  <c r="W92" i="15" l="1"/>
  <c r="D92" i="15"/>
  <c r="M92" i="15" s="1"/>
  <c r="L92" i="15"/>
  <c r="C93" i="15"/>
  <c r="K92" i="15"/>
  <c r="AF92" i="15"/>
  <c r="A76" i="14"/>
  <c r="A124" i="14"/>
  <c r="H92" i="15"/>
  <c r="B98" i="15"/>
  <c r="A46" i="13"/>
  <c r="B42" i="13"/>
  <c r="C48" i="17"/>
  <c r="B49" i="17"/>
  <c r="A45" i="17"/>
  <c r="A166" i="15"/>
  <c r="A213" i="15" s="1"/>
  <c r="A93" i="15"/>
  <c r="E92" i="15"/>
  <c r="P165" i="15"/>
  <c r="Q165" i="15"/>
  <c r="I165" i="15"/>
  <c r="M165" i="15"/>
  <c r="H165" i="15"/>
  <c r="L165" i="15"/>
  <c r="N165" i="15"/>
  <c r="R165" i="15"/>
  <c r="U165" i="15"/>
  <c r="V165" i="15"/>
  <c r="T165" i="15"/>
  <c r="E165" i="15"/>
  <c r="D165" i="15"/>
  <c r="C165" i="15"/>
  <c r="D93" i="15" l="1"/>
  <c r="M93" i="15" s="1"/>
  <c r="C94" i="15"/>
  <c r="A77" i="14"/>
  <c r="W93" i="15"/>
  <c r="H93" i="15"/>
  <c r="A125" i="14"/>
  <c r="L93" i="15"/>
  <c r="K93" i="15"/>
  <c r="AF93" i="15"/>
  <c r="A47" i="13"/>
  <c r="B99" i="15"/>
  <c r="B100" i="15" s="1"/>
  <c r="B43" i="13"/>
  <c r="C121" i="14"/>
  <c r="C49" i="17"/>
  <c r="B50" i="17"/>
  <c r="A46" i="17"/>
  <c r="A167" i="15"/>
  <c r="A214" i="15" s="1"/>
  <c r="A94" i="15"/>
  <c r="E93" i="15"/>
  <c r="P166" i="15"/>
  <c r="R166" i="15"/>
  <c r="V166" i="15"/>
  <c r="Q166" i="15"/>
  <c r="I166" i="15"/>
  <c r="L166" i="15"/>
  <c r="T166" i="15"/>
  <c r="H166" i="15"/>
  <c r="M166" i="15"/>
  <c r="U166" i="15"/>
  <c r="N166" i="15"/>
  <c r="D166" i="15"/>
  <c r="C166" i="15"/>
  <c r="E166" i="15"/>
  <c r="A49" i="13" l="1"/>
  <c r="A48" i="13"/>
  <c r="B101" i="15"/>
  <c r="A50" i="13" s="1"/>
  <c r="D94" i="15"/>
  <c r="M94" i="15" s="1"/>
  <c r="K94" i="15"/>
  <c r="AF94" i="15"/>
  <c r="W94" i="15"/>
  <c r="L94" i="15"/>
  <c r="H94" i="15"/>
  <c r="A78" i="14"/>
  <c r="A126" i="14"/>
  <c r="C95" i="15"/>
  <c r="B44" i="13"/>
  <c r="C122" i="14"/>
  <c r="B51" i="17"/>
  <c r="C50" i="17"/>
  <c r="A168" i="15"/>
  <c r="A215" i="15" s="1"/>
  <c r="A47" i="17"/>
  <c r="A95" i="15"/>
  <c r="E94" i="15"/>
  <c r="Q167" i="15"/>
  <c r="P167" i="15"/>
  <c r="M167" i="15"/>
  <c r="U167" i="15"/>
  <c r="I167" i="15"/>
  <c r="V167" i="15"/>
  <c r="T167" i="15"/>
  <c r="R167" i="15"/>
  <c r="L167" i="15"/>
  <c r="N167" i="15"/>
  <c r="H167" i="15"/>
  <c r="D167" i="15"/>
  <c r="E167" i="15"/>
  <c r="C167" i="15"/>
  <c r="B102" i="15" l="1"/>
  <c r="A51" i="13" s="1"/>
  <c r="W95" i="15"/>
  <c r="K95" i="15"/>
  <c r="D95" i="15"/>
  <c r="M95" i="15" s="1"/>
  <c r="C96" i="15"/>
  <c r="A127" i="14"/>
  <c r="L95" i="15"/>
  <c r="A79" i="14"/>
  <c r="H95" i="15"/>
  <c r="AF95" i="15"/>
  <c r="B45" i="13"/>
  <c r="C123" i="14"/>
  <c r="B52" i="17"/>
  <c r="C51" i="17"/>
  <c r="A169" i="15"/>
  <c r="A216" i="15" s="1"/>
  <c r="A48" i="17"/>
  <c r="A96" i="15"/>
  <c r="E95" i="15"/>
  <c r="P168" i="15"/>
  <c r="Q168" i="15"/>
  <c r="I168" i="15"/>
  <c r="V168" i="15"/>
  <c r="N168" i="15"/>
  <c r="M168" i="15"/>
  <c r="T168" i="15"/>
  <c r="L168" i="15"/>
  <c r="H168" i="15"/>
  <c r="U168" i="15"/>
  <c r="R168" i="15"/>
  <c r="E168" i="15"/>
  <c r="D168" i="15"/>
  <c r="C168" i="15"/>
  <c r="B103" i="15" l="1"/>
  <c r="A52" i="13" s="1"/>
  <c r="A128" i="14"/>
  <c r="W96" i="15"/>
  <c r="L96" i="15"/>
  <c r="K96" i="15"/>
  <c r="A80" i="14"/>
  <c r="AF96" i="15"/>
  <c r="D96" i="15"/>
  <c r="M96" i="15" s="1"/>
  <c r="C97" i="15"/>
  <c r="H96" i="15"/>
  <c r="B46" i="13"/>
  <c r="C124" i="14"/>
  <c r="B53" i="17"/>
  <c r="C52" i="17"/>
  <c r="A49" i="17"/>
  <c r="A170" i="15"/>
  <c r="A217" i="15" s="1"/>
  <c r="A97" i="15"/>
  <c r="E96" i="15"/>
  <c r="P169" i="15"/>
  <c r="M169" i="15"/>
  <c r="L169" i="15"/>
  <c r="Q169" i="15"/>
  <c r="N169" i="15"/>
  <c r="I169" i="15"/>
  <c r="V169" i="15"/>
  <c r="H169" i="15"/>
  <c r="R169" i="15"/>
  <c r="T169" i="15"/>
  <c r="U169" i="15"/>
  <c r="E169" i="15"/>
  <c r="D169" i="15"/>
  <c r="C169" i="15"/>
  <c r="B104" i="15" l="1"/>
  <c r="L97" i="15"/>
  <c r="C98" i="15"/>
  <c r="AF97" i="15"/>
  <c r="H97" i="15"/>
  <c r="A129" i="14"/>
  <c r="W97" i="15"/>
  <c r="D97" i="15"/>
  <c r="M97" i="15" s="1"/>
  <c r="A81" i="14"/>
  <c r="K97" i="15"/>
  <c r="B47" i="13"/>
  <c r="C53" i="17"/>
  <c r="B54" i="17"/>
  <c r="A171" i="15"/>
  <c r="A218" i="15" s="1"/>
  <c r="A50" i="17"/>
  <c r="A98" i="15"/>
  <c r="E97" i="15"/>
  <c r="P170" i="15"/>
  <c r="Q170" i="15"/>
  <c r="L170" i="15"/>
  <c r="N170" i="15"/>
  <c r="R170" i="15"/>
  <c r="I170" i="15"/>
  <c r="T170" i="15"/>
  <c r="V170" i="15"/>
  <c r="U170" i="15"/>
  <c r="M170" i="15"/>
  <c r="H170" i="15"/>
  <c r="E170" i="15"/>
  <c r="D170" i="15"/>
  <c r="C170" i="15"/>
  <c r="A53" i="13" l="1"/>
  <c r="B105" i="15"/>
  <c r="A54" i="13" s="1"/>
  <c r="D98" i="15"/>
  <c r="M98" i="15" s="1"/>
  <c r="A130" i="14"/>
  <c r="AF98" i="15"/>
  <c r="L98" i="15"/>
  <c r="C99" i="15"/>
  <c r="K98" i="15"/>
  <c r="H98" i="15"/>
  <c r="W98" i="15"/>
  <c r="A82" i="14"/>
  <c r="B48" i="13"/>
  <c r="C125" i="14"/>
  <c r="C54" i="17"/>
  <c r="B55" i="17"/>
  <c r="A51" i="17"/>
  <c r="A172" i="15"/>
  <c r="A219" i="15" s="1"/>
  <c r="A99" i="15"/>
  <c r="E98" i="15"/>
  <c r="Q171" i="15"/>
  <c r="P171" i="15"/>
  <c r="L171" i="15"/>
  <c r="H171" i="15"/>
  <c r="V171" i="15"/>
  <c r="T171" i="15"/>
  <c r="M171" i="15"/>
  <c r="U171" i="15"/>
  <c r="I171" i="15"/>
  <c r="N171" i="15"/>
  <c r="R171" i="15"/>
  <c r="E171" i="15"/>
  <c r="D171" i="15"/>
  <c r="C171" i="15"/>
  <c r="B106" i="15" l="1"/>
  <c r="H99" i="15"/>
  <c r="C100" i="15"/>
  <c r="W99" i="15"/>
  <c r="A131" i="14"/>
  <c r="L99" i="15"/>
  <c r="A83" i="14"/>
  <c r="D99" i="15"/>
  <c r="M99" i="15" s="1"/>
  <c r="AF99" i="15"/>
  <c r="K99" i="15"/>
  <c r="B49" i="13"/>
  <c r="C126" i="14"/>
  <c r="C127" i="14"/>
  <c r="B56" i="17"/>
  <c r="C55" i="17"/>
  <c r="A52" i="17"/>
  <c r="A173" i="15"/>
  <c r="A220" i="15" s="1"/>
  <c r="A100" i="15"/>
  <c r="E99" i="15"/>
  <c r="P172" i="15"/>
  <c r="L172" i="15"/>
  <c r="V172" i="15"/>
  <c r="U172" i="15"/>
  <c r="M172" i="15"/>
  <c r="N172" i="15"/>
  <c r="Q172" i="15"/>
  <c r="I172" i="15"/>
  <c r="H172" i="15"/>
  <c r="T172" i="15"/>
  <c r="R172" i="15"/>
  <c r="D172" i="15"/>
  <c r="C172" i="15"/>
  <c r="E172" i="15"/>
  <c r="A55" i="13" l="1"/>
  <c r="B107" i="15"/>
  <c r="A56" i="13" s="1"/>
  <c r="AF100" i="15"/>
  <c r="C101" i="15"/>
  <c r="L100" i="15"/>
  <c r="A132" i="14"/>
  <c r="H100" i="15"/>
  <c r="W100" i="15"/>
  <c r="K100" i="15"/>
  <c r="D100" i="15"/>
  <c r="M100" i="15" s="1"/>
  <c r="A84" i="14"/>
  <c r="B50" i="13"/>
  <c r="C128" i="14"/>
  <c r="C56" i="17"/>
  <c r="B57" i="17"/>
  <c r="A53" i="17"/>
  <c r="A174" i="15"/>
  <c r="A221" i="15" s="1"/>
  <c r="A101" i="15"/>
  <c r="E100" i="15"/>
  <c r="P173" i="15"/>
  <c r="Q173" i="15"/>
  <c r="V173" i="15"/>
  <c r="U173" i="15"/>
  <c r="M173" i="15"/>
  <c r="I173" i="15"/>
  <c r="L173" i="15"/>
  <c r="N173" i="15"/>
  <c r="H173" i="15"/>
  <c r="R173" i="15"/>
  <c r="T173" i="15"/>
  <c r="E173" i="15"/>
  <c r="D173" i="15"/>
  <c r="C173" i="15"/>
  <c r="B108" i="15" l="1"/>
  <c r="A85" i="14"/>
  <c r="L101" i="15"/>
  <c r="C102" i="15"/>
  <c r="K101" i="15"/>
  <c r="H101" i="15"/>
  <c r="W101" i="15"/>
  <c r="D101" i="15"/>
  <c r="M101" i="15" s="1"/>
  <c r="A133" i="14"/>
  <c r="AF101" i="15"/>
  <c r="B51" i="13"/>
  <c r="C57" i="17"/>
  <c r="A175" i="15"/>
  <c r="A222" i="15" s="1"/>
  <c r="A54" i="17"/>
  <c r="A102" i="15"/>
  <c r="E101" i="15"/>
  <c r="P174" i="15"/>
  <c r="Q174" i="15"/>
  <c r="N174" i="15"/>
  <c r="T174" i="15"/>
  <c r="U174" i="15"/>
  <c r="I174" i="15"/>
  <c r="L174" i="15"/>
  <c r="H174" i="15"/>
  <c r="R174" i="15"/>
  <c r="V174" i="15"/>
  <c r="M174" i="15"/>
  <c r="E174" i="15"/>
  <c r="D174" i="15"/>
  <c r="C174" i="15"/>
  <c r="A57" i="13" l="1"/>
  <c r="S108" i="15"/>
  <c r="B109" i="15"/>
  <c r="D102" i="15"/>
  <c r="A134" i="14"/>
  <c r="C103" i="15"/>
  <c r="H102" i="15"/>
  <c r="K102" i="15"/>
  <c r="AF102" i="15"/>
  <c r="W102" i="15"/>
  <c r="A86" i="14"/>
  <c r="B52" i="13"/>
  <c r="C129" i="14"/>
  <c r="A176" i="15"/>
  <c r="A223" i="15" s="1"/>
  <c r="A55" i="17"/>
  <c r="A103" i="15"/>
  <c r="E102" i="15"/>
  <c r="Q175" i="15"/>
  <c r="N175" i="15"/>
  <c r="H175" i="15"/>
  <c r="L175" i="15"/>
  <c r="P175" i="15"/>
  <c r="R175" i="15"/>
  <c r="I175" i="15"/>
  <c r="U175" i="15"/>
  <c r="V175" i="15"/>
  <c r="T175" i="15"/>
  <c r="M175" i="15"/>
  <c r="C175" i="15"/>
  <c r="E175" i="15"/>
  <c r="D175" i="15"/>
  <c r="S109" i="15" l="1"/>
  <c r="B110" i="15"/>
  <c r="A135" i="14"/>
  <c r="A87" i="14"/>
  <c r="AF103" i="15"/>
  <c r="H103" i="15"/>
  <c r="D103" i="15"/>
  <c r="M103" i="15" s="1"/>
  <c r="C104" i="15"/>
  <c r="W103" i="15"/>
  <c r="L103" i="15"/>
  <c r="K103" i="15"/>
  <c r="B53" i="13"/>
  <c r="C130" i="14"/>
  <c r="L102" i="15"/>
  <c r="M102" i="15"/>
  <c r="P176" i="15"/>
  <c r="Q176" i="15"/>
  <c r="T176" i="15"/>
  <c r="H176" i="15"/>
  <c r="L176" i="15"/>
  <c r="I176" i="15"/>
  <c r="V176" i="15"/>
  <c r="N176" i="15"/>
  <c r="R176" i="15"/>
  <c r="U176" i="15"/>
  <c r="M176" i="15"/>
  <c r="A56" i="17"/>
  <c r="A177" i="15"/>
  <c r="A224" i="15" s="1"/>
  <c r="A104" i="15"/>
  <c r="E103" i="15"/>
  <c r="D176" i="15"/>
  <c r="C176" i="15"/>
  <c r="E176" i="15"/>
  <c r="S110" i="15" l="1"/>
  <c r="B111" i="15"/>
  <c r="A136" i="14"/>
  <c r="L104" i="15"/>
  <c r="K104" i="15"/>
  <c r="D104" i="15"/>
  <c r="M104" i="15" s="1"/>
  <c r="C105" i="15"/>
  <c r="H104" i="15"/>
  <c r="AF104" i="15"/>
  <c r="A88" i="14"/>
  <c r="W104" i="15"/>
  <c r="B54" i="13"/>
  <c r="C109" i="15"/>
  <c r="Q109" i="15" s="1"/>
  <c r="C131" i="14"/>
  <c r="P177" i="15"/>
  <c r="Q177" i="15"/>
  <c r="V177" i="15"/>
  <c r="L177" i="15"/>
  <c r="U177" i="15"/>
  <c r="N177" i="15"/>
  <c r="R177" i="15"/>
  <c r="T177" i="15"/>
  <c r="M177" i="15"/>
  <c r="I177" i="15"/>
  <c r="H177" i="15"/>
  <c r="A178" i="15"/>
  <c r="A225" i="15" s="1"/>
  <c r="A57" i="17"/>
  <c r="A105" i="15"/>
  <c r="E104" i="15"/>
  <c r="E177" i="15"/>
  <c r="D177" i="15"/>
  <c r="C177" i="15"/>
  <c r="S111" i="15" l="1"/>
  <c r="B112" i="15"/>
  <c r="H105" i="15"/>
  <c r="AF105" i="15"/>
  <c r="D105" i="15"/>
  <c r="M105" i="15" s="1"/>
  <c r="C106" i="15"/>
  <c r="W105" i="15"/>
  <c r="A137" i="14"/>
  <c r="A89" i="14"/>
  <c r="L105" i="15"/>
  <c r="K105" i="15"/>
  <c r="B55" i="13"/>
  <c r="F54" i="13"/>
  <c r="Z109" i="15"/>
  <c r="W109" i="15"/>
  <c r="K109" i="15"/>
  <c r="A143" i="14"/>
  <c r="L109" i="15"/>
  <c r="AF109" i="15"/>
  <c r="C110" i="15"/>
  <c r="Q110" i="15" s="1"/>
  <c r="AE109" i="15"/>
  <c r="H109" i="15"/>
  <c r="D109" i="15"/>
  <c r="M109" i="15" s="1"/>
  <c r="C132" i="14"/>
  <c r="P178" i="15"/>
  <c r="Q178" i="15"/>
  <c r="N178" i="15"/>
  <c r="R178" i="15"/>
  <c r="U178" i="15"/>
  <c r="I178" i="15"/>
  <c r="M178" i="15"/>
  <c r="V178" i="15"/>
  <c r="L178" i="15"/>
  <c r="H178" i="15"/>
  <c r="T178" i="15"/>
  <c r="Z105" i="15"/>
  <c r="A179" i="15"/>
  <c r="A226" i="15" s="1"/>
  <c r="A106" i="15"/>
  <c r="E105" i="15"/>
  <c r="D178" i="15"/>
  <c r="C178" i="15"/>
  <c r="E178" i="15"/>
  <c r="S112" i="15" l="1"/>
  <c r="B113" i="15"/>
  <c r="S113" i="15" s="1"/>
  <c r="D106" i="15"/>
  <c r="M106" i="15" s="1"/>
  <c r="AF106" i="15"/>
  <c r="A90" i="14"/>
  <c r="W106" i="15"/>
  <c r="L106" i="15"/>
  <c r="A138" i="14"/>
  <c r="K106" i="15"/>
  <c r="C107" i="15"/>
  <c r="H106" i="15"/>
  <c r="B56" i="13"/>
  <c r="F55" i="13"/>
  <c r="AF110" i="15"/>
  <c r="K110" i="15"/>
  <c r="D110" i="15"/>
  <c r="M110" i="15" s="1"/>
  <c r="H110" i="15"/>
  <c r="W110" i="15"/>
  <c r="C111" i="15"/>
  <c r="Q111" i="15" s="1"/>
  <c r="Z110" i="15"/>
  <c r="AE110" i="15"/>
  <c r="L110" i="15"/>
  <c r="C133" i="14"/>
  <c r="Z106" i="15"/>
  <c r="A180" i="15"/>
  <c r="A227" i="15" s="1"/>
  <c r="A107" i="15"/>
  <c r="A108" i="15" s="1"/>
  <c r="E106" i="15"/>
  <c r="Q179" i="15"/>
  <c r="P179" i="15"/>
  <c r="I179" i="15"/>
  <c r="N179" i="15"/>
  <c r="R179" i="15"/>
  <c r="H179" i="15"/>
  <c r="M179" i="15"/>
  <c r="L179" i="15"/>
  <c r="U179" i="15"/>
  <c r="T179" i="15"/>
  <c r="V179" i="15"/>
  <c r="C179" i="15"/>
  <c r="D179" i="15"/>
  <c r="E179" i="15"/>
  <c r="C108" i="15" l="1"/>
  <c r="Q108" i="15" s="1"/>
  <c r="D107" i="15"/>
  <c r="H107" i="15"/>
  <c r="AF107" i="15"/>
  <c r="K107" i="15"/>
  <c r="A139" i="14"/>
  <c r="A91" i="14"/>
  <c r="W107" i="15"/>
  <c r="B57" i="13"/>
  <c r="W111" i="15"/>
  <c r="D111" i="15"/>
  <c r="M111" i="15" s="1"/>
  <c r="K111" i="15"/>
  <c r="C112" i="15"/>
  <c r="Q112" i="15" s="1"/>
  <c r="L111" i="15"/>
  <c r="Z111" i="15"/>
  <c r="AE111" i="15"/>
  <c r="H111" i="15"/>
  <c r="AF111" i="15"/>
  <c r="A182" i="15"/>
  <c r="A109" i="15"/>
  <c r="C135" i="14"/>
  <c r="P180" i="15"/>
  <c r="I180" i="15"/>
  <c r="Q180" i="15"/>
  <c r="R180" i="15"/>
  <c r="H180" i="15"/>
  <c r="M180" i="15"/>
  <c r="L180" i="15"/>
  <c r="V180" i="15"/>
  <c r="N180" i="15"/>
  <c r="T180" i="15"/>
  <c r="U180" i="15"/>
  <c r="A181" i="15"/>
  <c r="A228" i="15" s="1"/>
  <c r="E107" i="15"/>
  <c r="D180" i="15"/>
  <c r="E180" i="15"/>
  <c r="C180" i="15"/>
  <c r="L108" i="15" l="1"/>
  <c r="AE108" i="15"/>
  <c r="A140" i="14"/>
  <c r="H108" i="15"/>
  <c r="A92" i="14"/>
  <c r="AF108" i="15"/>
  <c r="K108" i="15"/>
  <c r="W108" i="15"/>
  <c r="Z108" i="15"/>
  <c r="E108" i="15"/>
  <c r="D108" i="15"/>
  <c r="M108" i="15" s="1"/>
  <c r="C57" i="13"/>
  <c r="G57" i="13"/>
  <c r="F57" i="13"/>
  <c r="E57" i="13"/>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D57" i="13" l="1"/>
  <c r="F229" i="15"/>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C138"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C139" i="14"/>
  <c r="E233" i="15"/>
  <c r="I35" i="34" s="1"/>
  <c r="C233" i="15"/>
  <c r="I33" i="34" s="1"/>
  <c r="D233" i="15"/>
  <c r="I34" i="34" s="1"/>
  <c r="L87" i="15"/>
  <c r="M87" i="15"/>
  <c r="I48" i="119"/>
  <c r="H48" i="119"/>
  <c r="G48" i="119"/>
  <c r="E78" i="6" s="1"/>
  <c r="F133" i="15" s="1"/>
  <c r="E48" i="119"/>
  <c r="D48" i="119"/>
  <c r="C26" i="6" s="1"/>
  <c r="C48" i="119"/>
  <c r="C25" i="6" s="1"/>
  <c r="B22" i="15" s="1"/>
  <c r="F48" i="119"/>
  <c r="E75" i="6" s="1"/>
  <c r="B133" i="15" s="1"/>
  <c r="C52" i="6" l="1"/>
  <c r="X59" i="15" s="1"/>
  <c r="F136" i="15"/>
  <c r="C134" i="6"/>
  <c r="C69" i="6"/>
  <c r="B20" i="15"/>
  <c r="B21" i="15" s="1"/>
  <c r="C4" i="119"/>
  <c r="D199" i="119" s="1"/>
  <c r="C27" i="6"/>
  <c r="C28" i="6" s="1"/>
  <c r="C4" i="24"/>
  <c r="C3" i="119"/>
  <c r="C199" i="119" s="1"/>
  <c r="G152" i="15"/>
  <c r="G174" i="15"/>
  <c r="G168" i="15"/>
  <c r="G158" i="15"/>
  <c r="G139" i="15"/>
  <c r="G179" i="15"/>
  <c r="G156" i="15"/>
  <c r="G144" i="15"/>
  <c r="G161" i="15"/>
  <c r="G167" i="15"/>
  <c r="G148" i="15"/>
  <c r="G170" i="15"/>
  <c r="G153" i="15"/>
  <c r="G147" i="15"/>
  <c r="G143" i="15"/>
  <c r="G160" i="15"/>
  <c r="G172" i="15"/>
  <c r="G171" i="15"/>
  <c r="G151" i="15"/>
  <c r="G155" i="15"/>
  <c r="G157" i="15"/>
  <c r="G159" i="15"/>
  <c r="G141" i="15"/>
  <c r="G163" i="15"/>
  <c r="G166" i="15"/>
  <c r="G165" i="15"/>
  <c r="G181" i="15"/>
  <c r="G146" i="15"/>
  <c r="G142" i="15"/>
  <c r="G177" i="15"/>
  <c r="G175" i="15"/>
  <c r="G180" i="15"/>
  <c r="G176" i="15"/>
  <c r="G149" i="15"/>
  <c r="G150" i="15"/>
  <c r="G169" i="15"/>
  <c r="G173" i="15"/>
  <c r="G140" i="15"/>
  <c r="G178" i="15"/>
  <c r="G162" i="15"/>
  <c r="G154" i="15"/>
  <c r="G164" i="15"/>
  <c r="G145" i="15"/>
  <c r="F175" i="15"/>
  <c r="F173" i="15"/>
  <c r="F142" i="15"/>
  <c r="C46" i="33" l="1"/>
  <c r="E36" i="14"/>
  <c r="E22" i="15"/>
  <c r="F36" i="14"/>
  <c r="H36" i="14"/>
  <c r="C47" i="33" s="1"/>
  <c r="D36" i="14"/>
  <c r="G36" i="14"/>
  <c r="C5" i="119"/>
  <c r="E199" i="119" s="1"/>
  <c r="B26" i="15"/>
  <c r="B27" i="15" s="1"/>
  <c r="H37" i="14" s="1"/>
  <c r="C36" i="14"/>
  <c r="W116" i="15"/>
  <c r="AF116" i="15"/>
  <c r="AB55" i="15" s="1"/>
  <c r="AB57" i="15" s="1"/>
  <c r="F78" i="6"/>
  <c r="F83" i="6" s="1"/>
  <c r="C147" i="6" s="1"/>
  <c r="F75" i="6"/>
  <c r="F82" i="6" s="1"/>
  <c r="C146" i="6" s="1"/>
  <c r="F32" i="34"/>
  <c r="C32" i="34" s="1"/>
  <c r="F38" i="34"/>
  <c r="G136" i="15"/>
  <c r="F37" i="34"/>
  <c r="C197" i="119"/>
  <c r="C202" i="119" s="1"/>
  <c r="D202" i="119" s="1"/>
  <c r="D156" i="6"/>
  <c r="D155" i="6"/>
  <c r="D157" i="6"/>
  <c r="E22" i="24"/>
  <c r="G22" i="24" s="1"/>
  <c r="E14" i="24"/>
  <c r="G14" i="24" s="1"/>
  <c r="D152" i="6"/>
  <c r="E152" i="6" s="1"/>
  <c r="D122" i="6"/>
  <c r="E122" i="6" s="1"/>
  <c r="E25" i="24"/>
  <c r="G25" i="24" s="1"/>
  <c r="E23" i="24"/>
  <c r="G23" i="24" s="1"/>
  <c r="E19" i="24"/>
  <c r="G19" i="24" s="1"/>
  <c r="E18" i="24"/>
  <c r="G18" i="24" s="1"/>
  <c r="E20" i="24"/>
  <c r="G20" i="24" s="1"/>
  <c r="E21" i="24"/>
  <c r="G21" i="24" s="1"/>
  <c r="E26" i="24"/>
  <c r="G26" i="24" s="1"/>
  <c r="E16" i="24"/>
  <c r="G16" i="24" s="1"/>
  <c r="E24" i="24"/>
  <c r="G24" i="24" s="1"/>
  <c r="E17" i="24"/>
  <c r="G17" i="24" s="1"/>
  <c r="D150" i="6"/>
  <c r="E150" i="6" s="1"/>
  <c r="E15" i="24"/>
  <c r="G15" i="24" s="1"/>
  <c r="D153" i="6"/>
  <c r="E153" i="6" s="1"/>
  <c r="D151" i="6"/>
  <c r="E151" i="6" s="1"/>
  <c r="D111" i="6"/>
  <c r="E111" i="6" s="1"/>
  <c r="E113" i="6" s="1"/>
  <c r="E13" i="24"/>
  <c r="H206" i="15"/>
  <c r="L199" i="15"/>
  <c r="AE106" i="15"/>
  <c r="E205" i="15"/>
  <c r="G204" i="15"/>
  <c r="L219" i="15"/>
  <c r="M189" i="15"/>
  <c r="G190" i="15"/>
  <c r="C216" i="15"/>
  <c r="N209" i="15"/>
  <c r="H196" i="15"/>
  <c r="C227" i="15"/>
  <c r="L202" i="15"/>
  <c r="G222" i="15"/>
  <c r="C193" i="15"/>
  <c r="H222" i="15"/>
  <c r="I227" i="15"/>
  <c r="AE80" i="15"/>
  <c r="E213" i="15"/>
  <c r="C223" i="15"/>
  <c r="N191" i="15"/>
  <c r="D194" i="15"/>
  <c r="E222" i="15"/>
  <c r="I191" i="15"/>
  <c r="N225" i="15"/>
  <c r="I223" i="15"/>
  <c r="C203" i="15"/>
  <c r="N204" i="15"/>
  <c r="AE79" i="15"/>
  <c r="E189" i="15"/>
  <c r="G216" i="15"/>
  <c r="D217" i="15"/>
  <c r="D204" i="15"/>
  <c r="C224" i="15"/>
  <c r="E223" i="15"/>
  <c r="D200" i="15"/>
  <c r="E217" i="15"/>
  <c r="M223" i="15"/>
  <c r="H226" i="15"/>
  <c r="G226" i="15"/>
  <c r="C217" i="15"/>
  <c r="I192" i="15"/>
  <c r="G227" i="15"/>
  <c r="D215" i="15"/>
  <c r="I214" i="15"/>
  <c r="L224" i="15"/>
  <c r="G225" i="15"/>
  <c r="AE69" i="15"/>
  <c r="AE94" i="15"/>
  <c r="N205" i="15"/>
  <c r="H225" i="15"/>
  <c r="D224" i="15"/>
  <c r="D209" i="15"/>
  <c r="AE88" i="15"/>
  <c r="E208" i="15"/>
  <c r="C225" i="15"/>
  <c r="M212" i="15"/>
  <c r="L217" i="15"/>
  <c r="D216" i="15"/>
  <c r="L227" i="15"/>
  <c r="N210" i="15"/>
  <c r="D212" i="15"/>
  <c r="G220" i="15"/>
  <c r="N222" i="15"/>
  <c r="M209" i="15"/>
  <c r="M217" i="15"/>
  <c r="L204" i="15"/>
  <c r="C190" i="15"/>
  <c r="G197" i="15"/>
  <c r="G200" i="15"/>
  <c r="AE105" i="15"/>
  <c r="H195" i="15"/>
  <c r="M219" i="15"/>
  <c r="M210" i="15"/>
  <c r="AE96" i="15"/>
  <c r="M197" i="15"/>
  <c r="M222" i="15"/>
  <c r="N203" i="15"/>
  <c r="E191" i="15"/>
  <c r="I208" i="15"/>
  <c r="D202" i="15"/>
  <c r="L226" i="15"/>
  <c r="C201" i="15"/>
  <c r="I220" i="15"/>
  <c r="C211" i="15"/>
  <c r="D205" i="15"/>
  <c r="M193" i="15"/>
  <c r="G214" i="15"/>
  <c r="I199" i="15"/>
  <c r="M215" i="15"/>
  <c r="L208" i="15"/>
  <c r="AE90" i="15"/>
  <c r="N223" i="15"/>
  <c r="D213" i="15"/>
  <c r="M221" i="15"/>
  <c r="L193" i="15"/>
  <c r="N226" i="15"/>
  <c r="M195" i="15"/>
  <c r="N211" i="15"/>
  <c r="H221" i="15"/>
  <c r="N216" i="15"/>
  <c r="I211" i="15"/>
  <c r="C202" i="15"/>
  <c r="H190" i="15"/>
  <c r="L201" i="15"/>
  <c r="I198" i="15"/>
  <c r="G210" i="15"/>
  <c r="C205" i="15"/>
  <c r="E196" i="15"/>
  <c r="L222" i="15"/>
  <c r="H220" i="15"/>
  <c r="C194" i="15"/>
  <c r="AE85" i="15"/>
  <c r="F220" i="15"/>
  <c r="E193" i="15"/>
  <c r="I205" i="15"/>
  <c r="E219" i="15"/>
  <c r="H213" i="15"/>
  <c r="E203" i="15"/>
  <c r="AE81" i="15"/>
  <c r="C208" i="15"/>
  <c r="I212" i="15"/>
  <c r="I201" i="15"/>
  <c r="H200" i="15"/>
  <c r="I222" i="15"/>
  <c r="G198" i="15"/>
  <c r="I221" i="15"/>
  <c r="L216" i="15"/>
  <c r="N198" i="15"/>
  <c r="C189" i="15"/>
  <c r="H216" i="15"/>
  <c r="AE75" i="15"/>
  <c r="AE95" i="15"/>
  <c r="I200" i="15"/>
  <c r="I217" i="15"/>
  <c r="C212" i="15"/>
  <c r="N220" i="15"/>
  <c r="C209" i="15"/>
  <c r="I218" i="15"/>
  <c r="N200" i="15"/>
  <c r="L194" i="15"/>
  <c r="N196" i="15"/>
  <c r="M214" i="15"/>
  <c r="I207" i="15"/>
  <c r="I228" i="15"/>
  <c r="D218" i="15"/>
  <c r="N221" i="15"/>
  <c r="E212" i="15"/>
  <c r="L214" i="15"/>
  <c r="D196" i="15"/>
  <c r="M216" i="15"/>
  <c r="G189" i="15"/>
  <c r="G223" i="15"/>
  <c r="AE74" i="15"/>
  <c r="D223" i="15"/>
  <c r="L211" i="15"/>
  <c r="L198" i="15"/>
  <c r="E218" i="15"/>
  <c r="E214" i="15"/>
  <c r="E192" i="15"/>
  <c r="L203" i="15"/>
  <c r="I213" i="15"/>
  <c r="E200" i="15"/>
  <c r="D220" i="15"/>
  <c r="H207" i="15"/>
  <c r="D225" i="15"/>
  <c r="AE83" i="15"/>
  <c r="D197" i="15"/>
  <c r="G192" i="15"/>
  <c r="N197" i="15"/>
  <c r="AE84" i="15"/>
  <c r="N215" i="15"/>
  <c r="D201" i="15"/>
  <c r="E227" i="15"/>
  <c r="AE102" i="15"/>
  <c r="D208" i="15"/>
  <c r="L191" i="15"/>
  <c r="AE73" i="15"/>
  <c r="C222" i="15"/>
  <c r="I193" i="15"/>
  <c r="AE70" i="15"/>
  <c r="G209" i="15"/>
  <c r="C197" i="15"/>
  <c r="D199" i="15"/>
  <c r="G205" i="15"/>
  <c r="L195" i="15"/>
  <c r="M227" i="15"/>
  <c r="G195" i="15"/>
  <c r="G228" i="15"/>
  <c r="C219" i="15"/>
  <c r="H203" i="15"/>
  <c r="H208" i="15"/>
  <c r="C192" i="15"/>
  <c r="G224" i="15"/>
  <c r="G208" i="15"/>
  <c r="C221" i="15"/>
  <c r="N207" i="15"/>
  <c r="G193" i="15"/>
  <c r="L197" i="15"/>
  <c r="H191" i="15"/>
  <c r="AE89" i="15"/>
  <c r="H210" i="15"/>
  <c r="L196" i="15"/>
  <c r="H197" i="15"/>
  <c r="E228" i="15"/>
  <c r="D207" i="15"/>
  <c r="H198" i="15"/>
  <c r="D206" i="15"/>
  <c r="L209" i="15"/>
  <c r="M199" i="15"/>
  <c r="E224" i="15"/>
  <c r="M207" i="15"/>
  <c r="E202" i="15"/>
  <c r="M228" i="15"/>
  <c r="H194" i="15"/>
  <c r="E204" i="15"/>
  <c r="G211" i="15"/>
  <c r="H212" i="15"/>
  <c r="E211" i="15"/>
  <c r="AE93" i="15"/>
  <c r="I226" i="15"/>
  <c r="C218" i="15"/>
  <c r="D192" i="15"/>
  <c r="D211" i="15"/>
  <c r="AE78" i="15"/>
  <c r="C213" i="15"/>
  <c r="AE71" i="15"/>
  <c r="AE92" i="15"/>
  <c r="M224" i="15"/>
  <c r="N212" i="15"/>
  <c r="N213" i="15"/>
  <c r="N214" i="15"/>
  <c r="D219" i="15"/>
  <c r="M196" i="15"/>
  <c r="D203" i="15"/>
  <c r="N192" i="15"/>
  <c r="H211" i="15"/>
  <c r="M191" i="15"/>
  <c r="H217" i="15"/>
  <c r="E201" i="15"/>
  <c r="L228" i="15"/>
  <c r="C207" i="15"/>
  <c r="G221" i="15"/>
  <c r="L210" i="15"/>
  <c r="M201" i="15"/>
  <c r="E199" i="15"/>
  <c r="N224" i="15"/>
  <c r="D195" i="15"/>
  <c r="AE76" i="15"/>
  <c r="L221" i="15"/>
  <c r="I203" i="15"/>
  <c r="I189" i="15"/>
  <c r="H228" i="15"/>
  <c r="M220" i="15"/>
  <c r="H224" i="15"/>
  <c r="L189" i="15"/>
  <c r="G213" i="15"/>
  <c r="I190" i="15"/>
  <c r="E209" i="15"/>
  <c r="G207" i="15"/>
  <c r="L190" i="15"/>
  <c r="E216" i="15"/>
  <c r="G203" i="15"/>
  <c r="D227" i="15"/>
  <c r="D226" i="15"/>
  <c r="AE86" i="15"/>
  <c r="I219" i="15"/>
  <c r="AE107" i="15"/>
  <c r="N189" i="15"/>
  <c r="E225" i="15"/>
  <c r="C228" i="15"/>
  <c r="I206" i="15"/>
  <c r="D228" i="15"/>
  <c r="G202" i="15"/>
  <c r="M194" i="15"/>
  <c r="E198" i="15"/>
  <c r="H214" i="15"/>
  <c r="F222" i="15"/>
  <c r="H189" i="15"/>
  <c r="G201" i="15"/>
  <c r="C220" i="15"/>
  <c r="AE99" i="15"/>
  <c r="AE97" i="15"/>
  <c r="G217" i="15"/>
  <c r="L218" i="15"/>
  <c r="N194" i="15"/>
  <c r="I195" i="15"/>
  <c r="L223" i="15"/>
  <c r="D191" i="15"/>
  <c r="E210" i="15"/>
  <c r="I197" i="15"/>
  <c r="H192" i="15"/>
  <c r="N190" i="15"/>
  <c r="M208" i="15"/>
  <c r="D190" i="15"/>
  <c r="H219" i="15"/>
  <c r="G206" i="15"/>
  <c r="M204" i="15"/>
  <c r="M200" i="15"/>
  <c r="F189" i="15"/>
  <c r="AE104" i="15"/>
  <c r="L205" i="15"/>
  <c r="N201" i="15"/>
  <c r="M226" i="15"/>
  <c r="E207" i="15"/>
  <c r="M192" i="15"/>
  <c r="N228" i="15"/>
  <c r="M202" i="15"/>
  <c r="D193" i="15"/>
  <c r="H205" i="15"/>
  <c r="C204" i="15"/>
  <c r="C191" i="15"/>
  <c r="H209" i="15"/>
  <c r="E206" i="15"/>
  <c r="C196" i="15"/>
  <c r="G212" i="15"/>
  <c r="N227" i="15"/>
  <c r="I210" i="15"/>
  <c r="M203" i="15"/>
  <c r="L206" i="15"/>
  <c r="I196" i="15"/>
  <c r="D221" i="15"/>
  <c r="N202" i="15"/>
  <c r="AE77" i="15"/>
  <c r="L212" i="15"/>
  <c r="AE72" i="15"/>
  <c r="C226" i="15"/>
  <c r="G196" i="15"/>
  <c r="E195" i="15"/>
  <c r="C214" i="15"/>
  <c r="E190" i="15"/>
  <c r="D198" i="15"/>
  <c r="D189" i="15"/>
  <c r="M205" i="15"/>
  <c r="E194" i="15"/>
  <c r="AE91" i="15"/>
  <c r="M213" i="15"/>
  <c r="H193" i="15"/>
  <c r="N195" i="15"/>
  <c r="H215" i="15"/>
  <c r="I215" i="15"/>
  <c r="C215" i="15"/>
  <c r="C200" i="15"/>
  <c r="L207" i="15"/>
  <c r="AE100" i="15"/>
  <c r="E226" i="15"/>
  <c r="L213" i="15"/>
  <c r="H202" i="15"/>
  <c r="L225" i="15"/>
  <c r="N208" i="15"/>
  <c r="E215" i="15"/>
  <c r="C210" i="15"/>
  <c r="D214" i="15"/>
  <c r="I216" i="15"/>
  <c r="C198" i="15"/>
  <c r="G218" i="15"/>
  <c r="D222" i="15"/>
  <c r="I204" i="15"/>
  <c r="D210" i="15"/>
  <c r="H199" i="15"/>
  <c r="AE68" i="15"/>
  <c r="I202" i="15"/>
  <c r="C206" i="15"/>
  <c r="I209" i="15"/>
  <c r="H204" i="15"/>
  <c r="M206" i="15"/>
  <c r="N219" i="15"/>
  <c r="E220" i="15"/>
  <c r="L200" i="15"/>
  <c r="AE103" i="15"/>
  <c r="C195" i="15"/>
  <c r="N217" i="15"/>
  <c r="H227" i="15"/>
  <c r="I224" i="15"/>
  <c r="N206" i="15"/>
  <c r="M225" i="15"/>
  <c r="AE101" i="15"/>
  <c r="G191" i="15"/>
  <c r="H201" i="15"/>
  <c r="L220" i="15"/>
  <c r="N193" i="15"/>
  <c r="M218" i="15"/>
  <c r="I225" i="15"/>
  <c r="L192" i="15"/>
  <c r="AE82" i="15"/>
  <c r="M190" i="15"/>
  <c r="C199" i="15"/>
  <c r="E197" i="15"/>
  <c r="G215" i="15"/>
  <c r="M211" i="15"/>
  <c r="H223" i="15"/>
  <c r="I194" i="15"/>
  <c r="H218" i="15"/>
  <c r="AE98" i="15"/>
  <c r="N199" i="15"/>
  <c r="G219" i="15"/>
  <c r="M198" i="15"/>
  <c r="AE87" i="15"/>
  <c r="G194" i="15"/>
  <c r="L215" i="15"/>
  <c r="E221" i="15"/>
  <c r="N218" i="15"/>
  <c r="G199" i="15"/>
  <c r="B17" i="15"/>
  <c r="C81" i="119"/>
  <c r="D81" i="119" s="1"/>
  <c r="I4" i="119"/>
  <c r="C82" i="119" s="1"/>
  <c r="D82" i="119" s="1"/>
  <c r="H4" i="119"/>
  <c r="C78" i="119"/>
  <c r="D78" i="119" s="1"/>
  <c r="H3" i="119"/>
  <c r="I3" i="119"/>
  <c r="C79" i="119" s="1"/>
  <c r="D79" i="119" s="1"/>
  <c r="F156" i="15"/>
  <c r="B167" i="15"/>
  <c r="B148" i="15"/>
  <c r="B181" i="15"/>
  <c r="B174" i="15"/>
  <c r="B152" i="15"/>
  <c r="F172" i="15"/>
  <c r="B150" i="15"/>
  <c r="B146" i="15"/>
  <c r="B149" i="15"/>
  <c r="F158" i="15"/>
  <c r="B178" i="15"/>
  <c r="F168" i="15"/>
  <c r="F165" i="15"/>
  <c r="B162" i="15"/>
  <c r="F155" i="15"/>
  <c r="B172" i="15"/>
  <c r="F157" i="15"/>
  <c r="F177" i="15"/>
  <c r="B145" i="15"/>
  <c r="B179" i="15"/>
  <c r="F167" i="15"/>
  <c r="F163" i="15"/>
  <c r="F143" i="15"/>
  <c r="F171" i="15"/>
  <c r="B139" i="15"/>
  <c r="F169" i="15"/>
  <c r="F154" i="15"/>
  <c r="F178" i="15"/>
  <c r="B153" i="15"/>
  <c r="F161" i="15"/>
  <c r="B159" i="15"/>
  <c r="B163" i="15"/>
  <c r="F139" i="15"/>
  <c r="F179" i="15"/>
  <c r="F170" i="15"/>
  <c r="B169" i="15"/>
  <c r="B154" i="15"/>
  <c r="F176" i="15"/>
  <c r="B177" i="15"/>
  <c r="F181" i="15"/>
  <c r="F146" i="15"/>
  <c r="B158" i="15"/>
  <c r="B180" i="15"/>
  <c r="B160" i="15"/>
  <c r="B166" i="15"/>
  <c r="F147" i="15"/>
  <c r="F152" i="15"/>
  <c r="F144" i="15"/>
  <c r="F159" i="15"/>
  <c r="B157" i="15"/>
  <c r="B173" i="15"/>
  <c r="B143" i="15"/>
  <c r="B168" i="15"/>
  <c r="F148" i="15"/>
  <c r="B140" i="15"/>
  <c r="B165" i="15"/>
  <c r="B141" i="15"/>
  <c r="F153" i="15"/>
  <c r="F149" i="15"/>
  <c r="F166" i="15"/>
  <c r="F160" i="15"/>
  <c r="B176" i="15"/>
  <c r="B164" i="15"/>
  <c r="B170" i="15"/>
  <c r="B155" i="15"/>
  <c r="F164" i="15"/>
  <c r="B151" i="15"/>
  <c r="F174" i="15"/>
  <c r="B175" i="15"/>
  <c r="F151" i="15"/>
  <c r="F141" i="15"/>
  <c r="F150" i="15"/>
  <c r="B161" i="15"/>
  <c r="B144" i="15"/>
  <c r="B171" i="15"/>
  <c r="F145" i="15"/>
  <c r="B142" i="15"/>
  <c r="F180" i="15"/>
  <c r="B156" i="15"/>
  <c r="F140" i="15"/>
  <c r="B147" i="15"/>
  <c r="F162" i="15"/>
  <c r="C37" i="14" l="1"/>
  <c r="E23" i="15"/>
  <c r="E25" i="15" s="1"/>
  <c r="W115" i="15"/>
  <c r="G37" i="14"/>
  <c r="E37" i="14"/>
  <c r="D37" i="14"/>
  <c r="F37" i="14"/>
  <c r="C48" i="33"/>
  <c r="E24" i="15"/>
  <c r="H5" i="119"/>
  <c r="C83" i="119" s="1"/>
  <c r="D83" i="119" s="1"/>
  <c r="I5" i="119"/>
  <c r="C85" i="119" s="1"/>
  <c r="D85" i="119" s="1"/>
  <c r="C84" i="119"/>
  <c r="D84" i="119" s="1"/>
  <c r="B136" i="15"/>
  <c r="B197" i="15"/>
  <c r="O76" i="15"/>
  <c r="O87" i="15"/>
  <c r="B208" i="15"/>
  <c r="B192" i="15"/>
  <c r="O71" i="15"/>
  <c r="B201" i="15"/>
  <c r="O80" i="15"/>
  <c r="B200" i="15"/>
  <c r="O79" i="15"/>
  <c r="O105" i="15"/>
  <c r="B226" i="15"/>
  <c r="O77" i="15"/>
  <c r="B198" i="15"/>
  <c r="O89" i="15"/>
  <c r="B210" i="15"/>
  <c r="O103" i="15"/>
  <c r="B224" i="15"/>
  <c r="O75" i="15"/>
  <c r="B196" i="15"/>
  <c r="B207" i="15"/>
  <c r="O86" i="15"/>
  <c r="B205" i="15"/>
  <c r="O84" i="15"/>
  <c r="O83" i="15"/>
  <c r="B204" i="15"/>
  <c r="B202" i="15"/>
  <c r="O81" i="15"/>
  <c r="B195" i="15"/>
  <c r="O74" i="15"/>
  <c r="O95" i="15"/>
  <c r="B216" i="15"/>
  <c r="O72" i="15"/>
  <c r="B193" i="15"/>
  <c r="B211" i="15"/>
  <c r="O90" i="15"/>
  <c r="B225" i="15"/>
  <c r="O104" i="15"/>
  <c r="B219" i="15"/>
  <c r="O98" i="15"/>
  <c r="O97" i="15"/>
  <c r="B218" i="15"/>
  <c r="B209" i="15"/>
  <c r="O88" i="15"/>
  <c r="O101" i="15"/>
  <c r="B222" i="15"/>
  <c r="B220" i="15"/>
  <c r="O99" i="15"/>
  <c r="O78" i="15"/>
  <c r="B199" i="15"/>
  <c r="O70" i="15"/>
  <c r="B191" i="15"/>
  <c r="B206" i="15"/>
  <c r="O85" i="15"/>
  <c r="O96" i="15"/>
  <c r="B217" i="15"/>
  <c r="B212" i="15"/>
  <c r="O91" i="15"/>
  <c r="O82" i="15"/>
  <c r="B203" i="15"/>
  <c r="O107" i="15"/>
  <c r="B228" i="15"/>
  <c r="B227" i="15"/>
  <c r="O106" i="15"/>
  <c r="O69" i="15"/>
  <c r="B190" i="15"/>
  <c r="B215" i="15"/>
  <c r="O94" i="15"/>
  <c r="B221" i="15"/>
  <c r="O100" i="15"/>
  <c r="B223" i="15"/>
  <c r="O102" i="15"/>
  <c r="O73" i="15"/>
  <c r="B194" i="15"/>
  <c r="O68" i="15"/>
  <c r="B189" i="15"/>
  <c r="B213" i="15"/>
  <c r="O92" i="15"/>
  <c r="O93" i="15"/>
  <c r="B214" i="15"/>
  <c r="F226" i="15"/>
  <c r="F204" i="15"/>
  <c r="F200" i="15"/>
  <c r="F191" i="15"/>
  <c r="F198" i="15"/>
  <c r="F192" i="15"/>
  <c r="F195" i="15"/>
  <c r="F217" i="15"/>
  <c r="F221" i="15"/>
  <c r="F216" i="15"/>
  <c r="F210" i="15"/>
  <c r="F219" i="15"/>
  <c r="F212" i="15"/>
  <c r="F225" i="15"/>
  <c r="F190" i="15"/>
  <c r="F206" i="15"/>
  <c r="F213" i="15"/>
  <c r="F208" i="15"/>
  <c r="F209" i="15"/>
  <c r="F228" i="15"/>
  <c r="F205" i="15"/>
  <c r="F193" i="15"/>
  <c r="F227" i="15"/>
  <c r="F199" i="15"/>
  <c r="F207" i="15"/>
  <c r="F201" i="15"/>
  <c r="F197" i="15"/>
  <c r="F196" i="15"/>
  <c r="F202" i="15"/>
  <c r="F215" i="15"/>
  <c r="F203" i="15"/>
  <c r="F194" i="15"/>
  <c r="F214" i="15"/>
  <c r="F224" i="15"/>
  <c r="F223" i="15"/>
  <c r="F218" i="15"/>
  <c r="F211" i="15"/>
  <c r="E100" i="34"/>
  <c r="C100" i="34"/>
  <c r="C37" i="34"/>
  <c r="D100" i="34"/>
  <c r="C38" i="34"/>
  <c r="E101" i="34"/>
  <c r="D101" i="34"/>
  <c r="C101" i="34"/>
  <c r="C95" i="34"/>
  <c r="D85" i="34" s="1"/>
  <c r="E95" i="34"/>
  <c r="F85" i="34" s="1"/>
  <c r="F86" i="34" s="1"/>
  <c r="D95" i="34"/>
  <c r="B203" i="119"/>
  <c r="H231" i="15"/>
  <c r="E231" i="15"/>
  <c r="E27" i="24"/>
  <c r="G13" i="24"/>
  <c r="G27" i="24" s="1"/>
  <c r="AE116" i="15"/>
  <c r="L231" i="15"/>
  <c r="E115" i="6"/>
  <c r="L101" i="119"/>
  <c r="C77" i="119"/>
  <c r="D77" i="119" s="1"/>
  <c r="N231" i="15"/>
  <c r="C231" i="15"/>
  <c r="B57" i="15"/>
  <c r="D61" i="34"/>
  <c r="C61" i="34"/>
  <c r="D32" i="34"/>
  <c r="E61" i="34"/>
  <c r="C53" i="34"/>
  <c r="E110" i="34"/>
  <c r="D110" i="34"/>
  <c r="C110" i="34"/>
  <c r="D231" i="15"/>
  <c r="G231" i="15"/>
  <c r="M231" i="15"/>
  <c r="B18" i="15"/>
  <c r="B19" i="15"/>
  <c r="L102" i="119"/>
  <c r="C80" i="119"/>
  <c r="D80" i="119" s="1"/>
  <c r="I231" i="15"/>
  <c r="L103" i="119" l="1"/>
  <c r="B231" i="15"/>
  <c r="B232" i="15" s="1"/>
  <c r="B233" i="15" s="1"/>
  <c r="I32" i="34" s="1"/>
  <c r="O115" i="15"/>
  <c r="B122" i="15" s="1"/>
  <c r="O116" i="15"/>
  <c r="O117" i="15" s="1"/>
  <c r="T48" i="119" s="1"/>
  <c r="E165" i="119" s="1"/>
  <c r="O114" i="15"/>
  <c r="F231" i="15"/>
  <c r="F232" i="15" s="1"/>
  <c r="F233" i="15" s="1"/>
  <c r="I37" i="34" s="1"/>
  <c r="F100" i="34"/>
  <c r="F101" i="34"/>
  <c r="D38" i="34"/>
  <c r="D116" i="34"/>
  <c r="D67" i="34"/>
  <c r="C116" i="34"/>
  <c r="C67" i="34"/>
  <c r="E67" i="34"/>
  <c r="E116" i="34"/>
  <c r="E66" i="34"/>
  <c r="D66" i="34"/>
  <c r="E115" i="34"/>
  <c r="C115" i="34"/>
  <c r="D37" i="34"/>
  <c r="D115" i="34"/>
  <c r="C66" i="34"/>
  <c r="C54" i="34"/>
  <c r="F95" i="34"/>
  <c r="G85" i="34" s="1"/>
  <c r="G86" i="34" s="1"/>
  <c r="E85" i="34"/>
  <c r="E86" i="34" s="1"/>
  <c r="C203" i="119"/>
  <c r="D203" i="119" s="1"/>
  <c r="I232" i="15"/>
  <c r="M232" i="15"/>
  <c r="G232" i="15"/>
  <c r="G233" i="15" s="1"/>
  <c r="I38" i="34" s="1"/>
  <c r="D232" i="15"/>
  <c r="E232" i="15"/>
  <c r="H232" i="15"/>
  <c r="L232" i="15"/>
  <c r="C232" i="15"/>
  <c r="N232" i="15"/>
  <c r="F110" i="34"/>
  <c r="P106" i="15"/>
  <c r="P84" i="15"/>
  <c r="P107" i="15"/>
  <c r="P93" i="15"/>
  <c r="P101" i="15"/>
  <c r="P72" i="15"/>
  <c r="P104" i="15"/>
  <c r="P92" i="15"/>
  <c r="P75" i="15"/>
  <c r="P94" i="15"/>
  <c r="P98" i="15"/>
  <c r="P82" i="15"/>
  <c r="P81" i="15"/>
  <c r="P95" i="15"/>
  <c r="P80" i="15"/>
  <c r="P70" i="15"/>
  <c r="P105" i="15"/>
  <c r="P103" i="15"/>
  <c r="P91" i="15"/>
  <c r="P85" i="15"/>
  <c r="P99" i="15"/>
  <c r="P88" i="15"/>
  <c r="P86" i="15"/>
  <c r="P79" i="15"/>
  <c r="P89" i="15"/>
  <c r="P73" i="15"/>
  <c r="P76" i="15"/>
  <c r="P100" i="15"/>
  <c r="P83" i="15"/>
  <c r="P78" i="15"/>
  <c r="P96" i="15"/>
  <c r="P90" i="15"/>
  <c r="P69" i="15"/>
  <c r="P87" i="15"/>
  <c r="P97" i="15"/>
  <c r="P77" i="15"/>
  <c r="P71" i="15"/>
  <c r="P102" i="15"/>
  <c r="P74" i="15"/>
  <c r="P68" i="15"/>
  <c r="C22" i="33"/>
  <c r="D86" i="34"/>
  <c r="AC55" i="15"/>
  <c r="AC57" i="15" s="1"/>
  <c r="C5" i="24"/>
  <c r="C88" i="6"/>
  <c r="F116" i="34" l="1"/>
  <c r="F115" i="34"/>
  <c r="B204" i="119"/>
  <c r="C204" i="119" s="1"/>
  <c r="B205" i="119" s="1"/>
  <c r="J36" i="33"/>
  <c r="C21" i="33"/>
  <c r="C23" i="33"/>
  <c r="D119" i="6"/>
  <c r="E119" i="6" s="1"/>
  <c r="D120" i="6"/>
  <c r="D121" i="6"/>
  <c r="E121" i="6" s="1"/>
  <c r="D123" i="6"/>
  <c r="E123" i="6" s="1"/>
  <c r="D116" i="6"/>
  <c r="E116" i="6" s="1"/>
  <c r="D103" i="6"/>
  <c r="E103" i="6" s="1"/>
  <c r="E104" i="6" s="1"/>
  <c r="E106" i="6" s="1"/>
  <c r="B52" i="15" s="1"/>
  <c r="K65" i="15" s="1"/>
  <c r="P114" i="15"/>
  <c r="P116" i="15"/>
  <c r="P117" i="15" s="1"/>
  <c r="U48" i="119" s="1"/>
  <c r="E166" i="119" s="1"/>
  <c r="P115" i="15"/>
  <c r="B123" i="15" s="1"/>
  <c r="C38" i="33"/>
  <c r="D204" i="119" l="1"/>
  <c r="C205" i="119"/>
  <c r="D205" i="119" s="1"/>
  <c r="C53" i="33"/>
  <c r="C55" i="33" s="1"/>
  <c r="E120" i="6"/>
  <c r="C68" i="33"/>
  <c r="C26" i="33" s="1"/>
  <c r="C24" i="33"/>
  <c r="K114" i="15"/>
  <c r="K116" i="15"/>
  <c r="K117" i="15" s="1"/>
  <c r="Q48" i="119" s="1"/>
  <c r="E162" i="119" s="1"/>
  <c r="K115" i="15"/>
  <c r="J133" i="15" l="1"/>
  <c r="F42" i="34" s="1"/>
  <c r="B206" i="119"/>
  <c r="C54" i="33"/>
  <c r="C107" i="33"/>
  <c r="C99" i="33"/>
  <c r="C95" i="33"/>
  <c r="C83" i="33"/>
  <c r="C106" i="33"/>
  <c r="C82" i="33"/>
  <c r="C94" i="33"/>
  <c r="C98" i="33"/>
  <c r="C56" i="33"/>
  <c r="C57" i="33"/>
  <c r="C75" i="33"/>
  <c r="C70" i="33"/>
  <c r="C71" i="33" s="1"/>
  <c r="C74" i="33"/>
  <c r="J31" i="33" s="1"/>
  <c r="J34" i="33" s="1"/>
  <c r="J131" i="15" l="1"/>
  <c r="J185" i="15" s="1"/>
  <c r="D87" i="34"/>
  <c r="D88" i="34" s="1"/>
  <c r="F47" i="34"/>
  <c r="C47" i="34" s="1"/>
  <c r="K139" i="15"/>
  <c r="K140" i="15"/>
  <c r="K141" i="15"/>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Q106" i="15" s="1"/>
  <c r="K181" i="15"/>
  <c r="Q107" i="15" s="1"/>
  <c r="C206" i="119"/>
  <c r="D206" i="119" s="1"/>
  <c r="C100" i="33"/>
  <c r="E18" i="17" s="1"/>
  <c r="F18" i="17" s="1"/>
  <c r="C58" i="33"/>
  <c r="J40" i="33"/>
  <c r="J22" i="33"/>
  <c r="G21" i="34"/>
  <c r="K45" i="33"/>
  <c r="J25" i="33"/>
  <c r="C78" i="33"/>
  <c r="J38" i="33" s="1"/>
  <c r="J23" i="33"/>
  <c r="C86" i="33"/>
  <c r="J39" i="33" s="1"/>
  <c r="J24" i="33"/>
  <c r="J27" i="33" l="1"/>
  <c r="J41" i="33"/>
  <c r="G20" i="34" s="1"/>
  <c r="J135" i="15"/>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E46" i="17"/>
  <c r="F46" i="17" s="1"/>
  <c r="E27" i="17"/>
  <c r="F27" i="17" s="1"/>
  <c r="E26" i="17"/>
  <c r="F26" i="17" s="1"/>
  <c r="E47" i="17"/>
  <c r="F47" i="17" s="1"/>
  <c r="E29" i="17"/>
  <c r="F29" i="17" s="1"/>
  <c r="E21" i="17"/>
  <c r="F21" i="17" s="1"/>
  <c r="E42" i="17"/>
  <c r="F42" i="17" s="1"/>
  <c r="E40" i="17"/>
  <c r="F40" i="17" s="1"/>
  <c r="E36" i="17"/>
  <c r="F36" i="17" s="1"/>
  <c r="E25" i="17"/>
  <c r="F25" i="17" s="1"/>
  <c r="E32" i="17"/>
  <c r="F32" i="17" s="1"/>
  <c r="E53" i="17"/>
  <c r="F53" i="17" s="1"/>
  <c r="E39" i="17"/>
  <c r="F39" i="17" s="1"/>
  <c r="E43" i="17"/>
  <c r="F43" i="17" s="1"/>
  <c r="E31" i="17"/>
  <c r="F31" i="17" s="1"/>
  <c r="E57" i="17"/>
  <c r="F57" i="17" s="1"/>
  <c r="E28" i="17"/>
  <c r="F28" i="17" s="1"/>
  <c r="E20" i="17"/>
  <c r="F20" i="17" s="1"/>
  <c r="E54" i="17"/>
  <c r="F54" i="17" s="1"/>
  <c r="E30" i="17"/>
  <c r="F30" i="17" s="1"/>
  <c r="E45" i="17"/>
  <c r="F45" i="17" s="1"/>
  <c r="E24" i="17"/>
  <c r="F24" i="17" s="1"/>
  <c r="E50" i="17"/>
  <c r="F50" i="17" s="1"/>
  <c r="E49" i="17"/>
  <c r="F49" i="17" s="1"/>
  <c r="E19" i="17"/>
  <c r="F19" i="17" s="1"/>
  <c r="E38" i="17"/>
  <c r="F38" i="17" s="1"/>
  <c r="E34" i="17"/>
  <c r="F34" i="17" s="1"/>
  <c r="E35" i="17"/>
  <c r="F35" i="17" s="1"/>
  <c r="E52" i="17"/>
  <c r="F52" i="17" s="1"/>
  <c r="E33" i="17"/>
  <c r="F33" i="17" s="1"/>
  <c r="E37" i="17"/>
  <c r="F37" i="17" s="1"/>
  <c r="E41" i="17"/>
  <c r="F41" i="17" s="1"/>
  <c r="E51" i="17"/>
  <c r="F51" i="17" s="1"/>
  <c r="E55" i="17"/>
  <c r="F55" i="17" s="1"/>
  <c r="E48" i="17"/>
  <c r="F48" i="17" s="1"/>
  <c r="E22" i="17"/>
  <c r="F22" i="17" s="1"/>
  <c r="E44" i="17"/>
  <c r="F44" i="17" s="1"/>
  <c r="E23" i="17"/>
  <c r="F23" i="17" s="1"/>
  <c r="E56" i="17"/>
  <c r="F56" i="17" s="1"/>
  <c r="H21" i="34"/>
  <c r="J26" i="33"/>
  <c r="J168" i="15"/>
  <c r="J164" i="15"/>
  <c r="J161" i="15"/>
  <c r="J166" i="15"/>
  <c r="J170" i="15"/>
  <c r="J160" i="15"/>
  <c r="J181" i="15"/>
  <c r="J172" i="15"/>
  <c r="J177" i="15"/>
  <c r="J158" i="15"/>
  <c r="J155" i="15"/>
  <c r="J159" i="15"/>
  <c r="J173" i="15"/>
  <c r="J180" i="15"/>
  <c r="J145" i="15"/>
  <c r="J171" i="15"/>
  <c r="J176" i="15"/>
  <c r="J148" i="15"/>
  <c r="J141" i="15"/>
  <c r="J154" i="15"/>
  <c r="J174" i="15"/>
  <c r="J144" i="15"/>
  <c r="J169" i="15"/>
  <c r="J142" i="15"/>
  <c r="J140" i="15"/>
  <c r="J151" i="15"/>
  <c r="J139" i="15"/>
  <c r="J178" i="15"/>
  <c r="E42" i="34" l="1"/>
  <c r="C42" i="34" s="1"/>
  <c r="C55" i="34" s="1"/>
  <c r="D52" i="34" s="1"/>
  <c r="B71" i="34"/>
  <c r="B120" i="34"/>
  <c r="B105" i="34"/>
  <c r="G42" i="34"/>
  <c r="Q116" i="15"/>
  <c r="Q118" i="15" s="1"/>
  <c r="L48" i="119" s="1"/>
  <c r="E156" i="119" s="1"/>
  <c r="Q115" i="15"/>
  <c r="B124" i="15" s="1"/>
  <c r="Q114" i="15"/>
  <c r="K231" i="15"/>
  <c r="K232" i="15" s="1"/>
  <c r="K233" i="15" s="1"/>
  <c r="I47" i="34" s="1"/>
  <c r="J225" i="15"/>
  <c r="J205" i="15"/>
  <c r="J227" i="15"/>
  <c r="J215" i="15"/>
  <c r="J189" i="15"/>
  <c r="J223" i="15"/>
  <c r="J206" i="15"/>
  <c r="J208" i="15"/>
  <c r="J218" i="15"/>
  <c r="J216" i="15"/>
  <c r="J195" i="15"/>
  <c r="J201" i="15"/>
  <c r="J202" i="15"/>
  <c r="J217" i="15"/>
  <c r="J211" i="15"/>
  <c r="J198" i="15"/>
  <c r="J207" i="15"/>
  <c r="J191" i="15"/>
  <c r="J219" i="15"/>
  <c r="J192" i="15"/>
  <c r="J220" i="15"/>
  <c r="J213" i="15"/>
  <c r="J224" i="15"/>
  <c r="J228" i="15"/>
  <c r="J221" i="15"/>
  <c r="C207" i="119"/>
  <c r="D207" i="119" s="1"/>
  <c r="E158" i="6"/>
  <c r="B58" i="15" s="1"/>
  <c r="C89" i="6"/>
  <c r="J43" i="33"/>
  <c r="K46" i="33" s="1"/>
  <c r="G19" i="34"/>
  <c r="G22" i="34" s="1"/>
  <c r="K47" i="33"/>
  <c r="H19" i="34" s="1"/>
  <c r="J162" i="15"/>
  <c r="J146" i="15"/>
  <c r="J150" i="15"/>
  <c r="J163" i="15"/>
  <c r="J179" i="15"/>
  <c r="J157" i="15"/>
  <c r="J143" i="15"/>
  <c r="J153" i="15"/>
  <c r="J165" i="15"/>
  <c r="J152" i="15"/>
  <c r="J156" i="15"/>
  <c r="J149" i="15"/>
  <c r="J147" i="15"/>
  <c r="J175" i="15"/>
  <c r="J167" i="15"/>
  <c r="J214" i="15" l="1"/>
  <c r="J200" i="15"/>
  <c r="J204" i="15"/>
  <c r="J226" i="15"/>
  <c r="J193" i="15"/>
  <c r="J190" i="15"/>
  <c r="J212" i="15"/>
  <c r="J209" i="15"/>
  <c r="J222" i="15"/>
  <c r="J197" i="15"/>
  <c r="C98" i="6"/>
  <c r="E98" i="6" s="1"/>
  <c r="C92" i="6"/>
  <c r="E92" i="6" s="1"/>
  <c r="C95" i="6"/>
  <c r="E95" i="6" s="1"/>
  <c r="J196" i="15"/>
  <c r="J210" i="15"/>
  <c r="J194" i="15"/>
  <c r="J203" i="15"/>
  <c r="J199" i="15"/>
  <c r="E105" i="34"/>
  <c r="F83" i="34" s="1"/>
  <c r="F89" i="34" s="1"/>
  <c r="C105" i="34"/>
  <c r="D83" i="34" s="1"/>
  <c r="D84" i="34" s="1"/>
  <c r="E160" i="6" s="1"/>
  <c r="D105" i="34"/>
  <c r="E83" i="34" s="1"/>
  <c r="E84" i="34" s="1"/>
  <c r="B208" i="119"/>
  <c r="C120" i="34"/>
  <c r="C121" i="34" s="1"/>
  <c r="D77" i="34" s="1"/>
  <c r="D120" i="34"/>
  <c r="D121" i="34" s="1"/>
  <c r="E77" i="34" s="1"/>
  <c r="E120" i="34"/>
  <c r="E121" i="34" s="1"/>
  <c r="F77" i="34" s="1"/>
  <c r="C71" i="34"/>
  <c r="E71" i="34"/>
  <c r="D71" i="34"/>
  <c r="D42" i="34"/>
  <c r="H20" i="34"/>
  <c r="H22" i="34" s="1"/>
  <c r="K48" i="33"/>
  <c r="R104" i="15"/>
  <c r="R88" i="15"/>
  <c r="R77" i="15"/>
  <c r="R74" i="15"/>
  <c r="R68" i="15"/>
  <c r="R100" i="15"/>
  <c r="R96" i="15"/>
  <c r="R92" i="15"/>
  <c r="R71" i="15"/>
  <c r="R79" i="15"/>
  <c r="R103" i="15"/>
  <c r="R91" i="15"/>
  <c r="R87" i="15"/>
  <c r="R69" i="15"/>
  <c r="R107" i="15"/>
  <c r="R99" i="15"/>
  <c r="R95" i="15"/>
  <c r="R70" i="15"/>
  <c r="R81" i="15"/>
  <c r="R78" i="15"/>
  <c r="R98" i="15"/>
  <c r="R94" i="15"/>
  <c r="R86" i="15"/>
  <c r="R85" i="15"/>
  <c r="R75" i="15"/>
  <c r="R106" i="15"/>
  <c r="R102" i="15"/>
  <c r="R90" i="15"/>
  <c r="R83" i="15"/>
  <c r="R80" i="15"/>
  <c r="R76" i="15"/>
  <c r="R105" i="15"/>
  <c r="R101" i="15"/>
  <c r="R97" i="15"/>
  <c r="R93" i="15"/>
  <c r="R89" i="15"/>
  <c r="R72" i="15"/>
  <c r="R84" i="15"/>
  <c r="R82" i="15"/>
  <c r="R73" i="15"/>
  <c r="C93" i="6"/>
  <c r="E93" i="6" s="1"/>
  <c r="J231" i="15" l="1"/>
  <c r="J232" i="15" s="1"/>
  <c r="J233" i="15" s="1"/>
  <c r="D89" i="34"/>
  <c r="D78" i="34" s="1"/>
  <c r="D80" i="34" s="1"/>
  <c r="F84" i="34"/>
  <c r="E89" i="34"/>
  <c r="E90" i="34" s="1"/>
  <c r="F105" i="34"/>
  <c r="G83" i="34" s="1"/>
  <c r="G84" i="34" s="1"/>
  <c r="C208" i="119"/>
  <c r="D208" i="119" s="1"/>
  <c r="F120" i="34"/>
  <c r="F121" i="34" s="1"/>
  <c r="G77" i="34" s="1"/>
  <c r="E162" i="6" s="1"/>
  <c r="E163" i="6" s="1"/>
  <c r="E99" i="6"/>
  <c r="G26" i="17" s="1"/>
  <c r="H26" i="17" s="1"/>
  <c r="I76" i="15" s="1"/>
  <c r="R114" i="15"/>
  <c r="R116" i="15"/>
  <c r="R117" i="15" s="1"/>
  <c r="V48" i="119" s="1"/>
  <c r="E167" i="119" s="1"/>
  <c r="R115" i="15"/>
  <c r="B125" i="15" s="1"/>
  <c r="F78" i="34"/>
  <c r="F80" i="34" s="1"/>
  <c r="F90" i="34"/>
  <c r="G89" i="34" l="1"/>
  <c r="G90" i="34" s="1"/>
  <c r="D90" i="34"/>
  <c r="E78" i="34"/>
  <c r="E80" i="34" s="1"/>
  <c r="B209" i="119"/>
  <c r="G49" i="17"/>
  <c r="H49" i="17" s="1"/>
  <c r="I99" i="15" s="1"/>
  <c r="B83" i="14" s="1"/>
  <c r="G37" i="17"/>
  <c r="H37" i="17" s="1"/>
  <c r="I87" i="15" s="1"/>
  <c r="B71" i="14" s="1"/>
  <c r="G20" i="17"/>
  <c r="H20" i="17" s="1"/>
  <c r="I70" i="15" s="1"/>
  <c r="B54" i="14" s="1"/>
  <c r="G43" i="17"/>
  <c r="H43" i="17" s="1"/>
  <c r="I93" i="15" s="1"/>
  <c r="B77" i="14" s="1"/>
  <c r="G39" i="17"/>
  <c r="H39" i="17" s="1"/>
  <c r="I89" i="15" s="1"/>
  <c r="B73" i="14" s="1"/>
  <c r="G30" i="17"/>
  <c r="H30" i="17" s="1"/>
  <c r="I80" i="15" s="1"/>
  <c r="B64" i="14" s="1"/>
  <c r="G54" i="17"/>
  <c r="H54" i="17" s="1"/>
  <c r="I104" i="15" s="1"/>
  <c r="B88" i="14" s="1"/>
  <c r="G40" i="17"/>
  <c r="H40" i="17" s="1"/>
  <c r="I90" i="15" s="1"/>
  <c r="B74" i="14" s="1"/>
  <c r="G18" i="17"/>
  <c r="H18" i="17" s="1"/>
  <c r="I68" i="15" s="1"/>
  <c r="G47" i="17"/>
  <c r="H47" i="17" s="1"/>
  <c r="I97" i="15" s="1"/>
  <c r="B81" i="14" s="1"/>
  <c r="G46" i="17"/>
  <c r="H46" i="17" s="1"/>
  <c r="I96" i="15" s="1"/>
  <c r="B80" i="14" s="1"/>
  <c r="G57" i="17"/>
  <c r="H57" i="17" s="1"/>
  <c r="I107" i="15" s="1"/>
  <c r="B91" i="14" s="1"/>
  <c r="G23" i="17"/>
  <c r="H23" i="17" s="1"/>
  <c r="I73" i="15" s="1"/>
  <c r="B57" i="14" s="1"/>
  <c r="G56" i="17"/>
  <c r="H56" i="17" s="1"/>
  <c r="I106" i="15" s="1"/>
  <c r="B90" i="14" s="1"/>
  <c r="G53" i="17"/>
  <c r="H53" i="17" s="1"/>
  <c r="I103" i="15" s="1"/>
  <c r="B87" i="14" s="1"/>
  <c r="G51" i="17"/>
  <c r="H51" i="17" s="1"/>
  <c r="I101" i="15" s="1"/>
  <c r="B85" i="14" s="1"/>
  <c r="G25" i="17"/>
  <c r="H25" i="17" s="1"/>
  <c r="I75" i="15" s="1"/>
  <c r="B59" i="14" s="1"/>
  <c r="G38" i="17"/>
  <c r="H38" i="17" s="1"/>
  <c r="I88" i="15" s="1"/>
  <c r="B72" i="14" s="1"/>
  <c r="G34" i="17"/>
  <c r="H34" i="17" s="1"/>
  <c r="I84" i="15" s="1"/>
  <c r="B68" i="14" s="1"/>
  <c r="G31" i="17"/>
  <c r="H31" i="17" s="1"/>
  <c r="I81" i="15" s="1"/>
  <c r="B65" i="14" s="1"/>
  <c r="G19" i="17"/>
  <c r="H19" i="17" s="1"/>
  <c r="I69" i="15" s="1"/>
  <c r="B53" i="14" s="1"/>
  <c r="C108" i="6"/>
  <c r="C15" i="34" s="1"/>
  <c r="G50" i="17"/>
  <c r="H50" i="17" s="1"/>
  <c r="I100" i="15" s="1"/>
  <c r="B84" i="14" s="1"/>
  <c r="G27" i="17"/>
  <c r="H27" i="17" s="1"/>
  <c r="I77" i="15" s="1"/>
  <c r="B61" i="14" s="1"/>
  <c r="G21" i="17"/>
  <c r="H21" i="17" s="1"/>
  <c r="I71" i="15" s="1"/>
  <c r="B55" i="14" s="1"/>
  <c r="G48" i="17"/>
  <c r="H48" i="17" s="1"/>
  <c r="I98" i="15" s="1"/>
  <c r="B82" i="14" s="1"/>
  <c r="G42" i="17"/>
  <c r="H42" i="17" s="1"/>
  <c r="I92" i="15" s="1"/>
  <c r="B76" i="14" s="1"/>
  <c r="G35" i="17"/>
  <c r="H35" i="17" s="1"/>
  <c r="I85" i="15" s="1"/>
  <c r="B69" i="14" s="1"/>
  <c r="G32" i="17"/>
  <c r="H32" i="17" s="1"/>
  <c r="I82" i="15" s="1"/>
  <c r="B66" i="14" s="1"/>
  <c r="G55" i="17"/>
  <c r="H55" i="17" s="1"/>
  <c r="I105" i="15" s="1"/>
  <c r="B89" i="14" s="1"/>
  <c r="G41" i="17"/>
  <c r="H41" i="17" s="1"/>
  <c r="I91" i="15" s="1"/>
  <c r="B75" i="14" s="1"/>
  <c r="G24" i="17"/>
  <c r="H24" i="17" s="1"/>
  <c r="I74" i="15" s="1"/>
  <c r="B58" i="14" s="1"/>
  <c r="G22" i="17"/>
  <c r="H22" i="17" s="1"/>
  <c r="I72" i="15" s="1"/>
  <c r="B56" i="14" s="1"/>
  <c r="G33" i="17"/>
  <c r="H33" i="17" s="1"/>
  <c r="I83" i="15" s="1"/>
  <c r="B67" i="14" s="1"/>
  <c r="G44" i="17"/>
  <c r="H44" i="17" s="1"/>
  <c r="I94" i="15" s="1"/>
  <c r="B78" i="14" s="1"/>
  <c r="G52" i="17"/>
  <c r="H52" i="17" s="1"/>
  <c r="I102" i="15" s="1"/>
  <c r="B86" i="14" s="1"/>
  <c r="G36" i="17"/>
  <c r="H36" i="17" s="1"/>
  <c r="I86" i="15" s="1"/>
  <c r="B70" i="14" s="1"/>
  <c r="G45" i="17"/>
  <c r="H45" i="17" s="1"/>
  <c r="I95" i="15" s="1"/>
  <c r="B79" i="14" s="1"/>
  <c r="G29" i="17"/>
  <c r="H29" i="17" s="1"/>
  <c r="I79" i="15" s="1"/>
  <c r="B63" i="14" s="1"/>
  <c r="G28" i="17"/>
  <c r="H28" i="17" s="1"/>
  <c r="I78" i="15" s="1"/>
  <c r="B62" i="14" s="1"/>
  <c r="B60" i="14"/>
  <c r="G78" i="34" l="1"/>
  <c r="G80" i="34" s="1"/>
  <c r="C209" i="119"/>
  <c r="D209" i="119" s="1"/>
  <c r="B51" i="15"/>
  <c r="H65" i="15" s="1"/>
  <c r="E118" i="6"/>
  <c r="E124" i="6" s="1"/>
  <c r="C9" i="119" s="1"/>
  <c r="I199" i="119" s="1"/>
  <c r="C8" i="119"/>
  <c r="I116" i="15"/>
  <c r="I117" i="15" s="1"/>
  <c r="O48" i="119" s="1"/>
  <c r="E160" i="119" s="1"/>
  <c r="I114" i="15"/>
  <c r="I115" i="15"/>
  <c r="F60" i="14"/>
  <c r="Q60" i="14"/>
  <c r="U60" i="14"/>
  <c r="H60" i="14"/>
  <c r="T60" i="14"/>
  <c r="D60" i="14"/>
  <c r="O60" i="14"/>
  <c r="P60" i="14"/>
  <c r="K60" i="14"/>
  <c r="L60" i="14"/>
  <c r="V60" i="14"/>
  <c r="I60" i="14"/>
  <c r="R60" i="14"/>
  <c r="J60" i="14"/>
  <c r="S60" i="14"/>
  <c r="M60" i="14"/>
  <c r="E60" i="14"/>
  <c r="N60" i="14"/>
  <c r="G60" i="14"/>
  <c r="C60" i="14"/>
  <c r="W60" i="14"/>
  <c r="F79" i="14"/>
  <c r="S79" i="14"/>
  <c r="G79" i="14"/>
  <c r="O79" i="14"/>
  <c r="J79" i="14"/>
  <c r="N79" i="14"/>
  <c r="T79" i="14"/>
  <c r="K79" i="14"/>
  <c r="M79" i="14"/>
  <c r="U79" i="14"/>
  <c r="D79" i="14"/>
  <c r="L79" i="14"/>
  <c r="H79" i="14"/>
  <c r="P79" i="14"/>
  <c r="I79" i="14"/>
  <c r="V79" i="14"/>
  <c r="Q79" i="14"/>
  <c r="R79" i="14"/>
  <c r="E79" i="14"/>
  <c r="W79" i="14"/>
  <c r="C79" i="14"/>
  <c r="R74" i="14"/>
  <c r="H74" i="14"/>
  <c r="N74" i="14"/>
  <c r="K74" i="14"/>
  <c r="U74" i="14"/>
  <c r="M74" i="14"/>
  <c r="D74" i="14"/>
  <c r="L74" i="14"/>
  <c r="T74" i="14"/>
  <c r="V74" i="14"/>
  <c r="S74" i="14"/>
  <c r="G74" i="14"/>
  <c r="W74" i="14"/>
  <c r="J74" i="14"/>
  <c r="I74" i="14"/>
  <c r="Q74" i="14"/>
  <c r="E74" i="14"/>
  <c r="F74" i="14"/>
  <c r="P74" i="14"/>
  <c r="O74" i="14"/>
  <c r="C74" i="14"/>
  <c r="G56" i="14"/>
  <c r="U56" i="14"/>
  <c r="L56" i="14"/>
  <c r="R56" i="14"/>
  <c r="T56" i="14"/>
  <c r="H56" i="14"/>
  <c r="D56" i="14"/>
  <c r="I56" i="14"/>
  <c r="O56" i="14"/>
  <c r="K56" i="14"/>
  <c r="J56" i="14"/>
  <c r="S56" i="14"/>
  <c r="N56" i="14"/>
  <c r="F56" i="14"/>
  <c r="M56" i="14"/>
  <c r="Q56" i="14"/>
  <c r="E56" i="14"/>
  <c r="P56" i="14"/>
  <c r="V56" i="14"/>
  <c r="C56" i="14"/>
  <c r="W56" i="14"/>
  <c r="I73" i="14"/>
  <c r="N73" i="14"/>
  <c r="R73" i="14"/>
  <c r="H73" i="14"/>
  <c r="E73" i="14"/>
  <c r="M73" i="14"/>
  <c r="L73" i="14"/>
  <c r="V73" i="14"/>
  <c r="G73" i="14"/>
  <c r="J73" i="14"/>
  <c r="D73" i="14"/>
  <c r="W73" i="14"/>
  <c r="K73" i="14"/>
  <c r="T73" i="14"/>
  <c r="U73" i="14"/>
  <c r="Q73" i="14"/>
  <c r="F73" i="14"/>
  <c r="S73" i="14"/>
  <c r="O73" i="14"/>
  <c r="P73" i="14"/>
  <c r="C73" i="14"/>
  <c r="O71" i="14"/>
  <c r="Q71" i="14"/>
  <c r="S71" i="14"/>
  <c r="F71" i="14"/>
  <c r="L71" i="14"/>
  <c r="I71" i="14"/>
  <c r="T71" i="14"/>
  <c r="V71" i="14"/>
  <c r="M71" i="14"/>
  <c r="G71" i="14"/>
  <c r="J71" i="14"/>
  <c r="H71" i="14"/>
  <c r="N71" i="14"/>
  <c r="K71" i="14"/>
  <c r="E71" i="14"/>
  <c r="R71" i="14"/>
  <c r="P71" i="14"/>
  <c r="U71" i="14"/>
  <c r="D71" i="14"/>
  <c r="C71" i="14"/>
  <c r="W71" i="14"/>
  <c r="T59" i="14"/>
  <c r="E59" i="14"/>
  <c r="I59" i="14"/>
  <c r="V59" i="14"/>
  <c r="G59" i="14"/>
  <c r="F59" i="14"/>
  <c r="L59" i="14"/>
  <c r="M59" i="14"/>
  <c r="O59" i="14"/>
  <c r="R59" i="14"/>
  <c r="P59" i="14"/>
  <c r="K59" i="14"/>
  <c r="U59" i="14"/>
  <c r="S59" i="14"/>
  <c r="D59" i="14"/>
  <c r="N59" i="14"/>
  <c r="H59" i="14"/>
  <c r="J59" i="14"/>
  <c r="Q59" i="14"/>
  <c r="C59" i="14"/>
  <c r="W59" i="14"/>
  <c r="F68" i="14"/>
  <c r="R68" i="14"/>
  <c r="J68" i="14"/>
  <c r="G68" i="14"/>
  <c r="P68" i="14"/>
  <c r="L68" i="14"/>
  <c r="I68" i="14"/>
  <c r="O68" i="14"/>
  <c r="T68" i="14"/>
  <c r="E68" i="14"/>
  <c r="D68" i="14"/>
  <c r="Q68" i="14"/>
  <c r="N68" i="14"/>
  <c r="U68" i="14"/>
  <c r="K68" i="14"/>
  <c r="S68" i="14"/>
  <c r="V68" i="14"/>
  <c r="M68" i="14"/>
  <c r="H68" i="14"/>
  <c r="C68" i="14"/>
  <c r="W68" i="14"/>
  <c r="O85" i="14"/>
  <c r="U85" i="14"/>
  <c r="W85" i="14"/>
  <c r="J85" i="14"/>
  <c r="L85" i="14"/>
  <c r="V85" i="14"/>
  <c r="H85" i="14"/>
  <c r="D85" i="14"/>
  <c r="F85" i="14"/>
  <c r="Q85" i="14"/>
  <c r="K85" i="14"/>
  <c r="T85" i="14"/>
  <c r="S85" i="14"/>
  <c r="R85" i="14"/>
  <c r="G85" i="14"/>
  <c r="I85" i="14"/>
  <c r="N85" i="14"/>
  <c r="M85" i="14"/>
  <c r="P85" i="14"/>
  <c r="E85" i="14"/>
  <c r="C85" i="14"/>
  <c r="K63" i="14"/>
  <c r="O63" i="14"/>
  <c r="L63" i="14"/>
  <c r="D63" i="14"/>
  <c r="M63" i="14"/>
  <c r="H63" i="14"/>
  <c r="G63" i="14"/>
  <c r="F63" i="14"/>
  <c r="I63" i="14"/>
  <c r="S63" i="14"/>
  <c r="U63" i="14"/>
  <c r="E63" i="14"/>
  <c r="T63" i="14"/>
  <c r="Q63" i="14"/>
  <c r="N63" i="14"/>
  <c r="R63" i="14"/>
  <c r="J63" i="14"/>
  <c r="V63" i="14"/>
  <c r="P63" i="14"/>
  <c r="C63" i="14"/>
  <c r="W63" i="14"/>
  <c r="L53" i="14"/>
  <c r="V53" i="14"/>
  <c r="E53" i="14"/>
  <c r="F53" i="14"/>
  <c r="Q53" i="14"/>
  <c r="G53" i="14"/>
  <c r="R53" i="14"/>
  <c r="J53" i="14"/>
  <c r="K53" i="14"/>
  <c r="I53" i="14"/>
  <c r="O53" i="14"/>
  <c r="S53" i="14"/>
  <c r="U53" i="14"/>
  <c r="T53" i="14"/>
  <c r="D53" i="14"/>
  <c r="P53" i="14"/>
  <c r="M53" i="14"/>
  <c r="H53" i="14"/>
  <c r="N53" i="14"/>
  <c r="C53" i="14"/>
  <c r="W53" i="14"/>
  <c r="H86" i="14"/>
  <c r="I86" i="14"/>
  <c r="L86" i="14"/>
  <c r="J86" i="14"/>
  <c r="R86" i="14"/>
  <c r="T86" i="14"/>
  <c r="N86" i="14"/>
  <c r="D86" i="14"/>
  <c r="O86" i="14"/>
  <c r="F86" i="14"/>
  <c r="E86" i="14"/>
  <c r="K86" i="14"/>
  <c r="W86" i="14"/>
  <c r="U86" i="14"/>
  <c r="S86" i="14"/>
  <c r="Q86" i="14"/>
  <c r="M86" i="14"/>
  <c r="V86" i="14"/>
  <c r="P86" i="14"/>
  <c r="G86" i="14"/>
  <c r="C86" i="14"/>
  <c r="I80" i="14"/>
  <c r="U80" i="14"/>
  <c r="T80" i="14"/>
  <c r="H80" i="14"/>
  <c r="R80" i="14"/>
  <c r="S80" i="14"/>
  <c r="O80" i="14"/>
  <c r="G80" i="14"/>
  <c r="M80" i="14"/>
  <c r="P80" i="14"/>
  <c r="W80" i="14"/>
  <c r="V80" i="14"/>
  <c r="F80" i="14"/>
  <c r="Q80" i="14"/>
  <c r="K80" i="14"/>
  <c r="L80" i="14"/>
  <c r="D80" i="14"/>
  <c r="E80" i="14"/>
  <c r="N80" i="14"/>
  <c r="J80" i="14"/>
  <c r="C80" i="14"/>
  <c r="H75" i="14"/>
  <c r="L75" i="14"/>
  <c r="I75" i="14"/>
  <c r="F75" i="14"/>
  <c r="O75" i="14"/>
  <c r="J75" i="14"/>
  <c r="W75" i="14"/>
  <c r="V75" i="14"/>
  <c r="K75" i="14"/>
  <c r="N75" i="14"/>
  <c r="G75" i="14"/>
  <c r="U75" i="14"/>
  <c r="R75" i="14"/>
  <c r="E75" i="14"/>
  <c r="Q75" i="14"/>
  <c r="P75" i="14"/>
  <c r="M75" i="14"/>
  <c r="T75" i="14"/>
  <c r="S75" i="14"/>
  <c r="D75" i="14"/>
  <c r="C75" i="14"/>
  <c r="D82" i="14"/>
  <c r="E82" i="14"/>
  <c r="P82" i="14"/>
  <c r="U82" i="14"/>
  <c r="F82" i="14"/>
  <c r="S82" i="14"/>
  <c r="G82" i="14"/>
  <c r="O82" i="14"/>
  <c r="R82" i="14"/>
  <c r="V82" i="14"/>
  <c r="J82" i="14"/>
  <c r="M82" i="14"/>
  <c r="Q82" i="14"/>
  <c r="W82" i="14"/>
  <c r="I82" i="14"/>
  <c r="L82" i="14"/>
  <c r="T82" i="14"/>
  <c r="K82" i="14"/>
  <c r="N82" i="14"/>
  <c r="H82" i="14"/>
  <c r="C82" i="14"/>
  <c r="K69" i="14"/>
  <c r="O69" i="14"/>
  <c r="D69" i="14"/>
  <c r="S69" i="14"/>
  <c r="E69" i="14"/>
  <c r="P69" i="14"/>
  <c r="F69" i="14"/>
  <c r="Q69" i="14"/>
  <c r="U69" i="14"/>
  <c r="I69" i="14"/>
  <c r="G69" i="14"/>
  <c r="M69" i="14"/>
  <c r="R69" i="14"/>
  <c r="L69" i="14"/>
  <c r="T69" i="14"/>
  <c r="V69" i="14"/>
  <c r="J69" i="14"/>
  <c r="H69" i="14"/>
  <c r="N69" i="14"/>
  <c r="C69" i="14"/>
  <c r="W69" i="14"/>
  <c r="M55" i="14"/>
  <c r="H55" i="14"/>
  <c r="R55" i="14"/>
  <c r="N55" i="14"/>
  <c r="E55" i="14"/>
  <c r="G55" i="14"/>
  <c r="I55" i="14"/>
  <c r="F55" i="14"/>
  <c r="O55" i="14"/>
  <c r="V55" i="14"/>
  <c r="K55" i="14"/>
  <c r="T55" i="14"/>
  <c r="L55" i="14"/>
  <c r="D55" i="14"/>
  <c r="Q55" i="14"/>
  <c r="U55" i="14"/>
  <c r="S55" i="14"/>
  <c r="J55" i="14"/>
  <c r="P55" i="14"/>
  <c r="C55" i="14"/>
  <c r="W55" i="14"/>
  <c r="E78" i="14"/>
  <c r="U78" i="14"/>
  <c r="O78" i="14"/>
  <c r="P78" i="14"/>
  <c r="T78" i="14"/>
  <c r="S78" i="14"/>
  <c r="Q78" i="14"/>
  <c r="J78" i="14"/>
  <c r="D78" i="14"/>
  <c r="W78" i="14"/>
  <c r="F78" i="14"/>
  <c r="V78" i="14"/>
  <c r="H78" i="14"/>
  <c r="G78" i="14"/>
  <c r="L78" i="14"/>
  <c r="R78" i="14"/>
  <c r="K78" i="14"/>
  <c r="N78" i="14"/>
  <c r="I78" i="14"/>
  <c r="M78" i="14"/>
  <c r="C78" i="14"/>
  <c r="D62" i="14"/>
  <c r="G62" i="14"/>
  <c r="R62" i="14"/>
  <c r="I62" i="14"/>
  <c r="E62" i="14"/>
  <c r="V62" i="14"/>
  <c r="P62" i="14"/>
  <c r="J62" i="14"/>
  <c r="F62" i="14"/>
  <c r="U62" i="14"/>
  <c r="O62" i="14"/>
  <c r="M62" i="14"/>
  <c r="H62" i="14"/>
  <c r="T62" i="14"/>
  <c r="L62" i="14"/>
  <c r="S62" i="14"/>
  <c r="K62" i="14"/>
  <c r="N62" i="14"/>
  <c r="Q62" i="14"/>
  <c r="C62" i="14"/>
  <c r="W62" i="14"/>
  <c r="L87" i="14"/>
  <c r="P87" i="14"/>
  <c r="S87" i="14"/>
  <c r="E87" i="14"/>
  <c r="N87" i="14"/>
  <c r="O87" i="14"/>
  <c r="T87" i="14"/>
  <c r="J87" i="14"/>
  <c r="V87" i="14"/>
  <c r="M87" i="14"/>
  <c r="G87" i="14"/>
  <c r="D87" i="14"/>
  <c r="R87" i="14"/>
  <c r="F87" i="14"/>
  <c r="W87" i="14"/>
  <c r="H87" i="14"/>
  <c r="U87" i="14"/>
  <c r="I87" i="14"/>
  <c r="K87" i="14"/>
  <c r="Q87" i="14"/>
  <c r="C87" i="14"/>
  <c r="Q58" i="14"/>
  <c r="N58" i="14"/>
  <c r="P58" i="14"/>
  <c r="L58" i="14"/>
  <c r="I58" i="14"/>
  <c r="J58" i="14"/>
  <c r="S58" i="14"/>
  <c r="U58" i="14"/>
  <c r="H58" i="14"/>
  <c r="G58" i="14"/>
  <c r="E58" i="14"/>
  <c r="K58" i="14"/>
  <c r="V58" i="14"/>
  <c r="O58" i="14"/>
  <c r="M58" i="14"/>
  <c r="T58" i="14"/>
  <c r="F58" i="14"/>
  <c r="D58" i="14"/>
  <c r="R58" i="14"/>
  <c r="C58" i="14"/>
  <c r="W58" i="14"/>
  <c r="K77" i="14"/>
  <c r="T77" i="14"/>
  <c r="O77" i="14"/>
  <c r="E77" i="14"/>
  <c r="Q77" i="14"/>
  <c r="L77" i="14"/>
  <c r="S77" i="14"/>
  <c r="D77" i="14"/>
  <c r="U77" i="14"/>
  <c r="I77" i="14"/>
  <c r="P77" i="14"/>
  <c r="F77" i="14"/>
  <c r="V77" i="14"/>
  <c r="J77" i="14"/>
  <c r="H77" i="14"/>
  <c r="N77" i="14"/>
  <c r="W77" i="14"/>
  <c r="M77" i="14"/>
  <c r="R77" i="14"/>
  <c r="G77" i="14"/>
  <c r="C77" i="14"/>
  <c r="K57" i="14"/>
  <c r="P57" i="14"/>
  <c r="S57" i="14"/>
  <c r="L57" i="14"/>
  <c r="T57" i="14"/>
  <c r="G57" i="14"/>
  <c r="J57" i="14"/>
  <c r="Q57" i="14"/>
  <c r="I57" i="14"/>
  <c r="H57" i="14"/>
  <c r="F57" i="14"/>
  <c r="N57" i="14"/>
  <c r="O57" i="14"/>
  <c r="M57" i="14"/>
  <c r="D57" i="14"/>
  <c r="U57" i="14"/>
  <c r="R57" i="14"/>
  <c r="E57" i="14"/>
  <c r="V57" i="14"/>
  <c r="C57" i="14"/>
  <c r="W57" i="14"/>
  <c r="M89" i="14"/>
  <c r="F89" i="14"/>
  <c r="T89" i="14"/>
  <c r="R89" i="14"/>
  <c r="V89" i="14"/>
  <c r="U89" i="14"/>
  <c r="G89" i="14"/>
  <c r="S89" i="14"/>
  <c r="P89" i="14"/>
  <c r="N89" i="14"/>
  <c r="H89" i="14"/>
  <c r="K89" i="14"/>
  <c r="L89" i="14"/>
  <c r="D89" i="14"/>
  <c r="O89" i="14"/>
  <c r="E89" i="14"/>
  <c r="W89" i="14"/>
  <c r="Q89" i="14"/>
  <c r="I89" i="14"/>
  <c r="J89" i="14"/>
  <c r="C89" i="14"/>
  <c r="P70" i="14"/>
  <c r="Q70" i="14"/>
  <c r="M70" i="14"/>
  <c r="R70" i="14"/>
  <c r="T70" i="14"/>
  <c r="O70" i="14"/>
  <c r="K70" i="14"/>
  <c r="E70" i="14"/>
  <c r="I70" i="14"/>
  <c r="L70" i="14"/>
  <c r="U70" i="14"/>
  <c r="S70" i="14"/>
  <c r="V70" i="14"/>
  <c r="J70" i="14"/>
  <c r="D70" i="14"/>
  <c r="N70" i="14"/>
  <c r="G70" i="14"/>
  <c r="F70" i="14"/>
  <c r="H70" i="14"/>
  <c r="C70" i="14"/>
  <c r="W70" i="14"/>
  <c r="V81" i="14"/>
  <c r="F81" i="14"/>
  <c r="S81" i="14"/>
  <c r="L81" i="14"/>
  <c r="Q81" i="14"/>
  <c r="J81" i="14"/>
  <c r="W81" i="14"/>
  <c r="R81" i="14"/>
  <c r="K81" i="14"/>
  <c r="N81" i="14"/>
  <c r="M81" i="14"/>
  <c r="E81" i="14"/>
  <c r="T81" i="14"/>
  <c r="U81" i="14"/>
  <c r="I81" i="14"/>
  <c r="H81" i="14"/>
  <c r="O81" i="14"/>
  <c r="D81" i="14"/>
  <c r="P81" i="14"/>
  <c r="G81" i="14"/>
  <c r="C81" i="14"/>
  <c r="P88" i="14"/>
  <c r="T88" i="14"/>
  <c r="G88" i="14"/>
  <c r="N88" i="14"/>
  <c r="O88" i="14"/>
  <c r="L88" i="14"/>
  <c r="D88" i="14"/>
  <c r="F88" i="14"/>
  <c r="V88" i="14"/>
  <c r="R88" i="14"/>
  <c r="E88" i="14"/>
  <c r="U88" i="14"/>
  <c r="M88" i="14"/>
  <c r="J88" i="14"/>
  <c r="W88" i="14"/>
  <c r="K88" i="14"/>
  <c r="I88" i="14"/>
  <c r="H88" i="14"/>
  <c r="Q88" i="14"/>
  <c r="S88" i="14"/>
  <c r="C88" i="14"/>
  <c r="V83" i="14"/>
  <c r="Q83" i="14"/>
  <c r="U83" i="14"/>
  <c r="P83" i="14"/>
  <c r="D83" i="14"/>
  <c r="J83" i="14"/>
  <c r="E83" i="14"/>
  <c r="R83" i="14"/>
  <c r="M83" i="14"/>
  <c r="T83" i="14"/>
  <c r="I83" i="14"/>
  <c r="G83" i="14"/>
  <c r="L83" i="14"/>
  <c r="H83" i="14"/>
  <c r="F83" i="14"/>
  <c r="O83" i="14"/>
  <c r="N83" i="14"/>
  <c r="K83" i="14"/>
  <c r="W83" i="14"/>
  <c r="S83" i="14"/>
  <c r="C83" i="14"/>
  <c r="T76" i="14"/>
  <c r="H76" i="14"/>
  <c r="M76" i="14"/>
  <c r="N76" i="14"/>
  <c r="Q76" i="14"/>
  <c r="R76" i="14"/>
  <c r="G76" i="14"/>
  <c r="V76" i="14"/>
  <c r="I76" i="14"/>
  <c r="E76" i="14"/>
  <c r="J76" i="14"/>
  <c r="D76" i="14"/>
  <c r="W76" i="14"/>
  <c r="S76" i="14"/>
  <c r="O76" i="14"/>
  <c r="L76" i="14"/>
  <c r="F76" i="14"/>
  <c r="P76" i="14"/>
  <c r="K76" i="14"/>
  <c r="U76" i="14"/>
  <c r="C76" i="14"/>
  <c r="H61" i="14"/>
  <c r="U61" i="14"/>
  <c r="E61" i="14"/>
  <c r="M61" i="14"/>
  <c r="Q61" i="14"/>
  <c r="S61" i="14"/>
  <c r="J61" i="14"/>
  <c r="D61" i="14"/>
  <c r="N61" i="14"/>
  <c r="F61" i="14"/>
  <c r="K61" i="14"/>
  <c r="O61" i="14"/>
  <c r="G61" i="14"/>
  <c r="L61" i="14"/>
  <c r="V61" i="14"/>
  <c r="P61" i="14"/>
  <c r="T61" i="14"/>
  <c r="R61" i="14"/>
  <c r="I61" i="14"/>
  <c r="C61" i="14"/>
  <c r="W61" i="14"/>
  <c r="M65" i="14"/>
  <c r="F65" i="14"/>
  <c r="G65" i="14"/>
  <c r="I65" i="14"/>
  <c r="R65" i="14"/>
  <c r="P65" i="14"/>
  <c r="T65" i="14"/>
  <c r="H65" i="14"/>
  <c r="K65" i="14"/>
  <c r="O65" i="14"/>
  <c r="N65" i="14"/>
  <c r="Q65" i="14"/>
  <c r="S65" i="14"/>
  <c r="U65" i="14"/>
  <c r="E65" i="14"/>
  <c r="V65" i="14"/>
  <c r="L65" i="14"/>
  <c r="D65" i="14"/>
  <c r="J65" i="14"/>
  <c r="C65" i="14"/>
  <c r="W65" i="14"/>
  <c r="M72" i="14"/>
  <c r="G72" i="14"/>
  <c r="K72" i="14"/>
  <c r="E72" i="14"/>
  <c r="O72" i="14"/>
  <c r="T72" i="14"/>
  <c r="J72" i="14"/>
  <c r="P72" i="14"/>
  <c r="S72" i="14"/>
  <c r="U72" i="14"/>
  <c r="V72" i="14"/>
  <c r="Q72" i="14"/>
  <c r="D72" i="14"/>
  <c r="N72" i="14"/>
  <c r="L72" i="14"/>
  <c r="H72" i="14"/>
  <c r="R72" i="14"/>
  <c r="F72" i="14"/>
  <c r="I72" i="14"/>
  <c r="C72" i="14"/>
  <c r="W72" i="14"/>
  <c r="H90" i="14"/>
  <c r="K90" i="14"/>
  <c r="U90" i="14"/>
  <c r="T90" i="14"/>
  <c r="G90" i="14"/>
  <c r="I90" i="14"/>
  <c r="J90" i="14"/>
  <c r="S90" i="14"/>
  <c r="V90" i="14"/>
  <c r="D90" i="14"/>
  <c r="M90" i="14"/>
  <c r="N90" i="14"/>
  <c r="W90" i="14"/>
  <c r="O90" i="14"/>
  <c r="P90" i="14"/>
  <c r="F90" i="14"/>
  <c r="L90" i="14"/>
  <c r="Q90" i="14"/>
  <c r="E90" i="14"/>
  <c r="R90" i="14"/>
  <c r="C90" i="14"/>
  <c r="K64" i="14"/>
  <c r="G64" i="14"/>
  <c r="E64" i="14"/>
  <c r="T64" i="14"/>
  <c r="U64" i="14"/>
  <c r="S64" i="14"/>
  <c r="M64" i="14"/>
  <c r="R64" i="14"/>
  <c r="J64" i="14"/>
  <c r="F64" i="14"/>
  <c r="H64" i="14"/>
  <c r="V64" i="14"/>
  <c r="P64" i="14"/>
  <c r="O64" i="14"/>
  <c r="Q64" i="14"/>
  <c r="D64" i="14"/>
  <c r="N64" i="14"/>
  <c r="I64" i="14"/>
  <c r="L64" i="14"/>
  <c r="C64" i="14"/>
  <c r="W64" i="14"/>
  <c r="F54" i="14"/>
  <c r="R54" i="14"/>
  <c r="I54" i="14"/>
  <c r="J54" i="14"/>
  <c r="M54" i="14"/>
  <c r="T54" i="14"/>
  <c r="H54" i="14"/>
  <c r="V54" i="14"/>
  <c r="Q54" i="14"/>
  <c r="P54" i="14"/>
  <c r="K54" i="14"/>
  <c r="U54" i="14"/>
  <c r="S54" i="14"/>
  <c r="G54" i="14"/>
  <c r="D54" i="14"/>
  <c r="O54" i="14"/>
  <c r="L54" i="14"/>
  <c r="E54" i="14"/>
  <c r="N54" i="14"/>
  <c r="C54" i="14"/>
  <c r="W54" i="14"/>
  <c r="J84" i="14"/>
  <c r="R84" i="14"/>
  <c r="O84" i="14"/>
  <c r="H84" i="14"/>
  <c r="I84" i="14"/>
  <c r="V84" i="14"/>
  <c r="G84" i="14"/>
  <c r="N84" i="14"/>
  <c r="S84" i="14"/>
  <c r="M84" i="14"/>
  <c r="U84" i="14"/>
  <c r="F84" i="14"/>
  <c r="T84" i="14"/>
  <c r="W84" i="14"/>
  <c r="L84" i="14"/>
  <c r="Q84" i="14"/>
  <c r="E84" i="14"/>
  <c r="D84" i="14"/>
  <c r="P84" i="14"/>
  <c r="K84" i="14"/>
  <c r="C84" i="14"/>
  <c r="S91" i="14"/>
  <c r="J91" i="14"/>
  <c r="O91" i="14"/>
  <c r="R91" i="14"/>
  <c r="H91" i="14"/>
  <c r="D91" i="14"/>
  <c r="V91" i="14"/>
  <c r="T91" i="14"/>
  <c r="L91" i="14"/>
  <c r="W91" i="14"/>
  <c r="B164" i="14" s="1"/>
  <c r="N91" i="14"/>
  <c r="Q91" i="14"/>
  <c r="K91" i="14"/>
  <c r="U91" i="14"/>
  <c r="C91" i="14"/>
  <c r="P91" i="14"/>
  <c r="E91" i="14"/>
  <c r="I91" i="14"/>
  <c r="F91" i="14"/>
  <c r="M91" i="14"/>
  <c r="G91" i="14"/>
  <c r="L67" i="14"/>
  <c r="K67" i="14"/>
  <c r="F67" i="14"/>
  <c r="D67" i="14"/>
  <c r="G67" i="14"/>
  <c r="P67" i="14"/>
  <c r="N67" i="14"/>
  <c r="S67" i="14"/>
  <c r="M67" i="14"/>
  <c r="I67" i="14"/>
  <c r="O67" i="14"/>
  <c r="T67" i="14"/>
  <c r="R67" i="14"/>
  <c r="V67" i="14"/>
  <c r="U67" i="14"/>
  <c r="E67" i="14"/>
  <c r="J67" i="14"/>
  <c r="Q67" i="14"/>
  <c r="H67" i="14"/>
  <c r="C67" i="14"/>
  <c r="W67" i="14"/>
  <c r="G66" i="14"/>
  <c r="H66" i="14"/>
  <c r="R66" i="14"/>
  <c r="M66" i="14"/>
  <c r="D66" i="14"/>
  <c r="J66" i="14"/>
  <c r="O66" i="14"/>
  <c r="I66" i="14"/>
  <c r="V66" i="14"/>
  <c r="E66" i="14"/>
  <c r="P66" i="14"/>
  <c r="K66" i="14"/>
  <c r="T66" i="14"/>
  <c r="U66" i="14"/>
  <c r="F66" i="14"/>
  <c r="S66" i="14"/>
  <c r="Q66" i="14"/>
  <c r="L66" i="14"/>
  <c r="N66" i="14"/>
  <c r="C66" i="14"/>
  <c r="W66" i="14"/>
  <c r="B210" i="119" l="1"/>
  <c r="C93" i="119"/>
  <c r="D93" i="119" s="1"/>
  <c r="H199" i="119"/>
  <c r="C198" i="119" s="1"/>
  <c r="B56" i="15"/>
  <c r="N86" i="15" s="1"/>
  <c r="H8" i="119"/>
  <c r="C92" i="119" s="1"/>
  <c r="D92" i="119" s="1"/>
  <c r="I8" i="119"/>
  <c r="C94" i="119" s="1"/>
  <c r="D94" i="119" s="1"/>
  <c r="G65" i="15"/>
  <c r="B53" i="15"/>
  <c r="B55" i="15" s="1"/>
  <c r="L107" i="15" s="1"/>
  <c r="L115" i="15" s="1"/>
  <c r="H67" i="15"/>
  <c r="H66" i="15"/>
  <c r="B54" i="15"/>
  <c r="M107" i="15" s="1"/>
  <c r="M114" i="15" s="1"/>
  <c r="B160" i="14"/>
  <c r="B163" i="14"/>
  <c r="B161" i="14"/>
  <c r="B158" i="14"/>
  <c r="B155" i="14"/>
  <c r="B162" i="14"/>
  <c r="B154" i="14"/>
  <c r="X72" i="14"/>
  <c r="X88" i="14"/>
  <c r="X80" i="14"/>
  <c r="X68" i="14"/>
  <c r="X74" i="14"/>
  <c r="B148" i="14"/>
  <c r="B152" i="14"/>
  <c r="B149" i="14"/>
  <c r="X66" i="14"/>
  <c r="B159" i="14"/>
  <c r="X60" i="14"/>
  <c r="B147" i="14"/>
  <c r="B135" i="14"/>
  <c r="U103" i="15" s="1"/>
  <c r="B150" i="14"/>
  <c r="B151" i="14"/>
  <c r="B153" i="14"/>
  <c r="X58" i="14"/>
  <c r="X82" i="14"/>
  <c r="X63" i="14"/>
  <c r="X73" i="14"/>
  <c r="X84" i="14"/>
  <c r="X54" i="14"/>
  <c r="B129" i="14"/>
  <c r="U97" i="15" s="1"/>
  <c r="B130" i="14"/>
  <c r="U98" i="15" s="1"/>
  <c r="X78" i="14"/>
  <c r="B136" i="14"/>
  <c r="U104" i="15" s="1"/>
  <c r="B156" i="14"/>
  <c r="X90" i="14"/>
  <c r="X61" i="14"/>
  <c r="B138" i="14"/>
  <c r="U106" i="15" s="1"/>
  <c r="X77" i="14"/>
  <c r="X62" i="14"/>
  <c r="B121" i="14"/>
  <c r="U89" i="15" s="1"/>
  <c r="X83" i="14"/>
  <c r="X70" i="14"/>
  <c r="B137" i="14"/>
  <c r="U105" i="15" s="1"/>
  <c r="X53" i="14"/>
  <c r="B139" i="14"/>
  <c r="X67" i="14"/>
  <c r="B146" i="14"/>
  <c r="B133" i="14"/>
  <c r="U101" i="15" s="1"/>
  <c r="X87" i="14"/>
  <c r="X69" i="14"/>
  <c r="X85" i="14"/>
  <c r="X71" i="14"/>
  <c r="B128" i="14"/>
  <c r="U96" i="15" s="1"/>
  <c r="B157" i="14"/>
  <c r="B132" i="14"/>
  <c r="U100" i="15" s="1"/>
  <c r="X65" i="14"/>
  <c r="X81" i="14"/>
  <c r="B125" i="14"/>
  <c r="U93" i="15" s="1"/>
  <c r="X75" i="14"/>
  <c r="B124" i="14"/>
  <c r="U92" i="15" s="1"/>
  <c r="B134" i="14"/>
  <c r="U102" i="15" s="1"/>
  <c r="X91" i="14"/>
  <c r="X64" i="14"/>
  <c r="X76" i="14"/>
  <c r="X57" i="14"/>
  <c r="B123" i="14"/>
  <c r="U91" i="15" s="1"/>
  <c r="B127" i="14"/>
  <c r="U95" i="15" s="1"/>
  <c r="X56" i="14"/>
  <c r="C96" i="119"/>
  <c r="D96" i="119" s="1"/>
  <c r="H9" i="119"/>
  <c r="I9" i="119"/>
  <c r="C97" i="119" s="1"/>
  <c r="D97" i="119" s="1"/>
  <c r="D147" i="119" s="1"/>
  <c r="B140" i="14"/>
  <c r="C140" i="14" s="1"/>
  <c r="C141" i="14" s="1"/>
  <c r="X89" i="14"/>
  <c r="B126" i="14"/>
  <c r="U94" i="15" s="1"/>
  <c r="X55" i="14"/>
  <c r="X86" i="14"/>
  <c r="B131" i="14"/>
  <c r="U99" i="15" s="1"/>
  <c r="X59" i="14"/>
  <c r="X79" i="14"/>
  <c r="B122" i="14"/>
  <c r="U90" i="15" s="1"/>
  <c r="G114" i="15" l="1"/>
  <c r="C14" i="13"/>
  <c r="D117" i="119"/>
  <c r="D132" i="119"/>
  <c r="D142" i="119"/>
  <c r="D137" i="119"/>
  <c r="D127" i="119"/>
  <c r="D122" i="119"/>
  <c r="W14" i="119"/>
  <c r="W34" i="119"/>
  <c r="C210" i="119"/>
  <c r="D210" i="119" s="1"/>
  <c r="W15" i="119"/>
  <c r="W23" i="119"/>
  <c r="W31" i="119"/>
  <c r="W16" i="119"/>
  <c r="W24" i="119"/>
  <c r="W32" i="119"/>
  <c r="W17" i="119"/>
  <c r="W25" i="119"/>
  <c r="W33" i="119"/>
  <c r="W18" i="119"/>
  <c r="W26" i="119"/>
  <c r="W19" i="119"/>
  <c r="W27" i="119"/>
  <c r="W30" i="119"/>
  <c r="W20" i="119"/>
  <c r="W28" i="119"/>
  <c r="W21" i="119"/>
  <c r="W29" i="119"/>
  <c r="W22" i="119"/>
  <c r="E202" i="119"/>
  <c r="F202" i="119"/>
  <c r="E203" i="119"/>
  <c r="F203" i="119"/>
  <c r="E204" i="119"/>
  <c r="F204" i="119"/>
  <c r="E205" i="119"/>
  <c r="F205" i="119"/>
  <c r="E206" i="119"/>
  <c r="F206" i="119"/>
  <c r="E207" i="119"/>
  <c r="F207" i="119"/>
  <c r="E208" i="119"/>
  <c r="F208" i="119"/>
  <c r="E209" i="119"/>
  <c r="N74" i="15"/>
  <c r="N77" i="15"/>
  <c r="N99" i="15"/>
  <c r="N102" i="15"/>
  <c r="N97" i="15"/>
  <c r="N106" i="15"/>
  <c r="N101" i="15"/>
  <c r="N69" i="15"/>
  <c r="N104" i="15"/>
  <c r="N79" i="15"/>
  <c r="N100" i="15"/>
  <c r="N89" i="15"/>
  <c r="N103" i="15"/>
  <c r="N71" i="15"/>
  <c r="N92" i="15"/>
  <c r="N70" i="15"/>
  <c r="N95" i="15"/>
  <c r="N75" i="15"/>
  <c r="N68" i="15"/>
  <c r="N94" i="15"/>
  <c r="N81" i="15"/>
  <c r="N90" i="15"/>
  <c r="N87" i="15"/>
  <c r="N98" i="15"/>
  <c r="N91" i="15"/>
  <c r="N76" i="15"/>
  <c r="N105" i="15"/>
  <c r="N83" i="15"/>
  <c r="N73" i="15"/>
  <c r="N72" i="15"/>
  <c r="N96" i="15"/>
  <c r="N93" i="15"/>
  <c r="N80" i="15"/>
  <c r="N85" i="15"/>
  <c r="N107" i="15"/>
  <c r="N88" i="15"/>
  <c r="N82" i="15"/>
  <c r="N84" i="15"/>
  <c r="N78" i="15"/>
  <c r="L106" i="119"/>
  <c r="L116" i="15"/>
  <c r="L118" i="15" s="1"/>
  <c r="M48" i="119" s="1"/>
  <c r="E157" i="119" s="1"/>
  <c r="L114" i="15"/>
  <c r="M115" i="15"/>
  <c r="B120" i="15" s="1"/>
  <c r="H115" i="15"/>
  <c r="H116" i="15"/>
  <c r="H117" i="15" s="1"/>
  <c r="G115" i="15"/>
  <c r="H114" i="15"/>
  <c r="G116" i="15"/>
  <c r="B44" i="14"/>
  <c r="B52" i="14" s="1"/>
  <c r="S52" i="14" s="1"/>
  <c r="B116" i="14" s="1"/>
  <c r="U84" i="15" s="1"/>
  <c r="M116" i="15"/>
  <c r="M117" i="15" s="1"/>
  <c r="R48" i="119" s="1"/>
  <c r="E163" i="119" s="1"/>
  <c r="L107" i="119"/>
  <c r="D107" i="119" s="1"/>
  <c r="C95" i="119"/>
  <c r="D95" i="119" s="1"/>
  <c r="D115" i="119" s="1"/>
  <c r="B166" i="14"/>
  <c r="U107" i="15" s="1"/>
  <c r="D101" i="119" l="1"/>
  <c r="D125" i="119"/>
  <c r="D145" i="119"/>
  <c r="D130" i="119"/>
  <c r="D104" i="119"/>
  <c r="D120" i="119"/>
  <c r="D140" i="119"/>
  <c r="D135" i="119"/>
  <c r="D106" i="119"/>
  <c r="D105" i="119"/>
  <c r="D103" i="119"/>
  <c r="D102" i="119"/>
  <c r="G207" i="119"/>
  <c r="G203" i="119"/>
  <c r="G205" i="119"/>
  <c r="G208" i="119"/>
  <c r="G204" i="119"/>
  <c r="G206" i="119"/>
  <c r="G202" i="119"/>
  <c r="B211" i="119"/>
  <c r="F209" i="119"/>
  <c r="G209" i="119" s="1"/>
  <c r="J74" i="15"/>
  <c r="J75" i="15"/>
  <c r="J89" i="15"/>
  <c r="J77" i="15"/>
  <c r="J72" i="15"/>
  <c r="J100" i="15"/>
  <c r="J99" i="15"/>
  <c r="J97" i="15"/>
  <c r="J102" i="15"/>
  <c r="J103" i="15"/>
  <c r="J82" i="15"/>
  <c r="J101" i="15"/>
  <c r="J69" i="15"/>
  <c r="J94" i="15"/>
  <c r="J71" i="15"/>
  <c r="J79" i="15"/>
  <c r="J84" i="15"/>
  <c r="J90" i="15"/>
  <c r="J83" i="15"/>
  <c r="J80" i="15"/>
  <c r="J88" i="15"/>
  <c r="J95" i="15"/>
  <c r="J70" i="15"/>
  <c r="J104" i="15"/>
  <c r="J92" i="15"/>
  <c r="J96" i="15"/>
  <c r="J105" i="15"/>
  <c r="J87" i="15"/>
  <c r="J98" i="15"/>
  <c r="N115" i="15"/>
  <c r="B121" i="15" s="1"/>
  <c r="J68" i="15"/>
  <c r="J73" i="15"/>
  <c r="J93" i="15"/>
  <c r="J85" i="15"/>
  <c r="J91" i="15"/>
  <c r="J86" i="15"/>
  <c r="J81" i="15"/>
  <c r="J106" i="15"/>
  <c r="J76" i="15"/>
  <c r="N114" i="15"/>
  <c r="J78" i="15"/>
  <c r="N116" i="15"/>
  <c r="N117" i="15" s="1"/>
  <c r="S48" i="119" s="1"/>
  <c r="E164" i="119" s="1"/>
  <c r="P52" i="14"/>
  <c r="B113" i="14" s="1"/>
  <c r="U81" i="15" s="1"/>
  <c r="I52" i="14"/>
  <c r="B106" i="14" s="1"/>
  <c r="U74" i="15" s="1"/>
  <c r="W52" i="14"/>
  <c r="B120" i="14" s="1"/>
  <c r="U88" i="15" s="1"/>
  <c r="M52" i="14"/>
  <c r="B110" i="14" s="1"/>
  <c r="U78" i="15" s="1"/>
  <c r="T52" i="14"/>
  <c r="B117" i="14" s="1"/>
  <c r="U85" i="15" s="1"/>
  <c r="K52" i="14"/>
  <c r="B108" i="14" s="1"/>
  <c r="U76" i="15" s="1"/>
  <c r="J52" i="14"/>
  <c r="B107" i="14" s="1"/>
  <c r="U75" i="15" s="1"/>
  <c r="V52" i="14"/>
  <c r="B119" i="14" s="1"/>
  <c r="U87" i="15" s="1"/>
  <c r="H52" i="14"/>
  <c r="B105" i="14" s="1"/>
  <c r="U73" i="15" s="1"/>
  <c r="Q52" i="14"/>
  <c r="B114" i="14" s="1"/>
  <c r="U82" i="15" s="1"/>
  <c r="E52" i="14"/>
  <c r="B102" i="14" s="1"/>
  <c r="U70" i="15" s="1"/>
  <c r="C52" i="14"/>
  <c r="B100" i="14" s="1"/>
  <c r="N52" i="14"/>
  <c r="B111" i="14" s="1"/>
  <c r="U79" i="15" s="1"/>
  <c r="R52" i="14"/>
  <c r="B115" i="14" s="1"/>
  <c r="U83" i="15" s="1"/>
  <c r="D52" i="14"/>
  <c r="B101" i="14" s="1"/>
  <c r="U69" i="15" s="1"/>
  <c r="G52" i="14"/>
  <c r="B104" i="14" s="1"/>
  <c r="U72" i="15" s="1"/>
  <c r="U52" i="14"/>
  <c r="B118" i="14" s="1"/>
  <c r="U86" i="15" s="1"/>
  <c r="F52" i="14"/>
  <c r="B103" i="14" s="1"/>
  <c r="U71" i="15" s="1"/>
  <c r="O52" i="14"/>
  <c r="B112" i="14" s="1"/>
  <c r="U80" i="15" s="1"/>
  <c r="L52" i="14"/>
  <c r="B109" i="14" s="1"/>
  <c r="U77" i="15" s="1"/>
  <c r="N48" i="119"/>
  <c r="E159" i="119" s="1"/>
  <c r="C211" i="119" l="1"/>
  <c r="D211" i="119" s="1"/>
  <c r="E210" i="119"/>
  <c r="J107" i="15"/>
  <c r="J114" i="15" s="1"/>
  <c r="X52" i="14"/>
  <c r="U68" i="15"/>
  <c r="B141" i="14"/>
  <c r="B212" i="119" l="1"/>
  <c r="F210" i="119"/>
  <c r="G210" i="119" s="1"/>
  <c r="J116" i="15"/>
  <c r="J117" i="15" s="1"/>
  <c r="J115" i="15"/>
  <c r="U114" i="15"/>
  <c r="U116" i="15"/>
  <c r="Y55" i="15" s="1"/>
  <c r="Y57" i="15" s="1"/>
  <c r="U115" i="15"/>
  <c r="C212" i="119" l="1"/>
  <c r="D212" i="119" s="1"/>
  <c r="E211" i="119"/>
  <c r="X55" i="15"/>
  <c r="X57" i="15" s="1"/>
  <c r="P48" i="119"/>
  <c r="E161" i="119" s="1"/>
  <c r="B213" i="119" l="1"/>
  <c r="F211" i="119"/>
  <c r="G211" i="119" s="1"/>
  <c r="C213" i="119" l="1"/>
  <c r="D213" i="119" s="1"/>
  <c r="E212" i="119"/>
  <c r="B214" i="119" l="1"/>
  <c r="F212" i="119"/>
  <c r="G212" i="119" s="1"/>
  <c r="C214" i="119" l="1"/>
  <c r="D214" i="119" s="1"/>
  <c r="E213" i="119"/>
  <c r="B215" i="119" l="1"/>
  <c r="F213" i="119"/>
  <c r="G213" i="119" s="1"/>
  <c r="C215" i="119" l="1"/>
  <c r="D215" i="119" s="1"/>
  <c r="E214" i="119"/>
  <c r="B216" i="119" l="1"/>
  <c r="F214" i="119"/>
  <c r="G214" i="119" s="1"/>
  <c r="C216" i="119" l="1"/>
  <c r="D216" i="119" s="1"/>
  <c r="E215" i="119"/>
  <c r="B217" i="119" l="1"/>
  <c r="F215" i="119"/>
  <c r="G215" i="119" s="1"/>
  <c r="C217" i="119" l="1"/>
  <c r="D217" i="119" s="1"/>
  <c r="E216" i="119"/>
  <c r="B218" i="119" l="1"/>
  <c r="F216" i="119"/>
  <c r="G216" i="119" s="1"/>
  <c r="C218" i="119" l="1"/>
  <c r="D218" i="119" s="1"/>
  <c r="E217" i="119"/>
  <c r="B219" i="119" l="1"/>
  <c r="F217" i="119"/>
  <c r="G217" i="119" s="1"/>
  <c r="C219" i="119" l="1"/>
  <c r="D219" i="119" s="1"/>
  <c r="E218" i="119"/>
  <c r="B220" i="119" l="1"/>
  <c r="F218" i="119"/>
  <c r="G218" i="119" s="1"/>
  <c r="C220" i="119" l="1"/>
  <c r="D220" i="119" s="1"/>
  <c r="E219" i="119"/>
  <c r="B221" i="119" l="1"/>
  <c r="F219" i="119"/>
  <c r="G219" i="119" s="1"/>
  <c r="C221" i="119" l="1"/>
  <c r="D221" i="119" s="1"/>
  <c r="F222" i="119"/>
  <c r="G222" i="119" s="1"/>
  <c r="E220" i="119"/>
  <c r="D223" i="119" l="1"/>
  <c r="H220" i="119" s="1"/>
  <c r="F220" i="119"/>
  <c r="G220" i="119" s="1"/>
  <c r="H221" i="119" l="1"/>
  <c r="H202" i="119"/>
  <c r="I202" i="119" s="1"/>
  <c r="H203" i="119"/>
  <c r="H204" i="119"/>
  <c r="H205" i="119"/>
  <c r="H206" i="119"/>
  <c r="H207" i="119"/>
  <c r="H208" i="119"/>
  <c r="H209" i="119"/>
  <c r="H210" i="119"/>
  <c r="H211" i="119"/>
  <c r="H212" i="119"/>
  <c r="H213" i="119"/>
  <c r="H214" i="119"/>
  <c r="H215" i="119"/>
  <c r="H216" i="119"/>
  <c r="H217" i="119"/>
  <c r="H218" i="119"/>
  <c r="H219" i="119"/>
  <c r="F221" i="119"/>
  <c r="E221"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G221" i="119"/>
  <c r="E14" i="13" l="1"/>
  <c r="S65" i="15" s="1"/>
  <c r="T65" i="15" l="1"/>
  <c r="F14" i="13"/>
  <c r="D14" i="13" s="1"/>
  <c r="G14" i="13" l="1"/>
  <c r="C15" i="13" s="1"/>
  <c r="E15" i="13" s="1"/>
  <c r="S66" i="15" s="1"/>
  <c r="Z65" i="15"/>
  <c r="V65" i="15"/>
  <c r="AC65" i="15"/>
  <c r="T66" i="15" l="1"/>
  <c r="X65" i="15"/>
  <c r="F15" i="13"/>
  <c r="D15" i="13" s="1"/>
  <c r="Y65" i="15" l="1"/>
  <c r="AA65" i="15"/>
  <c r="V66" i="15"/>
  <c r="G15" i="13"/>
  <c r="C16" i="13" s="1"/>
  <c r="E16" i="13" s="1"/>
  <c r="S67" i="15" s="1"/>
  <c r="Z66" i="15"/>
  <c r="AC66" i="15" s="1"/>
  <c r="T67" i="15" l="1"/>
  <c r="X66" i="15"/>
  <c r="AB65" i="15"/>
  <c r="F16" i="13"/>
  <c r="G16" i="13" l="1"/>
  <c r="C17" i="13" s="1"/>
  <c r="E17" i="13" s="1"/>
  <c r="S68" i="15" s="1"/>
  <c r="Z67" i="15"/>
  <c r="D16" i="13"/>
  <c r="Y66" i="15"/>
  <c r="AA66" i="15"/>
  <c r="AB66" i="15" s="1"/>
  <c r="V67" i="15"/>
  <c r="AC67" i="15"/>
  <c r="X67" i="15" l="1"/>
  <c r="F17" i="13"/>
  <c r="D17" i="13" s="1"/>
  <c r="Y67" i="15" l="1"/>
  <c r="AA67" i="15"/>
  <c r="G17" i="13"/>
  <c r="C18" i="13" s="1"/>
  <c r="E18" i="13" s="1"/>
  <c r="S69" i="15" s="1"/>
  <c r="Z68" i="15"/>
  <c r="AB67" i="15" l="1"/>
  <c r="F18" i="13"/>
  <c r="D18" i="13" s="1"/>
  <c r="G18" i="13" l="1"/>
  <c r="C19" i="13" s="1"/>
  <c r="E19" i="13" s="1"/>
  <c r="Z69" i="15"/>
  <c r="F19" i="13"/>
  <c r="Z70" i="15" s="1"/>
  <c r="D19" i="13" l="1"/>
  <c r="S70" i="15"/>
  <c r="G19" i="13"/>
  <c r="C20" i="13" s="1"/>
  <c r="E20" i="13" l="1"/>
  <c r="S71" i="15" s="1"/>
  <c r="F20" i="13" l="1"/>
  <c r="G20" i="13" l="1"/>
  <c r="C21" i="13" s="1"/>
  <c r="E21" i="13" s="1"/>
  <c r="S72" i="15" s="1"/>
  <c r="Z71" i="15"/>
  <c r="D20" i="13"/>
  <c r="F21" i="13" l="1"/>
  <c r="G21" i="13" l="1"/>
  <c r="C22" i="13" s="1"/>
  <c r="E22" i="13" s="1"/>
  <c r="S73" i="15" s="1"/>
  <c r="Z72" i="15"/>
  <c r="D21" i="13"/>
  <c r="F22" i="13" l="1"/>
  <c r="G22" i="13" l="1"/>
  <c r="C23" i="13" s="1"/>
  <c r="E23" i="13" s="1"/>
  <c r="S74" i="15" s="1"/>
  <c r="Z73" i="15"/>
  <c r="D22" i="13"/>
  <c r="F23" i="13"/>
  <c r="G23" i="13" l="1"/>
  <c r="C24" i="13" s="1"/>
  <c r="Z74" i="15"/>
  <c r="D23" i="13"/>
  <c r="E24" i="13" l="1"/>
  <c r="S75" i="15" s="1"/>
  <c r="F24" i="13"/>
  <c r="Z75" i="15" s="1"/>
  <c r="G24" i="13" l="1"/>
  <c r="C25" i="13" s="1"/>
  <c r="D24" i="13"/>
  <c r="E25" i="13" l="1"/>
  <c r="S76" i="15" s="1"/>
  <c r="F25" i="13" l="1"/>
  <c r="G25" i="13" l="1"/>
  <c r="C26" i="13" s="1"/>
  <c r="E26" i="13" s="1"/>
  <c r="S77" i="15" s="1"/>
  <c r="Z76" i="15"/>
  <c r="D25" i="13"/>
  <c r="F26" i="13" l="1"/>
  <c r="G26" i="13" l="1"/>
  <c r="C27" i="13" s="1"/>
  <c r="E27" i="13" s="1"/>
  <c r="S78" i="15" s="1"/>
  <c r="Z77" i="15"/>
  <c r="D26" i="13"/>
  <c r="F27" i="13" l="1"/>
  <c r="G27" i="13" l="1"/>
  <c r="C28" i="13" s="1"/>
  <c r="E28" i="13" s="1"/>
  <c r="S79" i="15" s="1"/>
  <c r="Z78" i="15"/>
  <c r="D27" i="13"/>
  <c r="F28" i="13" l="1"/>
  <c r="G28" i="13" l="1"/>
  <c r="C29" i="13" s="1"/>
  <c r="E29" i="13" s="1"/>
  <c r="S80" i="15" s="1"/>
  <c r="Z79" i="15"/>
  <c r="D28" i="13"/>
  <c r="F29" i="13" l="1"/>
  <c r="G29" i="13" l="1"/>
  <c r="C30" i="13" s="1"/>
  <c r="E30" i="13" s="1"/>
  <c r="S81" i="15" s="1"/>
  <c r="Z80" i="15"/>
  <c r="D29" i="13"/>
  <c r="F30" i="13" l="1"/>
  <c r="G30" i="13" l="1"/>
  <c r="C31" i="13" s="1"/>
  <c r="E31" i="13" s="1"/>
  <c r="S82" i="15" s="1"/>
  <c r="Z81" i="15"/>
  <c r="D30" i="13"/>
  <c r="F31" i="13" l="1"/>
  <c r="G31" i="13" l="1"/>
  <c r="C32" i="13" s="1"/>
  <c r="E32" i="13" s="1"/>
  <c r="S83" i="15" s="1"/>
  <c r="Z82" i="15"/>
  <c r="D31" i="13"/>
  <c r="F32" i="13"/>
  <c r="G32" i="13" l="1"/>
  <c r="C33" i="13" s="1"/>
  <c r="Z83" i="15"/>
  <c r="D32" i="13"/>
  <c r="E33" i="13" l="1"/>
  <c r="S84" i="15" s="1"/>
  <c r="F33" i="13" l="1"/>
  <c r="D33" i="13" s="1"/>
  <c r="G33" i="13" l="1"/>
  <c r="C34" i="13" s="1"/>
  <c r="E34" i="13" s="1"/>
  <c r="S85" i="15" s="1"/>
  <c r="Z84" i="15"/>
  <c r="F34" i="13"/>
  <c r="G34" i="13" l="1"/>
  <c r="C35" i="13" s="1"/>
  <c r="Z85" i="15"/>
  <c r="D34" i="13"/>
  <c r="E35" i="13" l="1"/>
  <c r="S86" i="15" s="1"/>
  <c r="F35" i="13" l="1"/>
  <c r="G35" i="13" l="1"/>
  <c r="C36" i="13" s="1"/>
  <c r="E36" i="13" s="1"/>
  <c r="S87" i="15" s="1"/>
  <c r="Z86" i="15"/>
  <c r="D35" i="13"/>
  <c r="F36" i="13"/>
  <c r="G36" i="13" l="1"/>
  <c r="C37" i="13" s="1"/>
  <c r="Z87" i="15"/>
  <c r="D36" i="13"/>
  <c r="E37" i="13" l="1"/>
  <c r="S88" i="15" s="1"/>
  <c r="F37" i="13"/>
  <c r="G37" i="13" l="1"/>
  <c r="C38" i="13" s="1"/>
  <c r="Z88" i="15"/>
  <c r="D37" i="13"/>
  <c r="E38" i="13" l="1"/>
  <c r="S89" i="15" s="1"/>
  <c r="F38" i="13"/>
  <c r="G38" i="13" l="1"/>
  <c r="C39" i="13" s="1"/>
  <c r="Z89" i="15"/>
  <c r="D38" i="13"/>
  <c r="E39" i="13" l="1"/>
  <c r="S90" i="15" s="1"/>
  <c r="F39" i="13"/>
  <c r="G39" i="13" l="1"/>
  <c r="C40" i="13" s="1"/>
  <c r="Z90" i="15"/>
  <c r="D39" i="13"/>
  <c r="E40" i="13" l="1"/>
  <c r="S91" i="15" s="1"/>
  <c r="F40" i="13" l="1"/>
  <c r="G40" i="13" l="1"/>
  <c r="C41" i="13" s="1"/>
  <c r="E41" i="13" s="1"/>
  <c r="S92" i="15" s="1"/>
  <c r="Z91" i="15"/>
  <c r="D40" i="13"/>
  <c r="F41" i="13"/>
  <c r="G41" i="13" l="1"/>
  <c r="C42" i="13" s="1"/>
  <c r="Z92" i="15"/>
  <c r="D41" i="13"/>
  <c r="E42" i="13" l="1"/>
  <c r="S93" i="15" s="1"/>
  <c r="F42" i="13"/>
  <c r="G42" i="13" l="1"/>
  <c r="C43" i="13" s="1"/>
  <c r="Z93" i="15"/>
  <c r="D42" i="13"/>
  <c r="E43" i="13" l="1"/>
  <c r="S94" i="15" s="1"/>
  <c r="F43" i="13" l="1"/>
  <c r="G43" i="13" l="1"/>
  <c r="C44" i="13" s="1"/>
  <c r="E44" i="13" s="1"/>
  <c r="S95" i="15" s="1"/>
  <c r="Z94" i="15"/>
  <c r="D43" i="13"/>
  <c r="F44" i="13" l="1"/>
  <c r="G44" i="13" l="1"/>
  <c r="C45" i="13" s="1"/>
  <c r="E45" i="13" s="1"/>
  <c r="S96" i="15" s="1"/>
  <c r="Z95" i="15"/>
  <c r="D44" i="13"/>
  <c r="F45" i="13" l="1"/>
  <c r="G45" i="13" l="1"/>
  <c r="C46" i="13" s="1"/>
  <c r="E46" i="13" s="1"/>
  <c r="S97" i="15" s="1"/>
  <c r="Z96" i="15"/>
  <c r="D45" i="13"/>
  <c r="F46" i="13" l="1"/>
  <c r="G46" i="13" l="1"/>
  <c r="C47" i="13" s="1"/>
  <c r="E47" i="13" s="1"/>
  <c r="S98" i="15" s="1"/>
  <c r="Z97" i="15"/>
  <c r="D46" i="13"/>
  <c r="F47" i="13"/>
  <c r="G47" i="13" l="1"/>
  <c r="C48" i="13" s="1"/>
  <c r="Z98" i="15"/>
  <c r="D47" i="13"/>
  <c r="E48" i="13" l="1"/>
  <c r="S99" i="15" s="1"/>
  <c r="F48" i="13"/>
  <c r="G48" i="13" l="1"/>
  <c r="C49" i="13" s="1"/>
  <c r="Z99" i="15"/>
  <c r="D48" i="13"/>
  <c r="E49" i="13" l="1"/>
  <c r="S100" i="15" s="1"/>
  <c r="F49" i="13" l="1"/>
  <c r="G49" i="13" l="1"/>
  <c r="C50" i="13" s="1"/>
  <c r="E50" i="13" s="1"/>
  <c r="Z100" i="15"/>
  <c r="D49" i="13"/>
  <c r="F50" i="13"/>
  <c r="Z101" i="15" s="1"/>
  <c r="D50" i="13" l="1"/>
  <c r="S101" i="15"/>
  <c r="G50" i="13"/>
  <c r="C51" i="13" s="1"/>
  <c r="E51" i="13" l="1"/>
  <c r="S102" i="15" s="1"/>
  <c r="F51" i="13"/>
  <c r="G51" i="13" l="1"/>
  <c r="C52" i="13" s="1"/>
  <c r="Z102" i="15"/>
  <c r="D51" i="13"/>
  <c r="E52" i="13" l="1"/>
  <c r="F52" i="13"/>
  <c r="G52" i="13" l="1"/>
  <c r="C53" i="13" s="1"/>
  <c r="Z103" i="15"/>
  <c r="D52" i="13"/>
  <c r="S103" i="15"/>
  <c r="E53" i="13" l="1"/>
  <c r="S104" i="15" s="1"/>
  <c r="F53" i="13" l="1"/>
  <c r="G53" i="13" l="1"/>
  <c r="C54" i="13" s="1"/>
  <c r="Z104" i="15"/>
  <c r="D53" i="13"/>
  <c r="G54" i="13" l="1"/>
  <c r="C55" i="13" s="1"/>
  <c r="E54" i="13"/>
  <c r="D54" i="13" l="1"/>
  <c r="S105" i="15"/>
  <c r="E55" i="13"/>
  <c r="G55" i="13"/>
  <c r="C56" i="13" s="1"/>
  <c r="D55" i="13" l="1"/>
  <c r="S106" i="15"/>
  <c r="F56" i="13"/>
  <c r="Z107" i="15" s="1"/>
  <c r="E56" i="13"/>
  <c r="G56" i="13" l="1"/>
  <c r="Z115" i="15"/>
  <c r="Z116" i="15"/>
  <c r="Z114" i="15"/>
  <c r="D56" i="13"/>
  <c r="S107" i="15"/>
  <c r="S115" i="15" l="1"/>
  <c r="B119" i="15" s="1"/>
  <c r="S116" i="15"/>
  <c r="S114" i="15"/>
  <c r="Z55" i="15"/>
  <c r="Z57" i="15" s="1"/>
  <c r="Z117" i="15"/>
  <c r="Y48" i="119" s="1"/>
  <c r="E170" i="119" s="1"/>
  <c r="C119" i="15" l="1"/>
  <c r="D19" i="34" s="1"/>
  <c r="C121" i="15"/>
  <c r="D21" i="34" s="1"/>
  <c r="C122" i="15"/>
  <c r="D22" i="34" s="1"/>
  <c r="C125" i="15"/>
  <c r="D25" i="34" s="1"/>
  <c r="C124" i="15"/>
  <c r="D24" i="34" s="1"/>
  <c r="C120" i="15"/>
  <c r="D20" i="34" s="1"/>
  <c r="C123" i="15"/>
  <c r="D23" i="34" s="1"/>
  <c r="S117" i="15"/>
  <c r="AA55" i="15"/>
  <c r="AA57" i="15" s="1"/>
  <c r="X60" i="15" s="1"/>
  <c r="W48" i="119" l="1"/>
  <c r="E168" i="119" s="1"/>
  <c r="E17" i="15"/>
  <c r="F105" i="15" l="1"/>
  <c r="T105" i="15" s="1"/>
  <c r="F75" i="15"/>
  <c r="T75" i="15" s="1"/>
  <c r="F98" i="15"/>
  <c r="T98" i="15" s="1"/>
  <c r="F104" i="15"/>
  <c r="T104" i="15" s="1"/>
  <c r="F88" i="15"/>
  <c r="T88" i="15" s="1"/>
  <c r="F73" i="15"/>
  <c r="T73" i="15" s="1"/>
  <c r="F71" i="15"/>
  <c r="T71" i="15" s="1"/>
  <c r="F99" i="15"/>
  <c r="T99" i="15" s="1"/>
  <c r="F92" i="15"/>
  <c r="T92" i="15" s="1"/>
  <c r="F93" i="15"/>
  <c r="T93" i="15" s="1"/>
  <c r="F78" i="15"/>
  <c r="T78" i="15" s="1"/>
  <c r="F74" i="15"/>
  <c r="T74" i="15" s="1"/>
  <c r="F81" i="15"/>
  <c r="T81" i="15" s="1"/>
  <c r="F69" i="15"/>
  <c r="T69" i="15" s="1"/>
  <c r="F70" i="15"/>
  <c r="T70" i="15" s="1"/>
  <c r="F84" i="15"/>
  <c r="T84" i="15" s="1"/>
  <c r="F79" i="15"/>
  <c r="T79" i="15" s="1"/>
  <c r="F86" i="15"/>
  <c r="T86" i="15" s="1"/>
  <c r="F100" i="15"/>
  <c r="T100" i="15" s="1"/>
  <c r="F72" i="15"/>
  <c r="T72" i="15" s="1"/>
  <c r="F82" i="15"/>
  <c r="T82" i="15" s="1"/>
  <c r="F103" i="15"/>
  <c r="T103" i="15" s="1"/>
  <c r="F89" i="15"/>
  <c r="T89" i="15" s="1"/>
  <c r="F76" i="15"/>
  <c r="T76" i="15" s="1"/>
  <c r="F94" i="15"/>
  <c r="T94" i="15" s="1"/>
  <c r="F102" i="15"/>
  <c r="T102" i="15" s="1"/>
  <c r="F91" i="15"/>
  <c r="T91" i="15" s="1"/>
  <c r="F83" i="15"/>
  <c r="T83" i="15" s="1"/>
  <c r="F68" i="15"/>
  <c r="F80" i="15"/>
  <c r="T80" i="15" s="1"/>
  <c r="F90" i="15"/>
  <c r="T90" i="15" s="1"/>
  <c r="F87" i="15"/>
  <c r="T87" i="15" s="1"/>
  <c r="F77" i="15"/>
  <c r="T77" i="15" s="1"/>
  <c r="E16" i="15"/>
  <c r="F96" i="15"/>
  <c r="T96" i="15" s="1"/>
  <c r="F107" i="15"/>
  <c r="T107" i="15" s="1"/>
  <c r="F106" i="15"/>
  <c r="T106" i="15" s="1"/>
  <c r="F95" i="15"/>
  <c r="T95" i="15" s="1"/>
  <c r="F101" i="15"/>
  <c r="T101" i="15" s="1"/>
  <c r="F97" i="15"/>
  <c r="T97" i="15" s="1"/>
  <c r="F85" i="15"/>
  <c r="T85" i="15" s="1"/>
  <c r="V107" i="15" l="1"/>
  <c r="X107" i="15" s="1"/>
  <c r="Y107" i="15" s="1"/>
  <c r="AC107" i="15"/>
  <c r="V83" i="15"/>
  <c r="X83" i="15" s="1"/>
  <c r="Y83" i="15" s="1"/>
  <c r="AC83" i="15"/>
  <c r="V72" i="15"/>
  <c r="X72" i="15" s="1"/>
  <c r="Y72" i="15" s="1"/>
  <c r="AC72" i="15"/>
  <c r="V74" i="15"/>
  <c r="X74" i="15" s="1"/>
  <c r="Y74" i="15" s="1"/>
  <c r="AC74" i="15"/>
  <c r="AC104" i="15"/>
  <c r="V104" i="15"/>
  <c r="X104" i="15" s="1"/>
  <c r="Y104" i="15" s="1"/>
  <c r="T68" i="15"/>
  <c r="F114" i="15"/>
  <c r="F116" i="15"/>
  <c r="F118" i="15" s="1"/>
  <c r="F115" i="15"/>
  <c r="V96" i="15"/>
  <c r="X96" i="15" s="1"/>
  <c r="AA96" i="15" s="1"/>
  <c r="AC96" i="15"/>
  <c r="V91" i="15"/>
  <c r="X91" i="15" s="1"/>
  <c r="AA91" i="15" s="1"/>
  <c r="AC91" i="15"/>
  <c r="AC100" i="15"/>
  <c r="V100" i="15"/>
  <c r="X100" i="15" s="1"/>
  <c r="Y100" i="15" s="1"/>
  <c r="AC78" i="15"/>
  <c r="V78" i="15"/>
  <c r="X78" i="15" s="1"/>
  <c r="Y78" i="15" s="1"/>
  <c r="V98" i="15"/>
  <c r="X98" i="15" s="1"/>
  <c r="Y98" i="15" s="1"/>
  <c r="AC98" i="15"/>
  <c r="V88" i="15"/>
  <c r="X88" i="15" s="1"/>
  <c r="AA88" i="15" s="1"/>
  <c r="AC88" i="15"/>
  <c r="V102" i="15"/>
  <c r="X102" i="15" s="1"/>
  <c r="Y102" i="15" s="1"/>
  <c r="AC102" i="15"/>
  <c r="V86" i="15"/>
  <c r="X86" i="15" s="1"/>
  <c r="Y86" i="15" s="1"/>
  <c r="AC86" i="15"/>
  <c r="V93" i="15"/>
  <c r="X93" i="15" s="1"/>
  <c r="Y93" i="15" s="1"/>
  <c r="AC93" i="15"/>
  <c r="V75" i="15"/>
  <c r="X75" i="15" s="1"/>
  <c r="Y75" i="15" s="1"/>
  <c r="AC75" i="15"/>
  <c r="V81" i="15"/>
  <c r="X81" i="15" s="1"/>
  <c r="Y81" i="15" s="1"/>
  <c r="AC81" i="15"/>
  <c r="V94" i="15"/>
  <c r="X94" i="15" s="1"/>
  <c r="AA94" i="15" s="1"/>
  <c r="AC94" i="15"/>
  <c r="V79" i="15"/>
  <c r="X79" i="15" s="1"/>
  <c r="Y79" i="15" s="1"/>
  <c r="AC79" i="15"/>
  <c r="V92" i="15"/>
  <c r="X92" i="15" s="1"/>
  <c r="Y92" i="15" s="1"/>
  <c r="AC92" i="15"/>
  <c r="V105" i="15"/>
  <c r="X105" i="15" s="1"/>
  <c r="Y105" i="15" s="1"/>
  <c r="AC105" i="15"/>
  <c r="V85" i="15"/>
  <c r="X85" i="15" s="1"/>
  <c r="Y85" i="15" s="1"/>
  <c r="AC85" i="15"/>
  <c r="V97" i="15"/>
  <c r="X97" i="15" s="1"/>
  <c r="Y97" i="15" s="1"/>
  <c r="AC97" i="15"/>
  <c r="V87" i="15"/>
  <c r="X87" i="15" s="1"/>
  <c r="Y87" i="15" s="1"/>
  <c r="AC87" i="15"/>
  <c r="V76" i="15"/>
  <c r="X76" i="15" s="1"/>
  <c r="Y76" i="15" s="1"/>
  <c r="AC76" i="15"/>
  <c r="V84" i="15"/>
  <c r="X84" i="15" s="1"/>
  <c r="Y84" i="15" s="1"/>
  <c r="AC84" i="15"/>
  <c r="AC99" i="15"/>
  <c r="V99" i="15"/>
  <c r="X99" i="15" s="1"/>
  <c r="Y99" i="15" s="1"/>
  <c r="V82" i="15"/>
  <c r="X82" i="15" s="1"/>
  <c r="Y82" i="15" s="1"/>
  <c r="AC82" i="15"/>
  <c r="D121" i="15"/>
  <c r="C21" i="34" s="1"/>
  <c r="D122" i="15"/>
  <c r="C22" i="34" s="1"/>
  <c r="D124" i="15"/>
  <c r="C24" i="34" s="1"/>
  <c r="D119" i="15"/>
  <c r="C19" i="34" s="1"/>
  <c r="D123" i="15"/>
  <c r="C23" i="34" s="1"/>
  <c r="D125" i="15"/>
  <c r="C25" i="34" s="1"/>
  <c r="D120" i="15"/>
  <c r="C20" i="34" s="1"/>
  <c r="AC101" i="15"/>
  <c r="V101" i="15"/>
  <c r="X101" i="15" s="1"/>
  <c r="Y101" i="15" s="1"/>
  <c r="V90" i="15"/>
  <c r="X90" i="15" s="1"/>
  <c r="Y90" i="15" s="1"/>
  <c r="AC90" i="15"/>
  <c r="V89" i="15"/>
  <c r="X89" i="15" s="1"/>
  <c r="Y89" i="15" s="1"/>
  <c r="AC89" i="15"/>
  <c r="AC70" i="15"/>
  <c r="V70" i="15"/>
  <c r="X70" i="15" s="1"/>
  <c r="Y70" i="15" s="1"/>
  <c r="V71" i="15"/>
  <c r="X71" i="15" s="1"/>
  <c r="Y71" i="15" s="1"/>
  <c r="AC71" i="15"/>
  <c r="AC106" i="15"/>
  <c r="V106" i="15"/>
  <c r="X106" i="15" s="1"/>
  <c r="Y106" i="15" s="1"/>
  <c r="V77" i="15"/>
  <c r="X77" i="15" s="1"/>
  <c r="Y77" i="15" s="1"/>
  <c r="AC77" i="15"/>
  <c r="AC95" i="15"/>
  <c r="V95" i="15"/>
  <c r="X95" i="15" s="1"/>
  <c r="Y95" i="15" s="1"/>
  <c r="V80" i="15"/>
  <c r="X80" i="15" s="1"/>
  <c r="Y80" i="15" s="1"/>
  <c r="AC80" i="15"/>
  <c r="V103" i="15"/>
  <c r="X103" i="15" s="1"/>
  <c r="Y103" i="15" s="1"/>
  <c r="AC103" i="15"/>
  <c r="V69" i="15"/>
  <c r="X69" i="15" s="1"/>
  <c r="AA69" i="15" s="1"/>
  <c r="AC69" i="15"/>
  <c r="AC73" i="15"/>
  <c r="V73" i="15"/>
  <c r="X73" i="15" s="1"/>
  <c r="Y73" i="15" s="1"/>
  <c r="AA100" i="15" l="1"/>
  <c r="AA107" i="15"/>
  <c r="AA85" i="15"/>
  <c r="AA86" i="15"/>
  <c r="AA101" i="15"/>
  <c r="Y94" i="15"/>
  <c r="AA80" i="15"/>
  <c r="AA106" i="15"/>
  <c r="AA82" i="15"/>
  <c r="AA105" i="15"/>
  <c r="AA99" i="15"/>
  <c r="AA104" i="15"/>
  <c r="AA71" i="15"/>
  <c r="AA81" i="15"/>
  <c r="AA78" i="15"/>
  <c r="AA73" i="15"/>
  <c r="AA84" i="15"/>
  <c r="AA74" i="15"/>
  <c r="AA77" i="15"/>
  <c r="AA70" i="15"/>
  <c r="AA102" i="15"/>
  <c r="AA97" i="15"/>
  <c r="AA93" i="15"/>
  <c r="AA83" i="15"/>
  <c r="V68" i="15"/>
  <c r="AC68" i="15"/>
  <c r="T116" i="15"/>
  <c r="T114" i="15"/>
  <c r="T115" i="15"/>
  <c r="Y69" i="15"/>
  <c r="AA89" i="15"/>
  <c r="Y88" i="15"/>
  <c r="Y96" i="15"/>
  <c r="AA95" i="15"/>
  <c r="AA92" i="15"/>
  <c r="AA76" i="15"/>
  <c r="AA103" i="15"/>
  <c r="AA79" i="15"/>
  <c r="AG118" i="15"/>
  <c r="K48" i="119"/>
  <c r="E155" i="119" s="1"/>
  <c r="AA90" i="15"/>
  <c r="C26" i="34"/>
  <c r="AA87" i="15"/>
  <c r="AA75" i="15"/>
  <c r="AA98" i="15"/>
  <c r="Y91" i="15"/>
  <c r="AA72" i="15"/>
  <c r="F155" i="119" l="1"/>
  <c r="F156" i="119"/>
  <c r="F157" i="119"/>
  <c r="AC116" i="15"/>
  <c r="E21" i="15"/>
  <c r="E19" i="15" s="1"/>
  <c r="AC114" i="15"/>
  <c r="AC115" i="15"/>
  <c r="X68" i="15"/>
  <c r="V115" i="15"/>
  <c r="V116" i="15"/>
  <c r="V114" i="15"/>
  <c r="X115" i="15" l="1"/>
  <c r="X114" i="15"/>
  <c r="X116" i="15"/>
  <c r="X117" i="15" s="1"/>
  <c r="Y68" i="15"/>
  <c r="AA68" i="15"/>
  <c r="H157" i="119"/>
  <c r="K157" i="119" s="1"/>
  <c r="I155" i="119"/>
  <c r="L155" i="119" s="1"/>
  <c r="H156" i="119"/>
  <c r="K156" i="119" s="1"/>
  <c r="H155" i="119"/>
  <c r="K155" i="119" s="1"/>
  <c r="I156" i="119"/>
  <c r="L156" i="119" s="1"/>
  <c r="I157" i="119"/>
  <c r="L157" i="119" s="1"/>
  <c r="N157" i="119" s="1"/>
  <c r="L171" i="119" l="1"/>
  <c r="N155" i="119"/>
  <c r="AA116" i="15"/>
  <c r="AA115" i="15"/>
  <c r="E26" i="15"/>
  <c r="H17" i="6" s="1"/>
  <c r="E20" i="15"/>
  <c r="E18" i="15" s="1"/>
  <c r="AA114" i="15"/>
  <c r="AB68" i="15"/>
  <c r="Y116" i="15"/>
  <c r="Y114" i="15"/>
  <c r="Y115" i="15"/>
  <c r="X48" i="119"/>
  <c r="E169" i="119" s="1"/>
  <c r="AG117" i="15"/>
  <c r="N156" i="119"/>
  <c r="AB69" i="15" l="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AB116" i="15" s="1"/>
  <c r="F169" i="119"/>
  <c r="F168" i="119"/>
  <c r="F160" i="119"/>
  <c r="F167" i="119"/>
  <c r="F159" i="119"/>
  <c r="F163" i="119"/>
  <c r="F170" i="119"/>
  <c r="F164" i="119"/>
  <c r="F166" i="119"/>
  <c r="F165" i="119"/>
  <c r="F161" i="119"/>
  <c r="F162" i="119"/>
  <c r="H161" i="119" l="1"/>
  <c r="K161" i="119" s="1"/>
  <c r="H167" i="119"/>
  <c r="K167" i="119" s="1"/>
  <c r="H165" i="119"/>
  <c r="K165" i="119" s="1"/>
  <c r="I160" i="119"/>
  <c r="M160" i="119" s="1"/>
  <c r="H164" i="119"/>
  <c r="K164" i="119" s="1"/>
  <c r="I165" i="119"/>
  <c r="M165" i="119" s="1"/>
  <c r="H163" i="119"/>
  <c r="K163" i="119" s="1"/>
  <c r="H162" i="119"/>
  <c r="K162" i="119" s="1"/>
  <c r="I161" i="119"/>
  <c r="M161" i="119" s="1"/>
  <c r="H169" i="119"/>
  <c r="K169" i="119" s="1"/>
  <c r="I168" i="119"/>
  <c r="M168" i="119" s="1"/>
  <c r="H159" i="119"/>
  <c r="K159" i="119" s="1"/>
  <c r="I164" i="119"/>
  <c r="M164" i="119" s="1"/>
  <c r="H170" i="119"/>
  <c r="K170" i="119" s="1"/>
  <c r="H160" i="119"/>
  <c r="K160" i="119" s="1"/>
  <c r="H166" i="119"/>
  <c r="K166" i="119" s="1"/>
  <c r="I159" i="119"/>
  <c r="M159" i="119" s="1"/>
  <c r="I162" i="119"/>
  <c r="M162" i="119" s="1"/>
  <c r="I170" i="119"/>
  <c r="M170" i="119" s="1"/>
  <c r="N170" i="119" s="1"/>
  <c r="I167" i="119"/>
  <c r="M167" i="119" s="1"/>
  <c r="I169" i="119"/>
  <c r="M169" i="119" s="1"/>
  <c r="I166" i="119"/>
  <c r="M166" i="119" s="1"/>
  <c r="I163" i="119"/>
  <c r="M163" i="119" s="1"/>
  <c r="H168" i="119"/>
  <c r="K168" i="119" s="1"/>
  <c r="AB114" i="15"/>
  <c r="AB115" i="15"/>
  <c r="N164" i="119" l="1"/>
  <c r="N161" i="119"/>
  <c r="N169" i="119"/>
  <c r="N167" i="119"/>
  <c r="N163" i="119"/>
  <c r="N166" i="119"/>
  <c r="N165" i="119"/>
  <c r="N160" i="119"/>
  <c r="N168" i="119"/>
  <c r="N162" i="119"/>
  <c r="N159" i="119"/>
  <c r="M171" i="119"/>
  <c r="N171" i="1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<sst xmlns="http://schemas.openxmlformats.org/spreadsheetml/2006/main" count="3992" uniqueCount="1430">
  <si>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</si>
  <si>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</si>
  <si>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</si>
  <si>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</si>
  <si>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</si>
  <si>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</si>
  <si>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</si>
  <si>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</si>
  <si>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</si>
  <si>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</si>
  <si>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</si>
  <si>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</si>
  <si>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</si>
  <si>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</si>
  <si>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</si>
  <si>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</si>
  <si>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</si>
  <si>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</si>
  <si>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</si>
  <si>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</si>
  <si>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</si>
  <si>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</si>
  <si>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</si>
  <si>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</si>
  <si>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</si>
  <si>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</si>
  <si>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</si>
  <si>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</si>
  <si>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</si>
  <si>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</si>
  <si>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</si>
  <si>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</si>
  <si>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</si>
  <si>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</si>
  <si>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</si>
  <si>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</si>
  <si>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</si>
  <si>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</si>
  <si>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</si>
  <si>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</si>
  <si>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</si>
  <si>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</si>
  <si>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</si>
  <si>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</si>
  <si>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</si>
  <si>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</si>
  <si>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</si>
  <si>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</si>
  <si>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</si>
  <si>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</si>
  <si>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</si>
  <si>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</si>
  <si>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</si>
  <si>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</si>
  <si>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</si>
  <si>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</si>
  <si>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</si>
  <si>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</si>
  <si>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</si>
  <si>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</si>
  <si>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</si>
  <si>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</si>
  <si>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</si>
  <si>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</si>
  <si>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</si>
  <si>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</si>
  <si>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</si>
  <si>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</si>
  <si>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</si>
  <si>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</si>
  <si>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</si>
  <si>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</si>
  <si>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</si>
  <si>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</si>
  <si>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</si>
  <si>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</si>
  <si>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</si>
  <si>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</si>
  <si>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</si>
  <si>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</si>
  <si>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</si>
  <si>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</si>
  <si>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</si>
  <si>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</si>
  <si>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</si>
  <si>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</si>
  <si>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</si>
  <si>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</si>
  <si>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</si>
  <si>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</si>
  <si>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</si>
  <si>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</si>
  <si>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</si>
  <si>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</si>
  <si>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</si>
  <si>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</si>
  <si>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</si>
  <si>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</si>
  <si>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</si>
  <si>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</si>
  <si>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</si>
  <si>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</si>
  <si>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</si>
  <si>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</si>
  <si>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</si>
  <si>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</si>
  <si>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</si>
  <si>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</si>
  <si>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</si>
  <si>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</si>
  <si>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</si>
  <si>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</si>
  <si>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</si>
  <si>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</si>
  <si>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</si>
  <si>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</si>
  <si>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</si>
  <si>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</si>
  <si>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</si>
  <si>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</si>
  <si>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</si>
  <si>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</si>
  <si>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</si>
  <si>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</si>
  <si>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</si>
  <si>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</si>
  <si>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</si>
  <si>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</si>
  <si>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</si>
  <si>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</si>
  <si>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</si>
  <si>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</si>
  <si>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</si>
  <si>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</si>
  <si>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</si>
  <si>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</si>
  <si>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</si>
  <si>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</si>
  <si>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</si>
  <si>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</si>
  <si>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</si>
  <si>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</si>
  <si>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</si>
  <si>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</si>
  <si>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</si>
  <si>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</si>
  <si>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</si>
  <si>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</si>
  <si>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</si>
  <si>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</si>
  <si>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</si>
  <si>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</si>
  <si>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</si>
  <si>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</si>
  <si>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</si>
  <si>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</si>
  <si>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</si>
  <si>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</si>
  <si>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</si>
  <si>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</si>
  <si>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</si>
  <si>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</si>
  <si>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</si>
  <si>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</si>
  <si>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</si>
  <si>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</si>
  <si>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</si>
  <si>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</si>
  <si>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</si>
  <si>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</si>
  <si>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</si>
  <si>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</si>
  <si>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</si>
  <si>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</si>
  <si>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</si>
  <si>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</si>
  <si>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</si>
  <si>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</si>
  <si>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</si>
  <si>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</si>
  <si>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</si>
  <si>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</si>
  <si>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</si>
  <si>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</si>
  <si>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</si>
  <si>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</si>
  <si>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</si>
  <si>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</si>
  <si>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</si>
  <si>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</si>
  <si>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</si>
  <si>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</si>
  <si>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</si>
  <si>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</si>
  <si>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</si>
  <si>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</si>
  <si>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</si>
  <si>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</si>
  <si>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</si>
  <si>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</si>
  <si>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</si>
  <si>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</si>
  <si>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</si>
  <si>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</si>
  <si>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</si>
  <si>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</si>
  <si>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</si>
  <si>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</si>
  <si>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</si>
  <si>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</si>
  <si>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</si>
  <si>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</si>
  <si>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</si>
  <si>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</si>
  <si>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</si>
  <si>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</si>
  <si>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</si>
  <si>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</si>
  <si>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</si>
  <si>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</si>
  <si>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</si>
  <si>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</si>
  <si>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</si>
  <si>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</si>
  <si>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</si>
  <si>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</si>
  <si>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</si>
  <si>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</si>
  <si>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</si>
  <si>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</si>
  <si>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</si>
  <si>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</si>
  <si>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</si>
  <si>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</si>
  <si>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</si>
  <si>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</si>
  <si>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</si>
  <si>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</si>
  <si>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</si>
  <si>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</si>
  <si>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</si>
  <si>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</si>
  <si>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</si>
  <si>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</si>
  <si>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</si>
  <si>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</si>
  <si>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</si>
  <si>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</si>
  <si>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</si>
  <si>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</si>
  <si>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</si>
  <si>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</si>
  <si>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</si>
  <si>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</si>
  <si>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</si>
  <si>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</si>
  <si>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</si>
  <si>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</si>
  <si>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</si>
  <si>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</si>
  <si>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</si>
  <si>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</si>
  <si>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</si>
  <si>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</si>
  <si>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</si>
  <si>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</si>
  <si>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</si>
  <si>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</si>
  <si>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</si>
  <si>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</si>
  <si>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</si>
  <si>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</si>
  <si>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</si>
  <si>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</si>
  <si>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</si>
  <si>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</si>
  <si>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</si>
  <si>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</si>
  <si>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</si>
  <si>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</si>
  <si>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</si>
  <si>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</si>
  <si>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</si>
  <si>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</si>
  <si>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</si>
  <si>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</si>
  <si>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</si>
  <si>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</si>
  <si>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</si>
  <si>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</si>
  <si>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</si>
  <si>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</si>
  <si>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</si>
  <si>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</si>
  <si>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</si>
  <si>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</si>
  <si>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</si>
  <si>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</si>
  <si>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</si>
  <si>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</si>
  <si>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</si>
  <si>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</si>
  <si>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</si>
  <si>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</si>
  <si>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</si>
  <si>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</si>
  <si>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</si>
  <si>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</si>
  <si>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</si>
  <si>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</si>
  <si>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</si>
  <si>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</si>
  <si>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</si>
  <si>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</si>
  <si>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</si>
  <si>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</si>
  <si>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</si>
  <si>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</si>
  <si>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</si>
  <si>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</si>
  <si>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</si>
  <si>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</si>
  <si>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</si>
  <si>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</si>
  <si>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</si>
  <si>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</si>
  <si>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</si>
  <si>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</si>
  <si>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</si>
  <si>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</si>
  <si>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</si>
  <si>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</si>
  <si>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</si>
  <si>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</si>
  <si>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</si>
  <si>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</si>
  <si>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</si>
  <si>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</si>
  <si>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</si>
  <si>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</si>
  <si>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</si>
  <si>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</si>
  <si>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</si>
  <si>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</si>
  <si>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</si>
  <si>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</si>
  <si>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</si>
  <si>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</si>
  <si>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</si>
  <si>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</si>
  <si>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</si>
  <si>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</si>
  <si>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</si>
  <si>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</si>
  <si>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</si>
  <si>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</si>
  <si>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</si>
  <si>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</si>
  <si>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</si>
  <si>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</si>
  <si>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</si>
  <si>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</si>
  <si>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</si>
  <si>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</si>
  <si>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</si>
  <si>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</si>
  <si>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</si>
  <si>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</si>
  <si>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</si>
  <si>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</si>
  <si>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</si>
  <si>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</si>
  <si>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</si>
  <si>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</si>
  <si>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</si>
  <si>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</si>
  <si>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</si>
  <si>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</si>
  <si>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</si>
  <si>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</si>
  <si>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</si>
  <si>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</si>
  <si>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</si>
  <si>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</si>
  <si>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</si>
  <si>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</si>
  <si>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</si>
  <si>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</si>
  <si>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</si>
  <si>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</si>
  <si>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</si>
  <si>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</si>
  <si>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</si>
  <si>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</si>
  <si>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</si>
  <si>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</si>
  <si>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</si>
  <si>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</si>
  <si>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</si>
  <si>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</si>
  <si>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</si>
  <si>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</si>
  <si>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</si>
  <si>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</si>
  <si>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</si>
  <si>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</si>
  <si>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</si>
  <si>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</si>
  <si>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</si>
  <si>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</si>
  <si>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</si>
  <si>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</si>
  <si>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</si>
  <si>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</si>
  <si>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</si>
  <si>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</si>
  <si>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</si>
  <si>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</si>
  <si>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</si>
  <si>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</si>
  <si>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</si>
  <si>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</si>
  <si>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</si>
  <si>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</si>
  <si>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</si>
  <si>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</si>
  <si>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</si>
  <si>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</si>
  <si>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</si>
  <si>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</si>
  <si>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</si>
  <si>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</si>
  <si>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</si>
  <si>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</si>
  <si>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</si>
  <si>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</si>
  <si>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</si>
  <si>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</si>
  <si>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</si>
  <si>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</si>
  <si>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</si>
  <si>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</si>
  <si>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</si>
  <si>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</si>
  <si>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</si>
  <si>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</si>
  <si>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</si>
  <si>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</si>
  <si>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</si>
  <si>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</si>
  <si>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</si>
  <si>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</si>
  <si>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</si>
  <si>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</si>
  <si>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</si>
  <si>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</si>
  <si>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</si>
  <si>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</si>
  <si>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</si>
  <si>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</si>
  <si>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</si>
  <si>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</si>
  <si>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</si>
  <si>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</si>
  <si>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</si>
  <si>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</si>
  <si>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</si>
  <si>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</si>
  <si>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</si>
  <si>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</si>
  <si>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</si>
  <si>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</si>
  <si>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</si>
  <si>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</si>
  <si>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</si>
  <si>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</si>
  <si>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</si>
  <si>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</si>
  <si>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</si>
  <si>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</si>
  <si>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</si>
  <si>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</si>
  <si>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</si>
  <si>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</si>
  <si>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</si>
  <si>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</si>
  <si>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</si>
  <si>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</si>
  <si>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</si>
  <si>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</si>
  <si>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</si>
  <si>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</si>
  <si>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</si>
  <si>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</si>
  <si>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</si>
  <si>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</si>
  <si>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</si>
  <si>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</si>
  <si>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</si>
  <si>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</si>
  <si>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</si>
  <si>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</si>
  <si>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</si>
  <si>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</si>
  <si>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</si>
  <si>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</si>
  <si>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</si>
  <si>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</si>
  <si>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</si>
  <si>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</si>
  <si>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</si>
  <si>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</si>
  <si>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</si>
  <si>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</si>
  <si>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</si>
  <si>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</si>
  <si>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</si>
  <si>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</si>
  <si>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</si>
  <si>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</si>
  <si>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</si>
  <si>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</si>
  <si>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</si>
  <si>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</si>
  <si>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</si>
  <si>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</si>
  <si>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</si>
  <si>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</si>
  <si>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</si>
  <si>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</si>
  <si>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</si>
  <si>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</si>
  <si>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</si>
  <si>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</si>
  <si>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</si>
  <si>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</si>
  <si>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</si>
  <si>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</si>
  <si>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</si>
  <si>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</si>
  <si>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</si>
  <si>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</si>
  <si>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</si>
  <si>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</si>
  <si>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</si>
  <si>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</si>
  <si>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</si>
  <si>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</si>
  <si>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</si>
  <si>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</si>
  <si>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</si>
  <si>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</si>
  <si>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</si>
  <si>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</si>
  <si>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</si>
  <si>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</si>
  <si>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</si>
  <si>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</si>
  <si>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</si>
  <si>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</si>
  <si>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</si>
  <si>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</si>
  <si>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</si>
  <si>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</si>
  <si>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</si>
  <si>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</si>
  <si>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</si>
  <si>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</si>
  <si>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</si>
  <si>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</si>
  <si>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</si>
  <si>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</si>
  <si>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</si>
  <si>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</si>
  <si>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</si>
  <si>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</si>
  <si>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</si>
  <si>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</si>
  <si>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</si>
  <si>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</si>
  <si>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</si>
  <si>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</si>
  <si>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</si>
  <si>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</si>
  <si>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</si>
  <si>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</si>
  <si>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</si>
  <si>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</si>
  <si>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</si>
  <si>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</si>
  <si>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</si>
  <si>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</si>
  <si>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</si>
  <si>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</si>
  <si>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</si>
  <si>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</si>
  <si>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</si>
  <si>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</si>
  <si>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</si>
  <si>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</si>
  <si>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</si>
  <si>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</si>
  <si>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</si>
  <si>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</si>
  <si>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</si>
  <si>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</si>
  <si>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</si>
  <si>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</si>
  <si>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</si>
  <si>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</si>
  <si>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</si>
  <si>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</si>
  <si>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</si>
  <si>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</si>
  <si>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</si>
  <si>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</si>
  <si>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</si>
  <si>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</si>
  <si>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</si>
  <si>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</si>
  <si>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</si>
  <si>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</si>
  <si>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</si>
  <si>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</si>
  <si>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</si>
  <si>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</si>
  <si>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</si>
  <si>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</si>
  <si>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</si>
  <si>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</si>
  <si>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</si>
  <si>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</si>
  <si>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</si>
  <si>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</si>
  <si>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</si>
  <si>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</si>
  <si>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</si>
  <si>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</si>
  <si>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</si>
  <si>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</si>
  <si>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</si>
  <si>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</si>
  <si>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</si>
  <si>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</si>
  <si>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</si>
  <si>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</si>
  <si>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</si>
  <si>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</si>
  <si>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</si>
  <si>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</si>
  <si>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</si>
  <si>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</si>
  <si>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</si>
  <si>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</si>
  <si>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</si>
  <si>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</si>
  <si>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</si>
  <si>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</si>
  <si>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</si>
  <si>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</si>
  <si>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</si>
  <si>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</si>
  <si>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</si>
  <si>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</si>
  <si>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</si>
  <si>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</si>
  <si>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</si>
  <si>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</si>
  <si>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</si>
  <si>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</si>
  <si>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</si>
  <si>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</si>
  <si>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</si>
  <si>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</si>
  <si>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</si>
  <si>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</si>
  <si>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</si>
  <si>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</si>
  <si>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</si>
  <si>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</si>
  <si>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</si>
  <si>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</si>
  <si>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</si>
  <si>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</si>
  <si>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</si>
  <si>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</si>
  <si>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</si>
  <si>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</si>
  <si>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</si>
  <si>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</si>
  <si>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</si>
  <si>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</si>
  <si>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</si>
  <si>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</si>
  <si>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</si>
  <si>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</si>
  <si>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</si>
  <si>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</si>
  <si>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</si>
  <si>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</si>
  <si>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</si>
  <si>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</si>
  <si>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</si>
  <si>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</si>
  <si>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</si>
  <si>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</si>
  <si>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</si>
  <si>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</si>
  <si>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</si>
  <si>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</si>
  <si>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</si>
  <si>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</si>
  <si>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</si>
  <si>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</si>
  <si>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</si>
  <si>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</si>
  <si>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</si>
  <si>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</si>
  <si>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</si>
  <si>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</si>
  <si>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</si>
  <si>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</si>
  <si>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</si>
  <si>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</si>
  <si>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</si>
  <si>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</si>
  <si>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</si>
  <si>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</si>
  <si>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</si>
  <si>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</si>
  <si>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</si>
  <si>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</si>
  <si>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</si>
  <si>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</si>
  <si>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</si>
  <si>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</si>
  <si>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</si>
  <si>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</si>
  <si>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</si>
  <si>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</si>
  <si>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</si>
  <si>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</si>
  <si>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</si>
  <si>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</si>
  <si>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</si>
  <si>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</si>
  <si>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</si>
  <si>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</si>
  <si>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</si>
  <si>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</si>
  <si>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</si>
  <si>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</si>
  <si>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</si>
  <si>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</si>
  <si>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</si>
  <si>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</si>
  <si>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</si>
  <si>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</si>
  <si>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</si>
  <si>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</si>
  <si>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</si>
  <si>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</si>
  <si>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</si>
  <si>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</si>
  <si>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</si>
  <si>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</si>
  <si>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</si>
  <si>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</si>
  <si>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</si>
  <si>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</si>
  <si>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</si>
  <si>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</si>
  <si>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</si>
  <si>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</si>
  <si>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</si>
  <si>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</si>
  <si>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</si>
  <si>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</si>
  <si>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</si>
  <si>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</si>
  <si>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</si>
  <si>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</si>
  <si>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</si>
  <si>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</si>
  <si>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</si>
  <si>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</si>
  <si>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</si>
  <si>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</si>
  <si>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</si>
  <si>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</si>
  <si>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</si>
  <si>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</si>
  <si>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</si>
  <si>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</si>
  <si>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</si>
  <si>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</si>
  <si>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</si>
  <si>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</si>
  <si>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</si>
  <si>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</si>
  <si>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</si>
  <si>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</si>
  <si>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</si>
  <si>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</si>
  <si>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</si>
  <si>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</si>
  <si>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</si>
  <si>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</si>
  <si>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</si>
  <si>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</si>
  <si>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</si>
  <si>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</si>
  <si>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</si>
  <si>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</si>
  <si>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</si>
  <si>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</si>
  <si>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</si>
  <si>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</si>
  <si>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</si>
  <si>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</si>
  <si>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</si>
  <si>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</si>
  <si>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</si>
  <si>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</si>
  <si>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</si>
  <si>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</si>
  <si>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</si>
  <si>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</si>
  <si>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</si>
  <si>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</si>
  <si>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</si>
  <si>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H2A Version 2.1 updates</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</si>
  <si>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</si>
  <si>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</si>
  <si>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</si>
  <si>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</si>
  <si>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</si>
  <si>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</si>
  <si>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</si>
  <si>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</si>
  <si>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</si>
  <si>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</si>
  <si>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</si>
  <si>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</si>
  <si>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</si>
  <si>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</si>
  <si>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</si>
  <si>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</si>
  <si>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</si>
  <si>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</si>
  <si>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</si>
  <si>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</si>
  <si>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</si>
  <si>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</si>
  <si>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</si>
  <si>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</si>
  <si>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</si>
  <si>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</si>
  <si>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</si>
  <si>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</si>
  <si>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</si>
  <si>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</si>
  <si>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</si>
  <si>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</si>
  <si>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</si>
  <si>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</si>
  <si>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</si>
  <si>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</si>
  <si>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</si>
  <si>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</si>
  <si>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</si>
  <si>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</si>
  <si>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</si>
  <si>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</si>
  <si>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</si>
  <si>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</si>
  <si>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</si>
  <si>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</si>
  <si>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</si>
  <si>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</si>
  <si>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</si>
  <si>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</si>
  <si>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</si>
  <si>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</si>
  <si>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</si>
  <si>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</si>
  <si>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</si>
  <si>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</si>
  <si>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</si>
  <si>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</si>
  <si>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</si>
  <si>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</si>
  <si>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</si>
  <si>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</si>
  <si>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</si>
  <si>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</si>
  <si>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</si>
  <si>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</si>
  <si>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</si>
  <si>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</si>
  <si>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</si>
  <si>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</si>
  <si>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</si>
  <si>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</si>
  <si>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</si>
  <si>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</si>
  <si>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</si>
  <si>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</si>
  <si>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</si>
  <si>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</si>
  <si>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</si>
  <si>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</si>
  <si>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</si>
  <si>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</si>
  <si>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</si>
  <si>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</si>
  <si>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</si>
  <si>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</si>
  <si>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</si>
  <si>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</si>
  <si>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</si>
  <si>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</si>
  <si>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</si>
  <si>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</si>
  <si>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</si>
  <si>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</si>
  <si>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</si>
  <si>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</si>
  <si>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</si>
  <si>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</si>
  <si>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</si>
  <si>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</si>
  <si>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</si>
  <si>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</si>
  <si>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</si>
  <si>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</si>
  <si>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</si>
  <si>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</si>
  <si>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</si>
  <si>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</si>
  <si>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</si>
  <si>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</si>
  <si>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</si>
  <si>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</si>
  <si>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</si>
  <si>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</si>
  <si>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</si>
  <si>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</si>
  <si>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</si>
  <si>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</si>
  <si>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</si>
  <si>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</si>
  <si>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</si>
  <si>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</si>
  <si>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</si>
  <si>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</si>
  <si>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</si>
  <si>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</si>
  <si>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</si>
  <si>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</si>
  <si>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</si>
  <si>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</si>
  <si>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</si>
  <si>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</si>
  <si>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</si>
  <si>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</si>
  <si>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</si>
  <si>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</si>
  <si>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</si>
  <si>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</si>
  <si>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</si>
  <si>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</si>
  <si>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</si>
  <si>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</si>
  <si>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</si>
  <si>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</si>
  <si>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</si>
  <si>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</si>
  <si>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</si>
  <si>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</si>
  <si>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</si>
  <si>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</si>
  <si>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</si>
  <si>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</si>
  <si>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</si>
  <si>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</si>
  <si>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</si>
  <si>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</si>
  <si>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</si>
  <si>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</si>
  <si>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</si>
  <si>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</si>
  <si>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</si>
  <si>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</si>
  <si>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</si>
  <si>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</si>
  <si>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</si>
  <si>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</si>
  <si>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</si>
  <si>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</si>
  <si>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</si>
  <si>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</si>
  <si>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</si>
  <si>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</si>
  <si>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</si>
  <si>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</si>
  <si>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</si>
  <si>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</si>
  <si>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</si>
  <si>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</si>
  <si>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</si>
  <si>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</si>
  <si>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</si>
  <si>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</si>
  <si>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</si>
  <si>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</si>
  <si>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</si>
  <si>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</si>
  <si>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</si>
  <si>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</si>
  <si>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</si>
  <si>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</si>
  <si>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</si>
  <si>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</si>
  <si>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</si>
  <si>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</si>
  <si>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</si>
  <si>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</si>
  <si>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</si>
  <si>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</si>
  <si>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</si>
  <si>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</si>
  <si>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</si>
  <si>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</si>
  <si>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</si>
  <si>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</si>
  <si>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</si>
  <si>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</si>
  <si>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</si>
  <si>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</si>
  <si>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</si>
  <si>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</si>
  <si>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</si>
  <si>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</si>
  <si>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</si>
  <si>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</si>
  <si>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</si>
  <si>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</si>
  <si>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</si>
  <si>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</si>
  <si>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</si>
  <si>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</si>
  <si>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</si>
  <si>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</si>
  <si>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</si>
  <si>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</si>
  <si>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</si>
  <si>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</si>
  <si>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</si>
  <si>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</si>
  <si>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</si>
  <si>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</si>
  <si>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</si>
  <si>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</si>
  <si>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</si>
  <si>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</si>
  <si>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</si>
  <si>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</si>
  <si>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</si>
  <si>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</si>
  <si>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</si>
  <si>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</si>
  <si>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</si>
  <si>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</si>
  <si>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</si>
  <si>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</si>
  <si>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</si>
  <si>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</si>
  <si>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</si>
  <si>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</si>
  <si>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</si>
  <si>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</si>
  <si>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</si>
  <si>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</si>
  <si>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</si>
  <si>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</si>
  <si>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</si>
  <si>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</si>
  <si>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</si>
  <si>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</si>
  <si>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</si>
  <si>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</si>
  <si>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</si>
  <si>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</si>
  <si>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</si>
  <si>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</si>
  <si>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</si>
  <si>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</si>
  <si>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</si>
  <si>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</si>
  <si>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</si>
  <si>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</si>
  <si>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</si>
  <si>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</si>
  <si>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</si>
  <si>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</si>
  <si>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</si>
  <si>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</si>
  <si>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</si>
  <si>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</si>
  <si>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</si>
  <si>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</si>
  <si>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</si>
  <si>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</si>
  <si>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</si>
  <si>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</si>
  <si>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</si>
  <si>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</si>
  <si>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</si>
  <si>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</si>
  <si>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</si>
  <si>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</si>
  <si>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</si>
  <si>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</si>
  <si>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</si>
  <si>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</si>
  <si>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</si>
  <si>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</si>
  <si>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</si>
  <si>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</si>
  <si>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</si>
  <si>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</si>
  <si>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</si>
  <si>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</si>
  <si>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</si>
  <si>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</si>
  <si>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</si>
  <si>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</si>
  <si>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</si>
  <si>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</si>
  <si>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</si>
  <si>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</si>
  <si>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</si>
  <si>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</si>
  <si>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</si>
  <si>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</si>
  <si>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</si>
  <si>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</si>
  <si>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</si>
  <si>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</si>
  <si>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</si>
  <si>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</si>
  <si>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</si>
  <si>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</si>
  <si>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</si>
  <si>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</si>
  <si>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</si>
  <si>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</si>
  <si>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</si>
  <si>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</si>
  <si>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</si>
  <si>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</si>
  <si>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</si>
  <si>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</si>
  <si>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</si>
  <si>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</si>
  <si>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</si>
  <si>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</si>
  <si>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</si>
  <si>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</si>
  <si>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</si>
  <si>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</si>
  <si>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</si>
  <si>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</si>
  <si>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</si>
  <si>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</si>
  <si>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</si>
  <si>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</si>
  <si>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</si>
  <si>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</si>
  <si>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</si>
  <si>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</si>
  <si>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</si>
  <si>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</si>
  <si>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</si>
  <si>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</si>
  <si>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</si>
  <si>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</si>
  <si>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</si>
  <si>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</si>
  <si>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</si>
  <si>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</si>
  <si>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</si>
  <si>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</si>
  <si>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</si>
  <si>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</si>
  <si>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</si>
  <si>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</si>
  <si>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</si>
  <si>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</si>
  <si>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</si>
  <si>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</si>
  <si>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</si>
  <si>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</si>
  <si>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</si>
  <si>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</si>
  <si>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</si>
  <si>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</si>
  <si>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</si>
  <si>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</si>
  <si>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</si>
  <si>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</si>
  <si>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</si>
  <si>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</si>
  <si>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</si>
  <si>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</si>
  <si>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</si>
  <si>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</si>
  <si>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</si>
  <si>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</si>
  <si>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</si>
  <si>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</si>
  <si>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</si>
  <si>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</si>
  <si>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</si>
  <si>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</si>
  <si>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</si>
  <si>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</si>
  <si>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</si>
  <si>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</si>
  <si>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</si>
  <si>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</si>
  <si>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</si>
  <si>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</si>
  <si>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</si>
  <si>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</si>
  <si>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</si>
  <si>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</si>
  <si>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</si>
  <si>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</si>
  <si>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</si>
  <si>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</si>
  <si>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</si>
  <si>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</si>
  <si>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</si>
  <si>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</si>
  <si>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</si>
  <si>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</si>
  <si>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</si>
  <si>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</si>
  <si>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</si>
  <si>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</si>
  <si>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</si>
  <si>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</si>
  <si>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</si>
  <si>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</si>
  <si>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</si>
  <si>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</si>
  <si>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</si>
  <si>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</si>
  <si>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</si>
  <si>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</si>
  <si>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</si>
  <si>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</si>
  <si>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</si>
  <si>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</si>
  <si>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</si>
  <si>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</si>
  <si>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</si>
  <si>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</si>
  <si>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</si>
  <si>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</si>
  <si>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</si>
  <si>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</si>
  <si>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</si>
  <si>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</si>
  <si>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</si>
  <si>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</si>
  <si>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</si>
  <si>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</si>
  <si>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</si>
  <si>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</si>
  <si>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</si>
  <si>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</si>
  <si>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</si>
  <si>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</si>
  <si>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</si>
  <si>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</si>
  <si>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</si>
  <si>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</si>
  <si>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</si>
  <si>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</si>
  <si>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</si>
  <si>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</si>
  <si>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</si>
  <si>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</si>
  <si>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</si>
  <si>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</si>
  <si>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www.nrel.gov</t>
  </si>
  <si>
    <t>H2A Version 3</t>
  </si>
  <si>
    <t>M. Penev</t>
  </si>
  <si>
    <t>Case was ported to H2A version 3</t>
  </si>
  <si>
    <t>$(2016)/ gal</t>
  </si>
  <si>
    <t>Run Risk Analysis?</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</si>
  <si>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</si>
  <si>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</si>
  <si>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</si>
  <si>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</si>
  <si>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</si>
  <si>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</si>
  <si>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</si>
  <si>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</si>
  <si>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</si>
  <si>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</si>
  <si>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</si>
  <si>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</si>
  <si>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</si>
  <si>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</si>
  <si>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</si>
  <si>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</si>
  <si>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</si>
  <si>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</si>
  <si>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</si>
  <si>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</si>
  <si>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</si>
  <si>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</si>
  <si>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</si>
  <si>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</si>
  <si>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</si>
  <si>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</si>
  <si>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</si>
  <si>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</si>
  <si>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</si>
  <si>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</si>
  <si>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</si>
  <si>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</si>
  <si>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</si>
  <si>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</si>
  <si>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</si>
  <si>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</si>
  <si>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</si>
  <si>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</si>
  <si>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</si>
  <si>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</si>
  <si>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</si>
  <si>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</si>
  <si>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Michael Penev</t>
  </si>
  <si>
    <t>303 275 3880</t>
  </si>
  <si>
    <t>mike.penev@nrel.gov</t>
  </si>
  <si>
    <t>Price Conversion Factor (GJ/kWh)</t>
  </si>
  <si>
    <t>Price in Startup Year ($2016)/kWh</t>
  </si>
  <si>
    <t>NREL - updated for release</t>
  </si>
  <si>
    <t>utility</t>
  </si>
  <si>
    <t>Price Conversion Factor (GJ/mmBtu)</t>
  </si>
  <si>
    <t>Price in Startup Year ($2016)/mmBtu</t>
  </si>
  <si>
    <t>Usage (mmBtu/kg H2)</t>
  </si>
  <si>
    <t>Usage (kWh/kg H2)</t>
  </si>
  <si>
    <t>NREL - G. Saur</t>
  </si>
  <si>
    <t>Fixed Feedstock cost to reference AEO 2009 reference case</t>
  </si>
  <si>
    <t>utility Industrial Electricity Usage</t>
  </si>
  <si>
    <t>utilityIndustrial_Electricity_Usage</t>
  </si>
  <si>
    <t>NREL - D. Steward</t>
  </si>
  <si>
    <t>Ported to new model structure</t>
  </si>
  <si>
    <t>H2A version 2</t>
  </si>
  <si>
    <t>Tornado chart</t>
  </si>
  <si>
    <t>H2A version 1</t>
  </si>
  <si>
    <t>Mike Rutkowski</t>
  </si>
  <si>
    <t>MD Rutkowski, Revise Capital and Feedstock $</t>
  </si>
  <si>
    <t>MD Rutkowski</t>
  </si>
  <si>
    <t>NJ Kuehn</t>
  </si>
  <si>
    <t>US DOE/NETL MD Rutkowski</t>
  </si>
  <si>
    <t>None</t>
  </si>
  <si>
    <t>Standard fossil energy sources</t>
  </si>
  <si>
    <t>Mid USA</t>
  </si>
  <si>
    <t>Corporate ownership, 100% equity</t>
  </si>
  <si>
    <t>Reference</t>
  </si>
  <si>
    <t>SMR Efficiency</t>
  </si>
  <si>
    <t>PSA Hydrogen Separation</t>
  </si>
  <si>
    <t>STREAM NUMBER</t>
  </si>
  <si>
    <t>Natural Gas</t>
  </si>
  <si>
    <t>Air</t>
  </si>
  <si>
    <t>Stack Gas</t>
  </si>
  <si>
    <t xml:space="preserve"> </t>
  </si>
  <si>
    <t xml:space="preserve">  Ar                 </t>
  </si>
  <si>
    <t xml:space="preserve">  CH4</t>
  </si>
  <si>
    <t xml:space="preserve">  C2H6</t>
  </si>
  <si>
    <t xml:space="preserve">  CO2</t>
  </si>
  <si>
    <t xml:space="preserve">  H2</t>
  </si>
  <si>
    <t xml:space="preserve">  H2O</t>
  </si>
  <si>
    <t xml:space="preserve">  N2</t>
  </si>
  <si>
    <t xml:space="preserve">  O2</t>
  </si>
  <si>
    <t>NOx</t>
  </si>
  <si>
    <t>----</t>
  </si>
  <si>
    <t>20 ppm</t>
  </si>
  <si>
    <t>Total Flow (lbmol/hr)</t>
  </si>
  <si>
    <t>Total Flow (lb/hr)</t>
  </si>
  <si>
    <t>Temperature (°F)</t>
  </si>
  <si>
    <t>Pressure (psia)</t>
  </si>
  <si>
    <t>Balance of Plant and Offsites</t>
  </si>
  <si>
    <t>;</t>
  </si>
  <si>
    <t xml:space="preserve">Natural gas is fed to the plant from the pipeline at a pressure of 450 psia.  The desulfurized natural gas feedstock is mixed with process steam to be reacted over a nickel based catalyst contained inside of a system of high alloy steel tubes.  The reforming reaction is strongly endothermic, and the metallurgy of the tubes usually limits the reaction temperature to 1400-1700oF.  The flue gas path of the fired reformer is integrated with additional boiler surfaces to produce about 700,000 lb/hour steam.  Of this, about 450,000 lb/hour is superheated to 450 psia and 750°F, to be added to the incoming natural gas.  Additional steam from the boiler is used to regenerate the CO2.  After the reformer, the process gas mixture of CO and H2 passes through a heat recovery step and is fed into a water gas shift reactor to produce additional H2.  </t>
  </si>
  <si>
    <t>The Pressure Swing Adsorption (PSA) process is used for hydrogen purification, based on the ability to produce high purity hydrogen, low amounts of CO and CO2 and ease of operation.  Shifted gas is fed directly to the PSA unit where hydrogen is purified up to approximately 99.6%.  This plant utilizes a proprietary amine-based process to remove and recover 99 percent of the CO2 from the syngas stream.  From the shift reactor, gas is passed through an amine tower where it is contacted counter-currently with a circulating stream of lean aqueous amine solution.  The rich amine from the absorber is then sent to a stripper column where the amine is regenerated with a steam reboiler to remove the CO2 by fractionation.  The regenerated CO2 stream is recovered at 27 psia and 121°F and is compressed to be sent off-site.  To reach 90 percent CO2 removal, a secondary MEA treatment process is installed on the reformer stack.</t>
  </si>
  <si>
    <t>Material and energy balances in Aspen Plus®; Installed equipment costing based on grass roots estimate of commercial offering; O&amp;M collaborated with KIC</t>
  </si>
  <si>
    <t>Hydrogen from Natural Gas Steam Reforming, November 2003, DOE/FE/NETL</t>
  </si>
  <si>
    <t>Carbon Dioxide</t>
  </si>
  <si>
    <t xml:space="preserve">Vapor      </t>
  </si>
  <si>
    <t xml:space="preserve">Mole Fraction                 </t>
  </si>
  <si>
    <t>Central Natural Gas Reforming with CO2 Capture and Sequestration - Current Timeframe</t>
  </si>
  <si>
    <t>Process Plant Equipment (Reformer)</t>
  </si>
  <si>
    <t>Process CO2 Removal</t>
  </si>
  <si>
    <t>Stack CO2 Removal</t>
  </si>
  <si>
    <t>Steam reformer, quench, shift, PSA,CO2 Removal and Compression</t>
  </si>
  <si>
    <t>Nth</t>
  </si>
  <si>
    <t>In 2030, steam reforming of hydrocarbons continues to be the most efficient, economical, and widely used process for production of hydrogen and hydrogen/carbon monoxide mixtures.  This case retains the efficiency of 2015 with the same capital costs.  The process involves a catalytic conversion of the hydrocarbon and steam to hydrogen and carbon oxides.  Other technologies have not been shown to improve efficiency over the commercial SR process.</t>
  </si>
  <si>
    <t>Energy efficiencies for individual process steps (add rows as appropriate)</t>
  </si>
  <si>
    <t>Hydrogen from Natural Gas Reforming, November 2003, DOE/FE/NETL</t>
  </si>
  <si>
    <t>Shift Reactor</t>
  </si>
  <si>
    <t>HYDROGEN PRODUCT CONDITIONS</t>
  </si>
  <si>
    <t>PEMFC Spec.</t>
  </si>
  <si>
    <t xml:space="preserve">  Pressure (bar)</t>
  </si>
  <si>
    <t xml:space="preserve">  % Hydrogen</t>
  </si>
  <si>
    <t>98 minimum</t>
  </si>
  <si>
    <t>Table 1</t>
  </si>
  <si>
    <t>Hydrogen Production Plant via Steam Reforming with CO2 Recovery</t>
  </si>
  <si>
    <t>Stream Table</t>
  </si>
  <si>
    <t>in 2016 $/GJ, LHV</t>
  </si>
  <si>
    <t>NOTE: AEO Prices prior to 2015 were augmented with AEO historical data</t>
  </si>
  <si>
    <t>Enter 0 to enable constant outstanding debt.</t>
  </si>
  <si>
    <t>H2A Hydrogen Production Cash Flow Analysis Tool v3.2018</t>
  </si>
  <si>
    <t>Future Central Hydrogen from Natural Gas with CO2 Capture and Sequestration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</si>
</sst>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s>
  <fonts count="84"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u/>
      <sz val="10"/>
      <name val="Arial"/>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sz val="10"/>
      <color theme="3" tint="0.59999389629810485"/>
      <name val="Arial"/>
      <family val="2"/>
    </font>
    <font>
      <b/>
      <sz val="10"/>
      <color theme="3" tint="0.59999389629810485"/>
      <name val="Arial"/>
      <family val="2"/>
    </font>
  </fonts>
  <fills count="27">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s>
  <borders count="17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right style="thin">
        <color indexed="64"/>
      </right>
      <top style="thin">
        <color indexed="64"/>
      </top>
      <bottom/>
      <diagonal/>
    </border>
    <border>
      <left/>
      <right style="thin">
        <color indexed="64"/>
      </right>
      <top/>
      <bottom/>
      <diagonal/>
    </border>
  </borders>
  <cellStyleXfs count="21">
    <xf numFmtId="0" fontId="0" fillId="0" borderId="0"/>
    <xf numFmtId="43" fontId="1" fillId="0" borderId="0" applyFont="0" applyFill="0" applyBorder="0" applyAlignment="0" applyProtection="0"/>
    <xf numFmtId="43" fontId="62" fillId="0" borderId="0" applyFont="0" applyFill="0" applyBorder="0" applyAlignment="0" applyProtection="0"/>
    <xf numFmtId="44" fontId="1" fillId="0" borderId="0" applyFont="0" applyFill="0" applyBorder="0" applyAlignment="0" applyProtection="0"/>
    <xf numFmtId="44" fontId="62"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3" fillId="0" borderId="0"/>
    <xf numFmtId="0" fontId="63" fillId="0" borderId="0"/>
    <xf numFmtId="0" fontId="59" fillId="0" borderId="0"/>
    <xf numFmtId="0" fontId="63" fillId="0" borderId="0"/>
    <xf numFmtId="173" fontId="53" fillId="0" borderId="0"/>
    <xf numFmtId="173" fontId="53"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2" fillId="0" borderId="0" applyFont="0" applyFill="0" applyBorder="0" applyAlignment="0" applyProtection="0"/>
    <xf numFmtId="0" fontId="75" fillId="0" borderId="0"/>
  </cellStyleXfs>
  <cellXfs count="1699">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02" xfId="0" applyFont="1" applyFill="1" applyBorder="1" applyAlignment="1" applyProtection="1">
      <alignment wrapText="1"/>
      <protection locked="0"/>
    </xf>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0" xfId="0" applyFont="1" applyFill="1" applyBorder="1" applyAlignment="1" applyProtection="1">
      <alignment horizontal="left" vertical="center" wrapText="1"/>
      <protection locked="0"/>
    </xf>
    <xf numFmtId="0" fontId="49" fillId="6" borderId="8" xfId="0" applyFont="1" applyFill="1" applyBorder="1" applyAlignment="1" applyProtection="1">
      <alignment wrapText="1"/>
      <protection locked="0"/>
    </xf>
    <xf numFmtId="0" fontId="3" fillId="0" borderId="13" xfId="0" applyFont="1" applyBorder="1" applyAlignment="1" applyProtection="1">
      <alignment horizontal="right"/>
      <protection locked="0"/>
    </xf>
    <xf numFmtId="0" fontId="11" fillId="6" borderId="99" xfId="0" applyFont="1" applyFill="1" applyBorder="1" applyAlignment="1" applyProtection="1">
      <alignment horizontal="left" wrapText="1"/>
      <protection locked="0"/>
    </xf>
    <xf numFmtId="0" fontId="11" fillId="0" borderId="0" xfId="0" applyFont="1" applyFill="1" applyBorder="1" applyAlignment="1" applyProtection="1">
      <alignment wrapText="1"/>
      <protection locked="0"/>
    </xf>
    <xf numFmtId="0" fontId="3" fillId="0" borderId="17" xfId="0" applyFont="1" applyBorder="1" applyAlignment="1" applyProtection="1">
      <alignment horizontal="right"/>
      <protection locked="0"/>
    </xf>
    <xf numFmtId="0" fontId="4" fillId="6" borderId="100" xfId="5" applyFont="1" applyFill="1" applyBorder="1" applyAlignment="1" applyProtection="1">
      <alignment wrapText="1"/>
      <protection locked="0"/>
    </xf>
    <xf numFmtId="0" fontId="4" fillId="0" borderId="0" xfId="5" applyFont="1" applyFill="1" applyBorder="1" applyAlignment="1" applyProtection="1">
      <alignment wrapText="1"/>
      <protection locked="0"/>
    </xf>
    <xf numFmtId="15" fontId="11" fillId="6" borderId="100" xfId="0" applyNumberFormat="1" applyFont="1" applyFill="1" applyBorder="1" applyAlignment="1" applyProtection="1">
      <alignment horizontal="left" wrapText="1"/>
      <protection locked="0"/>
    </xf>
    <xf numFmtId="15" fontId="11" fillId="0" borderId="0" xfId="0" applyNumberFormat="1" applyFont="1" applyFill="1" applyBorder="1" applyAlignment="1" applyProtection="1">
      <alignment horizontal="left" wrapText="1"/>
      <protection locked="0"/>
    </xf>
    <xf numFmtId="0" fontId="3" fillId="0" borderId="20" xfId="0" applyFont="1" applyBorder="1" applyAlignment="1" applyProtection="1">
      <alignment horizontal="right"/>
      <protection locked="0"/>
    </xf>
    <xf numFmtId="0" fontId="3" fillId="0" borderId="0" xfId="0" applyFont="1" applyFill="1" applyBorder="1" applyAlignment="1" applyProtection="1">
      <alignment horizontal="right"/>
      <protection locked="0"/>
    </xf>
    <xf numFmtId="0" fontId="11" fillId="0" borderId="0" xfId="0" applyFont="1" applyFill="1" applyBorder="1" applyProtection="1">
      <protection locked="0"/>
    </xf>
    <xf numFmtId="0" fontId="11" fillId="6" borderId="16" xfId="0" applyFont="1" applyFill="1" applyBorder="1" applyAlignment="1" applyProtection="1">
      <alignment horizontal="left" wrapText="1"/>
      <protection locked="0"/>
    </xf>
    <xf numFmtId="0" fontId="11" fillId="0" borderId="0" xfId="0" applyFont="1" applyProtection="1">
      <protection locked="0"/>
    </xf>
    <xf numFmtId="0" fontId="11" fillId="6" borderId="19" xfId="0" applyFont="1" applyFill="1" applyBorder="1" applyAlignment="1" applyProtection="1">
      <alignment horizontal="left" wrapText="1"/>
      <protection locked="0"/>
    </xf>
    <xf numFmtId="0" fontId="19" fillId="0" borderId="0" xfId="0" applyFont="1" applyAlignment="1" applyProtection="1">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11" fillId="6" borderId="23" xfId="0" applyFont="1" applyFill="1" applyBorder="1" applyAlignment="1" applyProtection="1">
      <alignment wrapText="1"/>
      <protection locked="0"/>
    </xf>
    <xf numFmtId="0" fontId="3" fillId="0" borderId="0" xfId="0" applyFont="1" applyAlignment="1" applyProtection="1">
      <alignment horizontal="right"/>
      <protection locked="0"/>
    </xf>
    <xf numFmtId="0" fontId="3" fillId="0" borderId="17" xfId="0" applyFont="1" applyBorder="1" applyProtection="1">
      <protection locked="0"/>
    </xf>
    <xf numFmtId="0" fontId="3" fillId="0" borderId="8" xfId="0" applyFont="1" applyBorder="1" applyProtection="1">
      <protection locked="0"/>
    </xf>
    <xf numFmtId="0" fontId="3" fillId="0" borderId="19" xfId="0" applyFont="1" applyBorder="1" applyAlignment="1" applyProtection="1">
      <alignment wrapText="1"/>
      <protection locked="0"/>
    </xf>
    <xf numFmtId="15" fontId="11" fillId="6" borderId="17" xfId="0" applyNumberFormat="1" applyFont="1" applyFill="1" applyBorder="1" applyAlignment="1" applyProtection="1">
      <alignment horizontal="right" wrapText="1"/>
      <protection locked="0"/>
    </xf>
    <xf numFmtId="14" fontId="11" fillId="6" borderId="8" xfId="0" applyNumberFormat="1" applyFont="1" applyFill="1" applyBorder="1" applyAlignment="1" applyProtection="1">
      <alignment wrapText="1"/>
      <protection locked="0"/>
    </xf>
    <xf numFmtId="15" fontId="11" fillId="6" borderId="17" xfId="0" applyNumberFormat="1" applyFont="1" applyFill="1" applyBorder="1" applyAlignment="1" applyProtection="1">
      <alignment wrapText="1"/>
      <protection locked="0"/>
    </xf>
    <xf numFmtId="15" fontId="11" fillId="6" borderId="20" xfId="0" applyNumberFormat="1" applyFont="1" applyFill="1" applyBorder="1" applyProtection="1">
      <protection locked="0"/>
    </xf>
    <xf numFmtId="14" fontId="11" fillId="6" borderId="22" xfId="0" applyNumberFormat="1" applyFont="1" applyFill="1" applyBorder="1" applyAlignment="1" applyProtection="1">
      <alignment wrapText="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50" fillId="0" borderId="0" xfId="0" applyFont="1"/>
    <xf numFmtId="0" fontId="50" fillId="0" borderId="0" xfId="0" applyFont="1" applyAlignment="1">
      <alignment vertical="top" wrapText="1"/>
    </xf>
    <xf numFmtId="0" fontId="50"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1"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5" fontId="11" fillId="3" borderId="57" xfId="0" applyNumberFormat="1" applyFont="1" applyFill="1" applyBorder="1" applyAlignment="1">
      <alignment vertical="top" wrapText="1"/>
    </xf>
    <xf numFmtId="0" fontId="51"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2"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8" xfId="0" applyNumberFormat="1" applyFont="1" applyFill="1" applyBorder="1" applyAlignment="1" applyProtection="1">
      <alignment horizontal="left" vertical="center" wrapText="1"/>
      <protection locked="0"/>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34" fillId="0" borderId="0" xfId="0" applyFont="1" applyFill="1" applyBorder="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60"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5" fillId="0" borderId="1" xfId="0" applyFont="1" applyFill="1" applyBorder="1" applyAlignment="1">
      <alignment wrapText="1"/>
    </xf>
    <xf numFmtId="0" fontId="55" fillId="0" borderId="2" xfId="0" applyFont="1" applyFill="1" applyBorder="1" applyAlignment="1">
      <alignment horizontal="center"/>
    </xf>
    <xf numFmtId="0" fontId="55" fillId="0" borderId="2" xfId="0" applyFont="1" applyFill="1" applyBorder="1" applyAlignment="1">
      <alignment horizontal="center" wrapText="1"/>
    </xf>
    <xf numFmtId="0" fontId="55" fillId="0" borderId="3" xfId="0" applyFont="1" applyFill="1" applyBorder="1" applyAlignment="1">
      <alignment horizontal="center" wrapText="1"/>
    </xf>
    <xf numFmtId="0" fontId="56" fillId="0" borderId="4" xfId="0" applyFont="1" applyFill="1" applyBorder="1" applyAlignment="1">
      <alignment wrapText="1"/>
    </xf>
    <xf numFmtId="2" fontId="56" fillId="0" borderId="0" xfId="0" applyNumberFormat="1" applyFont="1" applyFill="1" applyBorder="1" applyAlignment="1">
      <alignment horizontal="center"/>
    </xf>
    <xf numFmtId="2" fontId="57" fillId="0" borderId="0" xfId="0" applyNumberFormat="1" applyFont="1" applyFill="1" applyBorder="1" applyAlignment="1">
      <alignment wrapText="1"/>
    </xf>
    <xf numFmtId="2" fontId="57" fillId="0" borderId="0" xfId="0" applyNumberFormat="1" applyFont="1" applyFill="1" applyBorder="1" applyAlignment="1"/>
    <xf numFmtId="2" fontId="57" fillId="0" borderId="0" xfId="0" applyNumberFormat="1" applyFont="1" applyFill="1" applyBorder="1"/>
    <xf numFmtId="2" fontId="57" fillId="0" borderId="5" xfId="0" applyNumberFormat="1" applyFont="1" applyFill="1" applyBorder="1"/>
    <xf numFmtId="0" fontId="56" fillId="0" borderId="4" xfId="0" applyFont="1" applyFill="1" applyBorder="1"/>
    <xf numFmtId="0" fontId="55" fillId="0" borderId="4" xfId="0" applyFont="1" applyFill="1" applyBorder="1"/>
    <xf numFmtId="2" fontId="56" fillId="0" borderId="5" xfId="0" applyNumberFormat="1" applyFont="1" applyFill="1" applyBorder="1" applyAlignment="1">
      <alignment horizontal="center"/>
    </xf>
    <xf numFmtId="2" fontId="57" fillId="0" borderId="5" xfId="0" applyNumberFormat="1" applyFont="1" applyFill="1" applyBorder="1" applyAlignment="1">
      <alignment wrapText="1"/>
    </xf>
    <xf numFmtId="0" fontId="56" fillId="0" borderId="58" xfId="0" applyFont="1" applyFill="1" applyBorder="1" applyAlignment="1">
      <alignment wrapText="1"/>
    </xf>
    <xf numFmtId="2" fontId="56" fillId="0" borderId="59" xfId="0" applyNumberFormat="1" applyFont="1" applyFill="1" applyBorder="1" applyAlignment="1">
      <alignment horizontal="center"/>
    </xf>
    <xf numFmtId="2" fontId="56" fillId="0" borderId="59" xfId="0" applyNumberFormat="1" applyFont="1" applyFill="1" applyBorder="1" applyAlignment="1">
      <alignment horizontal="center" wrapText="1"/>
    </xf>
    <xf numFmtId="2" fontId="56" fillId="0" borderId="87" xfId="0" applyNumberFormat="1" applyFont="1" applyFill="1" applyBorder="1" applyAlignment="1">
      <alignment horizontal="center" wrapText="1"/>
    </xf>
    <xf numFmtId="0" fontId="58" fillId="0" borderId="0" xfId="0" applyFont="1" applyFill="1" applyBorder="1" applyAlignment="1"/>
    <xf numFmtId="0" fontId="57" fillId="0" borderId="0" xfId="0" applyFont="1" applyFill="1"/>
    <xf numFmtId="0" fontId="58"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7" fillId="3" borderId="4" xfId="0" applyFont="1" applyFill="1" applyBorder="1"/>
    <xf numFmtId="165" fontId="57" fillId="3" borderId="0" xfId="0" applyNumberFormat="1" applyFont="1" applyFill="1" applyBorder="1" applyAlignment="1">
      <alignment horizontal="center"/>
    </xf>
    <xf numFmtId="0" fontId="57" fillId="0" borderId="4" xfId="0" applyFont="1" applyFill="1" applyBorder="1"/>
    <xf numFmtId="165" fontId="57" fillId="0" borderId="0" xfId="0" applyNumberFormat="1" applyFont="1" applyFill="1" applyBorder="1" applyAlignment="1">
      <alignment horizontal="center"/>
    </xf>
    <xf numFmtId="0" fontId="57" fillId="3" borderId="0" xfId="0" applyFont="1" applyFill="1" applyBorder="1" applyAlignment="1">
      <alignment horizontal="center"/>
    </xf>
    <xf numFmtId="0" fontId="57" fillId="3" borderId="5" xfId="0" applyFont="1" applyFill="1" applyBorder="1" applyAlignment="1">
      <alignment horizontal="center"/>
    </xf>
    <xf numFmtId="0" fontId="57" fillId="0" borderId="0" xfId="0" applyFont="1" applyFill="1" applyBorder="1" applyAlignment="1">
      <alignment horizontal="center"/>
    </xf>
    <xf numFmtId="0" fontId="57" fillId="0" borderId="5" xfId="0" applyFont="1" applyFill="1" applyBorder="1" applyAlignment="1">
      <alignment horizontal="center"/>
    </xf>
    <xf numFmtId="0" fontId="3" fillId="3" borderId="0" xfId="0" applyFont="1" applyFill="1" applyBorder="1" applyAlignment="1">
      <alignment horizontal="center"/>
    </xf>
    <xf numFmtId="0" fontId="57" fillId="3" borderId="0" xfId="0" applyFont="1" applyFill="1" applyBorder="1"/>
    <xf numFmtId="0" fontId="57"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7" fillId="0" borderId="0" xfId="0" applyFont="1"/>
    <xf numFmtId="0" fontId="57" fillId="0" borderId="4" xfId="0" applyFont="1" applyFill="1" applyBorder="1" applyAlignment="1">
      <alignment wrapText="1"/>
    </xf>
    <xf numFmtId="0" fontId="57" fillId="0" borderId="0" xfId="0" applyFont="1" applyFill="1" applyBorder="1" applyAlignment="1">
      <alignment wrapText="1"/>
    </xf>
    <xf numFmtId="0" fontId="57"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7" fillId="3" borderId="2" xfId="0" applyNumberFormat="1" applyFont="1" applyFill="1" applyBorder="1" applyAlignment="1">
      <alignment horizontal="center"/>
    </xf>
    <xf numFmtId="165" fontId="57" fillId="3" borderId="82" xfId="0" applyNumberFormat="1" applyFont="1" applyFill="1" applyBorder="1" applyAlignment="1">
      <alignment horizontal="center"/>
    </xf>
    <xf numFmtId="165" fontId="57" fillId="3" borderId="7" xfId="0" applyNumberFormat="1" applyFont="1" applyFill="1" applyBorder="1" applyAlignment="1">
      <alignment horizontal="center"/>
    </xf>
    <xf numFmtId="0" fontId="11" fillId="0" borderId="4" xfId="0" applyFont="1" applyFill="1" applyBorder="1"/>
    <xf numFmtId="2" fontId="56" fillId="0" borderId="0" xfId="0" applyNumberFormat="1" applyFont="1" applyFill="1" applyBorder="1" applyAlignment="1">
      <alignment horizontal="center" wrapText="1"/>
    </xf>
    <xf numFmtId="2" fontId="56" fillId="0" borderId="7" xfId="0" applyNumberFormat="1" applyFont="1" applyFill="1" applyBorder="1" applyAlignment="1">
      <alignment horizontal="center" wrapText="1"/>
    </xf>
    <xf numFmtId="0" fontId="11" fillId="0" borderId="144" xfId="0" applyFont="1" applyFill="1" applyBorder="1"/>
    <xf numFmtId="165" fontId="57" fillId="3" borderId="90" xfId="0" applyNumberFormat="1" applyFont="1" applyFill="1" applyBorder="1" applyAlignment="1">
      <alignment horizontal="center"/>
    </xf>
    <xf numFmtId="165" fontId="57"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8"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2" fontId="11" fillId="5" borderId="101" xfId="0" applyNumberFormat="1" applyFont="1" applyFill="1" applyBorder="1" applyAlignment="1" applyProtection="1">
      <alignment wrapText="1"/>
      <protection locked="0"/>
    </xf>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3" fillId="6" borderId="7" xfId="9" applyNumberFormat="1" applyFill="1" applyBorder="1"/>
    <xf numFmtId="39" fontId="63"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4" fillId="0" borderId="0" xfId="7" applyFont="1" applyFill="1" applyBorder="1"/>
    <xf numFmtId="0" fontId="11" fillId="0" borderId="4" xfId="7" applyFill="1" applyBorder="1"/>
    <xf numFmtId="0" fontId="65"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4"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1"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6"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70" fillId="21" borderId="8" xfId="0" applyFont="1" applyFill="1" applyBorder="1" applyAlignment="1">
      <alignment vertical="center" wrapText="1"/>
    </xf>
    <xf numFmtId="44" fontId="70"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1"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99" xfId="0" applyFont="1" applyFill="1" applyBorder="1" applyAlignment="1" applyProtection="1">
      <alignment horizontal="left" wrapText="1"/>
      <protection locked="0"/>
    </xf>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0" borderId="0" xfId="0" applyFont="1" applyFill="1" applyBorder="1" applyAlignment="1" applyProtection="1">
      <alignmen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2"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2"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6" fillId="0" borderId="0" xfId="0" applyFont="1"/>
    <xf numFmtId="170" fontId="76"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7" fillId="0" borderId="0" xfId="0" applyFont="1" applyAlignment="1"/>
    <xf numFmtId="0" fontId="77"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167" fontId="0" fillId="0" borderId="59" xfId="0" applyNumberForma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15" fontId="1" fillId="0" borderId="0" xfId="0" applyNumberFormat="1" applyFont="1" applyFill="1" applyBorder="1" applyAlignment="1" applyProtection="1">
      <alignment horizontal="left" wrapText="1"/>
      <protection locked="0"/>
    </xf>
    <xf numFmtId="0" fontId="1" fillId="0" borderId="0" xfId="0" applyFont="1" applyFill="1" applyBorder="1" applyProtection="1">
      <protection locked="0"/>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1" fillId="21" borderId="0" xfId="0" applyFont="1" applyFill="1"/>
    <xf numFmtId="14" fontId="1" fillId="6" borderId="136" xfId="0" applyNumberFormat="1" applyFont="1" applyFill="1" applyBorder="1" applyAlignment="1" applyProtection="1">
      <alignment wrapText="1"/>
      <protection locked="0"/>
    </xf>
    <xf numFmtId="14" fontId="1" fillId="6" borderId="100" xfId="0" applyNumberFormat="1" applyFont="1" applyFill="1" applyBorder="1" applyAlignment="1" applyProtection="1">
      <alignment wrapText="1"/>
      <protection locked="0"/>
    </xf>
    <xf numFmtId="14" fontId="1" fillId="6" borderId="138" xfId="0" applyNumberFormat="1" applyFont="1" applyFill="1" applyBorder="1" applyAlignment="1" applyProtection="1">
      <alignment wrapText="1"/>
      <protection locked="0"/>
    </xf>
    <xf numFmtId="14" fontId="1" fillId="6" borderId="145" xfId="0" applyNumberFormat="1" applyFont="1" applyFill="1" applyBorder="1" applyAlignment="1" applyProtection="1">
      <alignment wrapText="1"/>
      <protection locked="0"/>
    </xf>
    <xf numFmtId="14" fontId="1" fillId="6" borderId="101" xfId="0" applyNumberFormat="1" applyFont="1" applyFill="1" applyBorder="1" applyAlignment="1" applyProtection="1">
      <alignment wrapText="1"/>
      <protection locked="0"/>
    </xf>
    <xf numFmtId="0" fontId="1" fillId="6" borderId="37" xfId="0" applyFont="1" applyFill="1" applyBorder="1" applyAlignment="1" applyProtection="1">
      <alignment wrapText="1"/>
      <protection locked="0"/>
    </xf>
    <xf numFmtId="0" fontId="1" fillId="6" borderId="30" xfId="0" applyFont="1" applyFill="1" applyBorder="1" applyAlignment="1" applyProtection="1">
      <alignment wrapText="1"/>
      <protection locked="0"/>
    </xf>
    <xf numFmtId="3" fontId="1" fillId="5" borderId="99" xfId="0" applyNumberFormat="1" applyFont="1" applyFill="1" applyBorder="1" applyAlignment="1" applyProtection="1">
      <alignment wrapText="1"/>
      <protection locked="0"/>
    </xf>
    <xf numFmtId="3" fontId="1" fillId="5" borderId="100" xfId="0" applyNumberFormat="1" applyFont="1" applyFill="1" applyBorder="1" applyAlignment="1" applyProtection="1">
      <alignment wrapText="1"/>
      <protection locked="0"/>
    </xf>
    <xf numFmtId="14" fontId="3" fillId="6" borderId="138" xfId="0" applyNumberFormat="1" applyFont="1" applyFill="1" applyBorder="1" applyAlignment="1" applyProtection="1">
      <alignment wrapText="1"/>
      <protection locked="0"/>
    </xf>
    <xf numFmtId="0" fontId="3" fillId="5" borderId="138" xfId="0" applyFont="1" applyFill="1" applyBorder="1" applyAlignment="1" applyProtection="1">
      <alignment horizontal="left" wrapText="1"/>
      <protection locked="0"/>
    </xf>
    <xf numFmtId="172" fontId="1" fillId="5" borderId="100" xfId="0" applyNumberFormat="1" applyFont="1" applyFill="1" applyBorder="1" applyAlignment="1" applyProtection="1">
      <alignment wrapText="1"/>
      <protection locked="0"/>
    </xf>
    <xf numFmtId="0" fontId="1" fillId="0" borderId="8" xfId="0" applyFont="1" applyFill="1" applyBorder="1" applyAlignment="1" applyProtection="1">
      <alignment wrapText="1"/>
      <protection locked="0"/>
    </xf>
    <xf numFmtId="0" fontId="0" fillId="0" borderId="0" xfId="0" applyBorder="1"/>
    <xf numFmtId="0" fontId="1" fillId="0" borderId="4" xfId="0" applyFont="1" applyFill="1" applyBorder="1"/>
    <xf numFmtId="0" fontId="1" fillId="0" borderId="4" xfId="0" applyFont="1" applyFill="1" applyBorder="1" applyAlignment="1">
      <alignment horizontal="left"/>
    </xf>
    <xf numFmtId="167" fontId="1" fillId="0" borderId="0" xfId="0" applyNumberFormat="1" applyFont="1" applyFill="1" applyBorder="1"/>
    <xf numFmtId="0" fontId="1" fillId="0" borderId="58" xfId="0" applyFont="1" applyFill="1" applyBorder="1"/>
    <xf numFmtId="0" fontId="1" fillId="21" borderId="58" xfId="0" applyFont="1" applyFill="1" applyBorder="1"/>
    <xf numFmtId="0" fontId="82" fillId="0" borderId="0" xfId="0" applyFont="1"/>
    <xf numFmtId="0" fontId="83" fillId="0" borderId="0" xfId="0" applyFont="1"/>
    <xf numFmtId="0" fontId="82" fillId="0" borderId="161" xfId="0" applyFont="1" applyBorder="1"/>
    <xf numFmtId="0" fontId="82" fillId="0" borderId="129" xfId="0" applyFont="1" applyBorder="1"/>
    <xf numFmtId="0" fontId="82" fillId="0" borderId="177" xfId="0" applyFont="1" applyBorder="1"/>
    <xf numFmtId="0" fontId="82" fillId="0" borderId="44" xfId="0" applyFont="1" applyBorder="1"/>
    <xf numFmtId="0" fontId="82" fillId="0" borderId="0" xfId="0" applyFont="1" applyBorder="1"/>
    <xf numFmtId="0" fontId="82" fillId="0" borderId="178" xfId="0" applyFont="1" applyBorder="1"/>
    <xf numFmtId="0" fontId="82" fillId="0" borderId="142" xfId="0" applyFont="1" applyBorder="1"/>
    <xf numFmtId="0" fontId="82" fillId="0" borderId="140" xfId="0" applyFont="1" applyBorder="1"/>
    <xf numFmtId="0" fontId="82" fillId="0" borderId="29" xfId="0" applyFont="1" applyBorder="1"/>
    <xf numFmtId="173" fontId="17" fillId="0" borderId="12" xfId="16" applyFont="1" applyBorder="1" applyAlignment="1" applyProtection="1"/>
    <xf numFmtId="0" fontId="0" fillId="18" borderId="0" xfId="0" applyFill="1"/>
    <xf numFmtId="173" fontId="1" fillId="3" borderId="18" xfId="16" applyFont="1" applyFill="1" applyBorder="1" applyProtection="1"/>
    <xf numFmtId="170" fontId="1" fillId="3" borderId="19" xfId="16" applyNumberFormat="1" applyFont="1" applyFill="1" applyBorder="1" applyProtection="1"/>
    <xf numFmtId="173" fontId="1" fillId="3" borderId="20" xfId="16" applyFont="1" applyFill="1" applyBorder="1" applyProtection="1"/>
    <xf numFmtId="173" fontId="1" fillId="3" borderId="21" xfId="16" applyFont="1" applyFill="1" applyBorder="1" applyProtection="1"/>
    <xf numFmtId="170" fontId="1" fillId="3" borderId="22" xfId="16" applyNumberFormat="1" applyFont="1" applyFill="1" applyBorder="1" applyProtection="1"/>
    <xf numFmtId="170" fontId="1" fillId="3" borderId="23" xfId="16" applyNumberFormat="1" applyFont="1" applyFill="1" applyBorder="1" applyProtection="1"/>
    <xf numFmtId="188" fontId="1" fillId="5" borderId="62" xfId="0" applyNumberFormat="1" applyFont="1" applyFill="1" applyBorder="1" applyAlignment="1">
      <alignment vertical="top" wrapText="1"/>
    </xf>
    <xf numFmtId="0" fontId="13" fillId="0" borderId="137" xfId="0" applyFont="1" applyBorder="1" applyAlignment="1" applyProtection="1">
      <alignment horizontal="left"/>
      <protection locked="0"/>
    </xf>
    <xf numFmtId="0" fontId="0" fillId="0" borderId="135" xfId="0" applyBorder="1" applyAlignment="1" applyProtection="1">
      <protection locked="0"/>
    </xf>
    <xf numFmtId="0" fontId="0" fillId="0" borderId="99" xfId="0" applyBorder="1" applyAlignment="1" applyProtection="1">
      <protection locked="0"/>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6" borderId="0" xfId="0" applyFont="1" applyFill="1" applyBorder="1" applyAlignment="1">
      <alignment horizontal="left" vertical="top" wrapText="1"/>
    </xf>
    <xf numFmtId="0" fontId="11" fillId="4" borderId="4" xfId="0" applyFont="1" applyFill="1" applyBorder="1" applyAlignment="1">
      <alignment horizontal="left" vertical="top" wrapText="1"/>
    </xf>
    <xf numFmtId="0" fontId="1" fillId="6" borderId="0"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11" fillId="0" borderId="0" xfId="0" applyFont="1" applyFill="1" applyBorder="1" applyAlignment="1">
      <alignment horizontal="left" vertical="center" wrapText="1"/>
    </xf>
    <xf numFmtId="0" fontId="11" fillId="6" borderId="0" xfId="0" quotePrefix="1" applyFont="1"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 fillId="6" borderId="55" xfId="0" applyFont="1" applyFill="1" applyBorder="1" applyAlignment="1">
      <alignment horizontal="left" vertical="top" wrapText="1"/>
    </xf>
    <xf numFmtId="0" fontId="0" fillId="6" borderId="108" xfId="0" applyFill="1" applyBorder="1" applyAlignment="1">
      <alignment horizontal="left" vertical="top" wrapText="1"/>
    </xf>
    <xf numFmtId="0" fontId="1" fillId="6" borderId="108" xfId="0" applyFont="1"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0" xfId="0" applyFont="1" applyFill="1" applyBorder="1" applyAlignment="1">
      <alignment horizontal="center"/>
    </xf>
    <xf numFmtId="0" fontId="3" fillId="0" borderId="5" xfId="0" applyFont="1" applyFill="1" applyBorder="1" applyAlignment="1">
      <alignment horizontal="center"/>
    </xf>
    <xf numFmtId="0" fontId="57" fillId="0" borderId="4" xfId="0" applyFont="1" applyFill="1" applyBorder="1" applyAlignment="1">
      <alignment horizontal="center"/>
    </xf>
    <xf numFmtId="0" fontId="57"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7" fillId="0" borderId="4" xfId="0" applyFont="1" applyFill="1" applyBorder="1" applyAlignment="1">
      <alignment horizontal="left" wrapText="1"/>
    </xf>
    <xf numFmtId="0" fontId="57" fillId="0" borderId="0" xfId="0" applyFont="1" applyFill="1" applyBorder="1" applyAlignment="1">
      <alignment horizontal="left" wrapText="1"/>
    </xf>
    <xf numFmtId="0" fontId="57" fillId="0" borderId="5" xfId="0" applyFont="1" applyFill="1" applyBorder="1" applyAlignment="1">
      <alignment horizontal="left" wrapText="1"/>
    </xf>
    <xf numFmtId="0" fontId="57" fillId="0" borderId="4" xfId="0" applyFont="1" applyFill="1" applyBorder="1" applyAlignment="1">
      <alignment horizontal="left"/>
    </xf>
    <xf numFmtId="0" fontId="57" fillId="0" borderId="0" xfId="0" applyFont="1" applyFill="1" applyBorder="1" applyAlignment="1">
      <alignment horizontal="left"/>
    </xf>
    <xf numFmtId="0" fontId="57" fillId="0" borderId="5" xfId="0" applyFont="1" applyFill="1" applyBorder="1" applyAlignment="1">
      <alignment horizontal="left"/>
    </xf>
    <xf numFmtId="0" fontId="54" fillId="13" borderId="0" xfId="0" applyFont="1" applyFill="1" applyAlignment="1">
      <alignment horizontal="left"/>
    </xf>
    <xf numFmtId="0" fontId="55" fillId="0" borderId="0" xfId="0" applyFont="1" applyFill="1" applyBorder="1" applyAlignment="1" applyProtection="1">
      <alignment horizontal="left"/>
    </xf>
    <xf numFmtId="0" fontId="55" fillId="0" borderId="59" xfId="0" applyFont="1" applyFill="1" applyBorder="1" applyAlignment="1" applyProtection="1">
      <alignment horizontal="left"/>
    </xf>
    <xf numFmtId="0" fontId="55" fillId="3" borderId="4" xfId="0" applyFont="1" applyFill="1" applyBorder="1" applyAlignment="1">
      <alignment horizontal="left"/>
    </xf>
    <xf numFmtId="0" fontId="55" fillId="3" borderId="0" xfId="0" applyFont="1" applyFill="1" applyBorder="1" applyAlignment="1">
      <alignment horizontal="left"/>
    </xf>
    <xf numFmtId="0" fontId="55"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7" fillId="0" borderId="2" xfId="0" applyFont="1" applyFill="1" applyBorder="1" applyAlignment="1">
      <alignment horizontal="left" wrapText="1"/>
    </xf>
    <xf numFmtId="0" fontId="54"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xf numFmtId="0" fontId="13" fillId="0" borderId="13" xfId="0" applyFont="1" applyBorder="1" applyAlignment="1" applyProtection="1">
      <alignment horizontal="left"/>
      <protection locked="0"/>
    </xf>
    <xf numFmtId="0" fontId="0" fillId="0" borderId="15" xfId="0" applyBorder="1" applyAlignment="1" applyProtection="1">
      <protection locked="0"/>
    </xf>
    <xf numFmtId="0" fontId="0" fillId="0" borderId="16" xfId="0" applyBorder="1" applyAlignment="1" applyProtection="1">
      <protection locked="0"/>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3">
    <dxf>
      <font>
        <strike val="0"/>
        <condense val="0"/>
        <extend val="0"/>
        <color indexed="22"/>
      </font>
    </dxf>
    <dxf>
      <font>
        <b/>
        <i val="0"/>
        <strike val="0"/>
        <condense val="0"/>
        <extend val="0"/>
        <color auto="1"/>
      </font>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Other Variable Operating Costs</c:v>
                </c:pt>
                <c:pt idx="6">
                  <c:v>Yearly Replacement Costs</c:v>
                </c:pt>
                <c:pt idx="7">
                  <c:v>Initial Equity Depreciable Capital</c:v>
                </c:pt>
                <c:pt idx="8">
                  <c:v>Fixed Operating Cost</c:v>
                </c:pt>
                <c:pt idx="9">
                  <c:v>Debt Interest</c:v>
                </c:pt>
                <c:pt idx="10">
                  <c:v>Taxes</c:v>
                </c:pt>
                <c:pt idx="11">
                  <c:v>Cash for Working Capital Reserve</c:v>
                </c:pt>
                <c:pt idx="12">
                  <c:v>Principal Payment</c:v>
                </c:pt>
                <c:pt idx="13">
                  <c:v>Decommissioning Costs</c:v>
                </c:pt>
                <c:pt idx="14">
                  <c:v>Other Non-Depreciable Capital Costs</c:v>
                </c:pt>
                <c:pt idx="15">
                  <c:v>Other Raw Material Cost</c:v>
                </c:pt>
              </c:strCache>
            </c:strRef>
          </c:cat>
          <c:val>
            <c:numRef>
              <c:f>'Tornado Charts &amp; Risk Analysis'!$I$155:$I$170</c:f>
              <c:numCache>
                <c:formatCode>_("$"* #,##0.00_);_("$"* \(#,##0.00\);_("$"* "-"??_);_(@_)</c:formatCode>
                <c:ptCount val="16"/>
                <c:pt idx="0">
                  <c:v>1.738021291813364</c:v>
                </c:pt>
                <c:pt idx="1">
                  <c:v>1.3752474814784693E-3</c:v>
                </c:pt>
                <c:pt idx="2">
                  <c:v>0</c:v>
                </c:pt>
                <c:pt idx="4">
                  <c:v>1.0310552346010684</c:v>
                </c:pt>
                <c:pt idx="5">
                  <c:v>0.20920159808505334</c:v>
                </c:pt>
                <c:pt idx="6">
                  <c:v>0.12749490878546157</c:v>
                </c:pt>
                <c:pt idx="7">
                  <c:v>0.12650642153831423</c:v>
                </c:pt>
                <c:pt idx="8">
                  <c:v>0.10796906793131673</c:v>
                </c:pt>
                <c:pt idx="9">
                  <c:v>8.3106119156208025E-2</c:v>
                </c:pt>
                <c:pt idx="10">
                  <c:v>2.9668598589567396E-2</c:v>
                </c:pt>
                <c:pt idx="11">
                  <c:v>1.8390777839810975E-2</c:v>
                </c:pt>
                <c:pt idx="12">
                  <c:v>3.7333164823882565E-3</c:v>
                </c:pt>
                <c:pt idx="13">
                  <c:v>1.371700464116358E-3</c:v>
                </c:pt>
                <c:pt idx="14">
                  <c:v>8.987958215351487E-4</c:v>
                </c:pt>
                <c:pt idx="15">
                  <c:v>0</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1.738021291813364</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1.3752474814784693E-3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1.0310552346010684</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Other Variable Operating Costs</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0.20920159808505334</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Yearly Replacement Costs</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0.12749490878546157</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Initial Equity Depreciable Capital</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0.12650642153831423</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Fixed Operating Cost</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0.10796906793131673</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Debt Interest</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8.3106119156208025E-2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Taxes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2.9668598589567396E-2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Cash for Working Capital Reserve</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1.8390777839810975E-2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Principal Payment</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3.7333164823882565E-3</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Decommissioning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1.371700464116358E-3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8.987958215351487E-4</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Other Raw Material Cost</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0</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1.7393965392948425</c:v>
                </c:pt>
                <c:pt idx="1">
                  <c:v>1.7393965392948407</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(95%, 90%, 86%)</c:v>
                </c:pt>
                <c:pt idx="2">
                  <c:v>Total Capital Investment
($405,434K, $426,772K, $448,111K) </c:v>
                </c:pt>
                <c:pt idx="3">
                  <c:v>Plant Design Capacity (kg of H2/day)
(398,356, 379,387, 360,418) </c:v>
                </c:pt>
                <c:pt idx="4">
                  <c:v>After-tax Real IRR
(8%, 8%, 8%)</c:v>
                </c:pt>
                <c:pt idx="5">
                  <c:v>Total Fixed Operating Cost
($12,530K, $13,190K, $13,849K) </c:v>
                </c:pt>
                <c:pt idx="6">
                  <c:v>Utilities Consumption (% of baseline)
(95%, 100%, 105%)</c:v>
                </c:pt>
              </c:strCache>
            </c:strRef>
          </c:cat>
          <c:val>
            <c:numRef>
              <c:f>'Tornado Charts &amp; Risk Analysis'!$H$101:$H$107</c:f>
              <c:numCache>
                <c:formatCode>General</c:formatCode>
                <c:ptCount val="7"/>
                <c:pt idx="0">
                  <c:v>1.6770445332498354</c:v>
                </c:pt>
                <c:pt idx="1">
                  <c:v>1.7165781287165258</c:v>
                </c:pt>
                <c:pt idx="2">
                  <c:v>1.7237253260295189</c:v>
                </c:pt>
                <c:pt idx="3">
                  <c:v>1.7245796722694182</c:v>
                </c:pt>
                <c:pt idx="4">
                  <c:v>1.7294862297438136</c:v>
                </c:pt>
                <c:pt idx="5">
                  <c:v>1.732523630300667</c:v>
                </c:pt>
                <c:pt idx="6">
                  <c:v>1.735558000703026</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(95%, 90%, 86%)</c:v>
                </c:pt>
                <c:pt idx="2">
                  <c:v>Total Capital Investment
($405,434K, $426,772K, $448,111K) </c:v>
                </c:pt>
                <c:pt idx="3">
                  <c:v>Plant Design Capacity (kg of H2/day)
(398,356, 379,387, 360,418) </c:v>
                </c:pt>
                <c:pt idx="4">
                  <c:v>After-tax Real IRR
(8%, 8%, 8%)</c:v>
                </c:pt>
                <c:pt idx="5">
                  <c:v>Total Fixed Operating Cost
($12,530K, $13,190K, $13,849K) </c:v>
                </c:pt>
                <c:pt idx="6">
                  <c:v>Utilities Consumption (% of baseline)
(95%, 100%, 105%)</c:v>
                </c:pt>
              </c:strCache>
            </c:strRef>
          </c:cat>
          <c:val>
            <c:numRef>
              <c:f>'Tornado Charts &amp; Risk Analysis'!$I$101:$I$107</c:f>
              <c:numCache>
                <c:formatCode>General</c:formatCode>
                <c:ptCount val="7"/>
                <c:pt idx="0">
                  <c:v>6.0976758563528577E-2</c:v>
                </c:pt>
                <c:pt idx="1">
                  <c:v>2.1443163096838136E-2</c:v>
                </c:pt>
                <c:pt idx="2">
                  <c:v>1.4295965783845066E-2</c:v>
                </c:pt>
                <c:pt idx="3">
                  <c:v>1.3441619543945738E-2</c:v>
                </c:pt>
                <c:pt idx="4">
                  <c:v>8.5350620695503476E-3</c:v>
                </c:pt>
                <c:pt idx="5">
                  <c:v>5.4976615126969275E-3</c:v>
                </c:pt>
                <c:pt idx="6">
                  <c:v>2.4632911103379396E-3</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(95%, 90%, 86%)</c:v>
                </c:pt>
                <c:pt idx="2">
                  <c:v>Total Capital Investment
($405,434K, $426,772K, $448,111K) </c:v>
                </c:pt>
                <c:pt idx="3">
                  <c:v>Plant Design Capacity (kg of H2/day)
(398,356, 379,387, 360,418) </c:v>
                </c:pt>
                <c:pt idx="4">
                  <c:v>After-tax Real IRR
(8%, 8%, 8%)</c:v>
                </c:pt>
                <c:pt idx="5">
                  <c:v>Total Fixed Operating Cost
($12,530K, $13,190K, $13,849K) </c:v>
                </c:pt>
                <c:pt idx="6">
                  <c:v>Utilities Consumption (% of baseline)
(95%, 100%, 105%)</c:v>
                </c:pt>
              </c:strCache>
            </c:strRef>
          </c:cat>
          <c:val>
            <c:numRef>
              <c:f>'Tornado Charts &amp; Risk Analysis'!$J$101:$J$107</c:f>
              <c:numCache>
                <c:formatCode>General</c:formatCode>
                <c:ptCount val="7"/>
                <c:pt idx="0">
                  <c:v>6.0744901187549161E-2</c:v>
                </c:pt>
                <c:pt idx="1">
                  <c:v>2.3456275093121315E-2</c:v>
                </c:pt>
                <c:pt idx="2">
                  <c:v>1.4295965783844178E-2</c:v>
                </c:pt>
                <c:pt idx="3">
                  <c:v>1.4486818113453426E-2</c:v>
                </c:pt>
                <c:pt idx="4">
                  <c:v>8.8214776419275331E-3</c:v>
                </c:pt>
                <c:pt idx="5">
                  <c:v>5.4976615126953732E-3</c:v>
                </c:pt>
                <c:pt idx="6">
                  <c:v>2.4632911103372734E-3</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1.6770445332498354</c:v>
                </c:pt>
                <c:pt idx="1">
                  <c:v>1.7165781287165258</c:v>
                </c:pt>
                <c:pt idx="2">
                  <c:v>1.7237253260295189</c:v>
                </c:pt>
                <c:pt idx="3">
                  <c:v>1.7245796722694182</c:v>
                </c:pt>
                <c:pt idx="4">
                  <c:v>1.7294862297438136</c:v>
                </c:pt>
                <c:pt idx="5">
                  <c:v>1.732523630300667</c:v>
                </c:pt>
                <c:pt idx="6">
                  <c:v>1.735558000703026</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1.7987661930009131</c:v>
                </c:pt>
                <c:pt idx="1">
                  <c:v>1.7614775669064853</c:v>
                </c:pt>
                <c:pt idx="2">
                  <c:v>1.7523172575972081</c:v>
                </c:pt>
                <c:pt idx="3">
                  <c:v>1.7525081099268174</c:v>
                </c:pt>
                <c:pt idx="4">
                  <c:v>1.7468427694552915</c:v>
                </c:pt>
                <c:pt idx="5">
                  <c:v>1.7435189533260593</c:v>
                </c:pt>
                <c:pt idx="6">
                  <c:v>1.7404845829237012</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1.738021291813364</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1.738021291813364</c:v>
                </c:pt>
                <c:pt idx="1">
                  <c:v>1.6770445332498354</c:v>
                </c:pt>
                <c:pt idx="2">
                  <c:v>1.6558288361723175</c:v>
                </c:pt>
                <c:pt idx="3">
                  <c:v>1.6422189266804679</c:v>
                </c:pt>
                <c:pt idx="4">
                  <c:v>1.63715372541712</c:v>
                </c:pt>
                <c:pt idx="5">
                  <c:v>1.6346904343067814</c:v>
                </c:pt>
                <c:pt idx="6">
                  <c:v>1.6346904343067814</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6.0976758563528577E-2</c:v>
                </c:pt>
                <c:pt idx="2">
                  <c:v>2.1215697077517914E-2</c:v>
                </c:pt>
                <c:pt idx="3">
                  <c:v>1.3609909491849592E-2</c:v>
                </c:pt>
                <c:pt idx="4">
                  <c:v>5.0652012633478627E-3</c:v>
                </c:pt>
                <c:pt idx="5">
                  <c:v>2.4632911103386057E-3</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1.6654058019298794</c:v>
                </c:pt>
                <c:pt idx="1">
                  <c:v>1.6732824613606285</c:v>
                </c:pt>
                <c:pt idx="2">
                  <c:v>1.6811591207913776</c:v>
                </c:pt>
                <c:pt idx="3">
                  <c:v>1.6890357802221267</c:v>
                </c:pt>
                <c:pt idx="4">
                  <c:v>1.6969124396528759</c:v>
                </c:pt>
                <c:pt idx="5">
                  <c:v>1.704789099083625</c:v>
                </c:pt>
                <c:pt idx="6">
                  <c:v>1.7126657585143741</c:v>
                </c:pt>
                <c:pt idx="7">
                  <c:v>1.7205424179451232</c:v>
                </c:pt>
                <c:pt idx="8">
                  <c:v>1.7284190773758723</c:v>
                </c:pt>
                <c:pt idx="9">
                  <c:v>1.7362957368066214</c:v>
                </c:pt>
                <c:pt idx="10">
                  <c:v>1.7441723962373705</c:v>
                </c:pt>
                <c:pt idx="11">
                  <c:v>1.7520490556681196</c:v>
                </c:pt>
                <c:pt idx="12">
                  <c:v>1.7599257150988687</c:v>
                </c:pt>
                <c:pt idx="13">
                  <c:v>1.7678023745296179</c:v>
                </c:pt>
                <c:pt idx="14">
                  <c:v>1.775679033960367</c:v>
                </c:pt>
                <c:pt idx="15">
                  <c:v>1.7835556933911161</c:v>
                </c:pt>
                <c:pt idx="16">
                  <c:v>1.7914323528218652</c:v>
                </c:pt>
                <c:pt idx="17">
                  <c:v>1.7993090122526143</c:v>
                </c:pt>
                <c:pt idx="18">
                  <c:v>1.8071856716833634</c:v>
                </c:pt>
                <c:pt idx="19">
                  <c:v>1.8150628311141124</c:v>
                </c:pt>
              </c:numCache>
            </c:numRef>
          </c:xVal>
          <c:yVal>
            <c:numRef>
              <c:f>'Tornado Charts &amp; Risk Analysis'!$I$202:$I$221</c:f>
              <c:numCache>
                <c:formatCode>General</c:formatCode>
                <c:ptCount val="20"/>
                <c:pt idx="0">
                  <c:v>3.5000000000000001E-3</c:v>
                </c:pt>
                <c:pt idx="1">
                  <c:v>1.4499999999999999E-2</c:v>
                </c:pt>
                <c:pt idx="2">
                  <c:v>2.8999999999999998E-2</c:v>
                </c:pt>
                <c:pt idx="3">
                  <c:v>5.3999999999999999E-2</c:v>
                </c:pt>
                <c:pt idx="4">
                  <c:v>9.6000000000000002E-2</c:v>
                </c:pt>
                <c:pt idx="5">
                  <c:v>0.1575</c:v>
                </c:pt>
                <c:pt idx="6">
                  <c:v>0.22799999999999998</c:v>
                </c:pt>
                <c:pt idx="7">
                  <c:v>0.32250000000000001</c:v>
                </c:pt>
                <c:pt idx="8">
                  <c:v>0.42149999999999999</c:v>
                </c:pt>
                <c:pt idx="9">
                  <c:v>0.53449999999999998</c:v>
                </c:pt>
                <c:pt idx="10">
                  <c:v>0.64349999999999996</c:v>
                </c:pt>
                <c:pt idx="11">
                  <c:v>0.74</c:v>
                </c:pt>
                <c:pt idx="12">
                  <c:v>0.82250000000000001</c:v>
                </c:pt>
                <c:pt idx="13">
                  <c:v>0.88900000000000001</c:v>
                </c:pt>
                <c:pt idx="14">
                  <c:v>0.93400000000000005</c:v>
                </c:pt>
                <c:pt idx="15">
                  <c:v>0.97000000000000008</c:v>
                </c:pt>
                <c:pt idx="16">
                  <c:v>0.98450000000000004</c:v>
                </c:pt>
                <c:pt idx="17">
                  <c:v>0.995</c:v>
                </c:pt>
                <c:pt idx="18">
                  <c:v>0.997</c:v>
                </c:pt>
                <c:pt idx="19">
                  <c:v>1</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1.6654058019298794</c:v>
                </c:pt>
                <c:pt idx="1">
                  <c:v>1.6732824613606285</c:v>
                </c:pt>
                <c:pt idx="2">
                  <c:v>1.6811591207913776</c:v>
                </c:pt>
                <c:pt idx="3">
                  <c:v>1.6890357802221267</c:v>
                </c:pt>
                <c:pt idx="4">
                  <c:v>1.6969124396528759</c:v>
                </c:pt>
                <c:pt idx="5">
                  <c:v>1.704789099083625</c:v>
                </c:pt>
                <c:pt idx="6">
                  <c:v>1.7126657585143741</c:v>
                </c:pt>
                <c:pt idx="7">
                  <c:v>1.7205424179451232</c:v>
                </c:pt>
                <c:pt idx="8">
                  <c:v>1.7284190773758723</c:v>
                </c:pt>
                <c:pt idx="9">
                  <c:v>1.7362957368066214</c:v>
                </c:pt>
                <c:pt idx="10">
                  <c:v>1.7441723962373705</c:v>
                </c:pt>
                <c:pt idx="11">
                  <c:v>1.7520490556681196</c:v>
                </c:pt>
                <c:pt idx="12">
                  <c:v>1.7599257150988687</c:v>
                </c:pt>
                <c:pt idx="13">
                  <c:v>1.7678023745296179</c:v>
                </c:pt>
                <c:pt idx="14">
                  <c:v>1.775679033960367</c:v>
                </c:pt>
                <c:pt idx="15">
                  <c:v>1.7835556933911161</c:v>
                </c:pt>
                <c:pt idx="16">
                  <c:v>1.7914323528218652</c:v>
                </c:pt>
                <c:pt idx="17">
                  <c:v>1.7993090122526143</c:v>
                </c:pt>
                <c:pt idx="18">
                  <c:v>1.8071856716833634</c:v>
                </c:pt>
                <c:pt idx="19">
                  <c:v>1.8150628311141124</c:v>
                </c:pt>
              </c:numCache>
            </c:numRef>
          </c:xVal>
          <c:yVal>
            <c:numRef>
              <c:f>'Tornado Charts &amp; Risk Analysis'!$H$202:$H$221</c:f>
              <c:numCache>
                <c:formatCode>General</c:formatCode>
                <c:ptCount val="20"/>
                <c:pt idx="0">
                  <c:v>3.5000000000000001E-3</c:v>
                </c:pt>
                <c:pt idx="1">
                  <c:v>1.0999999999999999E-2</c:v>
                </c:pt>
                <c:pt idx="2">
                  <c:v>1.4500000000000001E-2</c:v>
                </c:pt>
                <c:pt idx="3">
                  <c:v>2.5000000000000001E-2</c:v>
                </c:pt>
                <c:pt idx="4">
                  <c:v>4.2000000000000003E-2</c:v>
                </c:pt>
                <c:pt idx="5">
                  <c:v>6.1499999999999999E-2</c:v>
                </c:pt>
                <c:pt idx="6">
                  <c:v>7.0499999999999993E-2</c:v>
                </c:pt>
                <c:pt idx="7">
                  <c:v>9.4500000000000001E-2</c:v>
                </c:pt>
                <c:pt idx="8">
                  <c:v>9.9000000000000005E-2</c:v>
                </c:pt>
                <c:pt idx="9">
                  <c:v>0.113</c:v>
                </c:pt>
                <c:pt idx="10">
                  <c:v>0.109</c:v>
                </c:pt>
                <c:pt idx="11">
                  <c:v>9.6500000000000002E-2</c:v>
                </c:pt>
                <c:pt idx="12">
                  <c:v>8.2500000000000004E-2</c:v>
                </c:pt>
                <c:pt idx="13">
                  <c:v>6.6500000000000004E-2</c:v>
                </c:pt>
                <c:pt idx="14">
                  <c:v>4.4999999999999998E-2</c:v>
                </c:pt>
                <c:pt idx="15">
                  <c:v>3.5999999999999997E-2</c:v>
                </c:pt>
                <c:pt idx="16">
                  <c:v>1.4500000000000001E-2</c:v>
                </c:pt>
                <c:pt idx="17">
                  <c:v>1.0500000000000001E-2</c:v>
                </c:pt>
                <c:pt idx="18">
                  <c:v>2E-3</c:v>
                </c:pt>
                <c:pt idx="19">
                  <c:v>3.0000000000000001E-3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1.emf"/><Relationship Id="rId18" Type="http://schemas.openxmlformats.org/officeDocument/2006/relationships/image" Target="../media/image6.emf"/><Relationship Id="rId3" Type="http://schemas.openxmlformats.org/officeDocument/2006/relationships/image" Target="../media/image21.emf"/><Relationship Id="rId21" Type="http://schemas.openxmlformats.org/officeDocument/2006/relationships/image" Target="../media/image3.emf"/><Relationship Id="rId7" Type="http://schemas.openxmlformats.org/officeDocument/2006/relationships/image" Target="../media/image17.emf"/><Relationship Id="rId12" Type="http://schemas.openxmlformats.org/officeDocument/2006/relationships/image" Target="../media/image12.emf"/><Relationship Id="rId17" Type="http://schemas.openxmlformats.org/officeDocument/2006/relationships/image" Target="../media/image7.emf"/><Relationship Id="rId2" Type="http://schemas.openxmlformats.org/officeDocument/2006/relationships/image" Target="../media/image22.emf"/><Relationship Id="rId16" Type="http://schemas.openxmlformats.org/officeDocument/2006/relationships/image" Target="../media/image8.emf"/><Relationship Id="rId20" Type="http://schemas.openxmlformats.org/officeDocument/2006/relationships/image" Target="../media/image4.emf"/><Relationship Id="rId1" Type="http://schemas.openxmlformats.org/officeDocument/2006/relationships/image" Target="../media/image23.emf"/><Relationship Id="rId6" Type="http://schemas.openxmlformats.org/officeDocument/2006/relationships/image" Target="../media/image18.emf"/><Relationship Id="rId11" Type="http://schemas.openxmlformats.org/officeDocument/2006/relationships/image" Target="../media/image13.emf"/><Relationship Id="rId5" Type="http://schemas.openxmlformats.org/officeDocument/2006/relationships/image" Target="../media/image19.emf"/><Relationship Id="rId15" Type="http://schemas.openxmlformats.org/officeDocument/2006/relationships/image" Target="../media/image9.emf"/><Relationship Id="rId10" Type="http://schemas.openxmlformats.org/officeDocument/2006/relationships/image" Target="../media/image14.emf"/><Relationship Id="rId19" Type="http://schemas.openxmlformats.org/officeDocument/2006/relationships/image" Target="../media/image5.emf"/><Relationship Id="rId4" Type="http://schemas.openxmlformats.org/officeDocument/2006/relationships/image" Target="../media/image20.emf"/><Relationship Id="rId9" Type="http://schemas.openxmlformats.org/officeDocument/2006/relationships/image" Target="../media/image15.emf"/><Relationship Id="rId14" Type="http://schemas.openxmlformats.org/officeDocument/2006/relationships/image" Target="../media/image10.emf"/><Relationship Id="rId22"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image" Target="../media/image25.emf"/><Relationship Id="rId7" Type="http://schemas.openxmlformats.org/officeDocument/2006/relationships/image" Target="../media/image30.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9.emf"/><Relationship Id="rId11" Type="http://schemas.openxmlformats.org/officeDocument/2006/relationships/image" Target="../media/image34.emf"/><Relationship Id="rId5" Type="http://schemas.openxmlformats.org/officeDocument/2006/relationships/image" Target="../media/image28.emf"/><Relationship Id="rId10" Type="http://schemas.openxmlformats.org/officeDocument/2006/relationships/image" Target="../media/image33.emf"/><Relationship Id="rId4" Type="http://schemas.openxmlformats.org/officeDocument/2006/relationships/image" Target="../media/image24.emf"/><Relationship Id="rId9" Type="http://schemas.openxmlformats.org/officeDocument/2006/relationships/image" Target="../media/image3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351382</xdr:colOff>
      <xdr:row>2</xdr:row>
      <xdr:rowOff>20090</xdr:rowOff>
    </xdr:from>
    <xdr:to>
      <xdr:col>5</xdr:col>
      <xdr:colOff>326612</xdr:colOff>
      <xdr:row>4</xdr:row>
      <xdr:rowOff>82436</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11019382" y="468325"/>
          <a:ext cx="1129436" cy="37611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11205</xdr:colOff>
      <xdr:row>6</xdr:row>
      <xdr:rowOff>33615</xdr:rowOff>
    </xdr:from>
    <xdr:to>
      <xdr:col>4</xdr:col>
      <xdr:colOff>987589</xdr:colOff>
      <xdr:row>28</xdr:row>
      <xdr:rowOff>44823</xdr:rowOff>
    </xdr:to>
    <xdr:pic>
      <xdr:nvPicPr>
        <xdr:cNvPr id="6" name="Picture 2">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6323" y="1109380"/>
          <a:ext cx="6881884" cy="34626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225</xdr:row>
      <xdr:rowOff>0</xdr:rowOff>
    </xdr:from>
    <xdr:to>
      <xdr:col>2</xdr:col>
      <xdr:colOff>76200</xdr:colOff>
      <xdr:row>226</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3</xdr:col>
          <xdr:colOff>165100</xdr:colOff>
          <xdr:row>66</xdr:row>
          <xdr:rowOff>12700</xdr:rowOff>
        </xdr:from>
        <xdr:to>
          <xdr:col>3</xdr:col>
          <xdr:colOff>488950</xdr:colOff>
          <xdr:row>66</xdr:row>
          <xdr:rowOff>190500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2495550</xdr:colOff>
          <xdr:row>66</xdr:row>
          <xdr:rowOff>31750</xdr:rowOff>
        </xdr:from>
        <xdr:to>
          <xdr:col>1</xdr:col>
          <xdr:colOff>3714750</xdr:colOff>
          <xdr:row>66</xdr:row>
          <xdr:rowOff>209550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128</xdr:row>
          <xdr:rowOff>247650</xdr:rowOff>
        </xdr:from>
        <xdr:to>
          <xdr:col>3</xdr:col>
          <xdr:colOff>184150</xdr:colOff>
          <xdr:row>129</xdr:row>
          <xdr:rowOff>228600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2222500</xdr:colOff>
          <xdr:row>131</xdr:row>
          <xdr:rowOff>38100</xdr:rowOff>
        </xdr:from>
        <xdr:to>
          <xdr:col>1</xdr:col>
          <xdr:colOff>3613150</xdr:colOff>
          <xdr:row>131</xdr:row>
          <xdr:rowOff>222250</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298450</xdr:colOff>
          <xdr:row>131</xdr:row>
          <xdr:rowOff>50800</xdr:rowOff>
        </xdr:from>
        <xdr:to>
          <xdr:col>3</xdr:col>
          <xdr:colOff>609600</xdr:colOff>
          <xdr:row>131</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40</xdr:row>
          <xdr:rowOff>184150</xdr:rowOff>
        </xdr:from>
        <xdr:to>
          <xdr:col>3</xdr:col>
          <xdr:colOff>1231900</xdr:colOff>
          <xdr:row>41</xdr:row>
          <xdr:rowOff>184150</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42</xdr:row>
          <xdr:rowOff>12700</xdr:rowOff>
        </xdr:from>
        <xdr:to>
          <xdr:col>3</xdr:col>
          <xdr:colOff>1231900</xdr:colOff>
          <xdr:row>43</xdr:row>
          <xdr:rowOff>12700</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29</xdr:row>
          <xdr:rowOff>12700</xdr:rowOff>
        </xdr:from>
        <xdr:to>
          <xdr:col>3</xdr:col>
          <xdr:colOff>1231900</xdr:colOff>
          <xdr:row>30</xdr:row>
          <xdr:rowOff>31750</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48</xdr:row>
          <xdr:rowOff>12700</xdr:rowOff>
        </xdr:from>
        <xdr:to>
          <xdr:col>3</xdr:col>
          <xdr:colOff>1231900</xdr:colOff>
          <xdr:row>49</xdr:row>
          <xdr:rowOff>12700</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49</xdr:row>
          <xdr:rowOff>12700</xdr:rowOff>
        </xdr:from>
        <xdr:to>
          <xdr:col>3</xdr:col>
          <xdr:colOff>1231900</xdr:colOff>
          <xdr:row>50</xdr:row>
          <xdr:rowOff>12700</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50</xdr:row>
          <xdr:rowOff>12700</xdr:rowOff>
        </xdr:from>
        <xdr:to>
          <xdr:col>3</xdr:col>
          <xdr:colOff>1231900</xdr:colOff>
          <xdr:row>51</xdr:row>
          <xdr:rowOff>12700</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51</xdr:row>
          <xdr:rowOff>12700</xdr:rowOff>
        </xdr:from>
        <xdr:to>
          <xdr:col>3</xdr:col>
          <xdr:colOff>1231900</xdr:colOff>
          <xdr:row>52</xdr:row>
          <xdr:rowOff>12700</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52</xdr:row>
          <xdr:rowOff>12700</xdr:rowOff>
        </xdr:from>
        <xdr:to>
          <xdr:col>3</xdr:col>
          <xdr:colOff>1231900</xdr:colOff>
          <xdr:row>53</xdr:row>
          <xdr:rowOff>12700</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53</xdr:row>
          <xdr:rowOff>12700</xdr:rowOff>
        </xdr:from>
        <xdr:to>
          <xdr:col>3</xdr:col>
          <xdr:colOff>1231900</xdr:colOff>
          <xdr:row>54</xdr:row>
          <xdr:rowOff>12700</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55</xdr:row>
          <xdr:rowOff>12700</xdr:rowOff>
        </xdr:from>
        <xdr:to>
          <xdr:col>3</xdr:col>
          <xdr:colOff>1231900</xdr:colOff>
          <xdr:row>56</xdr:row>
          <xdr:rowOff>12700</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113</xdr:row>
          <xdr:rowOff>12700</xdr:rowOff>
        </xdr:from>
        <xdr:to>
          <xdr:col>3</xdr:col>
          <xdr:colOff>1162050</xdr:colOff>
          <xdr:row>114</xdr:row>
          <xdr:rowOff>31750</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116</xdr:row>
          <xdr:rowOff>38100</xdr:rowOff>
        </xdr:from>
        <xdr:to>
          <xdr:col>3</xdr:col>
          <xdr:colOff>1085850</xdr:colOff>
          <xdr:row>116</xdr:row>
          <xdr:rowOff>247650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154</xdr:row>
          <xdr:rowOff>12700</xdr:rowOff>
        </xdr:from>
        <xdr:to>
          <xdr:col>5</xdr:col>
          <xdr:colOff>1212850</xdr:colOff>
          <xdr:row>155</xdr:row>
          <xdr:rowOff>12700</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155</xdr:row>
          <xdr:rowOff>12700</xdr:rowOff>
        </xdr:from>
        <xdr:to>
          <xdr:col>5</xdr:col>
          <xdr:colOff>1212850</xdr:colOff>
          <xdr:row>156</xdr:row>
          <xdr:rowOff>12700</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156</xdr:row>
          <xdr:rowOff>0</xdr:rowOff>
        </xdr:from>
        <xdr:to>
          <xdr:col>5</xdr:col>
          <xdr:colOff>1212850</xdr:colOff>
          <xdr:row>157</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158</xdr:row>
          <xdr:rowOff>0</xdr:rowOff>
        </xdr:from>
        <xdr:to>
          <xdr:col>5</xdr:col>
          <xdr:colOff>1212850</xdr:colOff>
          <xdr:row>159</xdr:row>
          <xdr:rowOff>0</xdr:rowOff>
        </xdr:to>
        <xdr:sp macro="" textlink="">
          <xdr:nvSpPr>
            <xdr:cNvPr id="1223" name="chk_Proc_CO2_tax" hidden="1">
              <a:extLst>
                <a:ext uri="{63B3BB69-23CF-44E3-9099-C40C66FF867C}">
                  <a14:compatExt spid="_x0000_s1223"/>
                </a:ext>
                <a:ext uri="{FF2B5EF4-FFF2-40B4-BE49-F238E27FC236}">
                  <a16:creationId xmlns:a16="http://schemas.microsoft.com/office/drawing/2014/main" id="{00000000-0008-0000-03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160</xdr:row>
          <xdr:rowOff>0</xdr:rowOff>
        </xdr:from>
        <xdr:to>
          <xdr:col>5</xdr:col>
          <xdr:colOff>1212850</xdr:colOff>
          <xdr:row>161</xdr:row>
          <xdr:rowOff>0</xdr:rowOff>
        </xdr:to>
        <xdr:sp macro="" textlink="">
          <xdr:nvSpPr>
            <xdr:cNvPr id="1224" name="chk_Upstream_CO2_tax" hidden="1">
              <a:extLst>
                <a:ext uri="{63B3BB69-23CF-44E3-9099-C40C66FF867C}">
                  <a14:compatExt spid="_x0000_s1224"/>
                </a:ext>
                <a:ext uri="{FF2B5EF4-FFF2-40B4-BE49-F238E27FC236}">
                  <a16:creationId xmlns:a16="http://schemas.microsoft.com/office/drawing/2014/main" id="{00000000-0008-0000-03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130</xdr:row>
      <xdr:rowOff>289433</xdr:rowOff>
    </xdr:from>
    <xdr:to>
      <xdr:col>5</xdr:col>
      <xdr:colOff>681318</xdr:colOff>
      <xdr:row>132</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133</xdr:row>
      <xdr:rowOff>143435</xdr:rowOff>
    </xdr:from>
    <xdr:to>
      <xdr:col>4</xdr:col>
      <xdr:colOff>645460</xdr:colOff>
      <xdr:row>134</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133</xdr:row>
      <xdr:rowOff>152400</xdr:rowOff>
    </xdr:from>
    <xdr:to>
      <xdr:col>5</xdr:col>
      <xdr:colOff>1156447</xdr:colOff>
      <xdr:row>135</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153</xdr:row>
      <xdr:rowOff>17930</xdr:rowOff>
    </xdr:from>
    <xdr:to>
      <xdr:col>4</xdr:col>
      <xdr:colOff>762001</xdr:colOff>
      <xdr:row>153</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86</xdr:row>
      <xdr:rowOff>205408</xdr:rowOff>
    </xdr:from>
    <xdr:to>
      <xdr:col>3</xdr:col>
      <xdr:colOff>1351721</xdr:colOff>
      <xdr:row>88</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88</xdr:row>
      <xdr:rowOff>20351</xdr:rowOff>
    </xdr:from>
    <xdr:to>
      <xdr:col>3</xdr:col>
      <xdr:colOff>1364974</xdr:colOff>
      <xdr:row>90</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0.19752</cdr:x>
      <cdr:y>0.17079</cdr:y>
    </cdr:to>
    <cdr:sp macro="" textlink="'Tornado Charts &amp; Risk Analysis'!$H$155">
      <cdr:nvSpPr>
        <cdr:cNvPr id="3" name="TextBox 2"/>
        <cdr:cNvSpPr txBox="1"/>
      </cdr:nvSpPr>
      <cdr:spPr>
        <a:xfrm xmlns:a="http://schemas.openxmlformats.org/drawingml/2006/main">
          <a:off x="0" y="512904"/>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0.16896</cdr:x>
      <cdr:y>0.22302</cdr:y>
    </cdr:to>
    <cdr:sp macro="" textlink="'Tornado Charts &amp; Risk Analysis'!$H$156">
      <cdr:nvSpPr>
        <cdr:cNvPr id="4" name="TextBox 1"/>
        <cdr:cNvSpPr txBox="1"/>
      </cdr:nvSpPr>
      <cdr:spPr>
        <a:xfrm xmlns:a="http://schemas.openxmlformats.org/drawingml/2006/main">
          <a:off x="0" y="743089"/>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0.18681</cdr:x>
      <cdr:y>0.27404</cdr:y>
    </cdr:to>
    <cdr:sp macro="" textlink="'Tornado Charts &amp; Risk Analysis'!$H$157">
      <cdr:nvSpPr>
        <cdr:cNvPr id="5" name="TextBox 1"/>
        <cdr:cNvSpPr txBox="1"/>
      </cdr:nvSpPr>
      <cdr:spPr>
        <a:xfrm xmlns:a="http://schemas.openxmlformats.org/drawingml/2006/main">
          <a:off x="0" y="967942"/>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0.17965</cdr:x>
      <cdr:y>0.37808</cdr:y>
    </cdr:to>
    <cdr:sp macro="" textlink="'Tornado Charts &amp; Risk Analysis'!$H$159">
      <cdr:nvSpPr>
        <cdr:cNvPr id="6" name="TextBox 1"/>
        <cdr:cNvSpPr txBox="1"/>
      </cdr:nvSpPr>
      <cdr:spPr>
        <a:xfrm xmlns:a="http://schemas.openxmlformats.org/drawingml/2006/main">
          <a:off x="0" y="1426462"/>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0.32966</cdr:x>
      <cdr:y>0.42925</cdr:y>
    </cdr:to>
    <cdr:sp macro="" textlink="'Tornado Charts &amp; Risk Analysis'!$H$160">
      <cdr:nvSpPr>
        <cdr:cNvPr id="7" name="TextBox 1"/>
        <cdr:cNvSpPr txBox="1"/>
      </cdr:nvSpPr>
      <cdr:spPr>
        <a:xfrm xmlns:a="http://schemas.openxmlformats.org/drawingml/2006/main">
          <a:off x="0" y="1651976"/>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0.2844</cdr:x>
      <cdr:y>0.48121</cdr:y>
    </cdr:to>
    <cdr:sp macro="" textlink="'Tornado Charts &amp; Risk Analysis'!$H$161">
      <cdr:nvSpPr>
        <cdr:cNvPr id="8" name="TextBox 1"/>
        <cdr:cNvSpPr txBox="1"/>
      </cdr:nvSpPr>
      <cdr:spPr>
        <a:xfrm xmlns:a="http://schemas.openxmlformats.org/drawingml/2006/main">
          <a:off x="0" y="1880971"/>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0.33917</cdr:x>
      <cdr:y>0.53284</cdr:y>
    </cdr:to>
    <cdr:sp macro="" textlink="'Tornado Charts &amp; Risk Analysis'!$H$162">
      <cdr:nvSpPr>
        <cdr:cNvPr id="9" name="TextBox 1"/>
        <cdr:cNvSpPr txBox="1"/>
      </cdr:nvSpPr>
      <cdr:spPr>
        <a:xfrm xmlns:a="http://schemas.openxmlformats.org/drawingml/2006/main">
          <a:off x="0" y="2108512"/>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0.23323</cdr:x>
      <cdr:y>0.58463</cdr:y>
    </cdr:to>
    <cdr:sp macro="" textlink="'Tornado Charts &amp; Risk Analysis'!$H$163">
      <cdr:nvSpPr>
        <cdr:cNvPr id="10" name="TextBox 1"/>
        <cdr:cNvSpPr txBox="1"/>
      </cdr:nvSpPr>
      <cdr:spPr>
        <a:xfrm xmlns:a="http://schemas.openxmlformats.org/drawingml/2006/main">
          <a:off x="0" y="2336759"/>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0.15348</cdr:x>
      <cdr:y>0.63687</cdr:y>
    </cdr:to>
    <cdr:sp macro="" textlink="'Tornado Charts &amp; Risk Analysis'!$H$164">
      <cdr:nvSpPr>
        <cdr:cNvPr id="11" name="TextBox 1"/>
        <cdr:cNvSpPr txBox="1"/>
      </cdr:nvSpPr>
      <cdr:spPr>
        <a:xfrm xmlns:a="http://schemas.openxmlformats.org/drawingml/2006/main">
          <a:off x="0" y="2566988"/>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0.08917</cdr:x>
      <cdr:y>0.68772</cdr:y>
    </cdr:to>
    <cdr:sp macro="" textlink="'Tornado Charts &amp; Risk Analysis'!$H$165">
      <cdr:nvSpPr>
        <cdr:cNvPr id="12" name="TextBox 1"/>
        <cdr:cNvSpPr txBox="1"/>
      </cdr:nvSpPr>
      <cdr:spPr>
        <a:xfrm xmlns:a="http://schemas.openxmlformats.org/drawingml/2006/main">
          <a:off x="0" y="2791092"/>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0.35461</cdr:x>
      <cdr:y>0.73996</cdr:y>
    </cdr:to>
    <cdr:sp macro="" textlink="'Tornado Charts &amp; Risk Analysis'!$H$166">
      <cdr:nvSpPr>
        <cdr:cNvPr id="13" name="TextBox 1"/>
        <cdr:cNvSpPr txBox="1"/>
      </cdr:nvSpPr>
      <cdr:spPr>
        <a:xfrm xmlns:a="http://schemas.openxmlformats.org/drawingml/2006/main">
          <a:off x="0" y="3021321"/>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0.20345</cdr:x>
      <cdr:y>0.79159</cdr:y>
    </cdr:to>
    <cdr:sp macro="" textlink="'Tornado Charts &amp; Risk Analysis'!$H$167">
      <cdr:nvSpPr>
        <cdr:cNvPr id="14" name="TextBox 1"/>
        <cdr:cNvSpPr txBox="1"/>
      </cdr:nvSpPr>
      <cdr:spPr>
        <a:xfrm xmlns:a="http://schemas.openxmlformats.org/drawingml/2006/main">
          <a:off x="0" y="3248862"/>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0.26056</cdr:x>
      <cdr:y>0.84327</cdr:y>
    </cdr:to>
    <cdr:sp macro="" textlink="'Tornado Charts &amp; Risk Analysis'!$H$168">
      <cdr:nvSpPr>
        <cdr:cNvPr id="15" name="TextBox 1"/>
        <cdr:cNvSpPr txBox="1"/>
      </cdr:nvSpPr>
      <cdr:spPr>
        <a:xfrm xmlns:a="http://schemas.openxmlformats.org/drawingml/2006/main">
          <a:off x="0" y="3476624"/>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0.38439</cdr:x>
      <cdr:y>0.89501</cdr:y>
    </cdr:to>
    <cdr:sp macro="" textlink="'Tornado Charts &amp; Risk Analysis'!$H$169">
      <cdr:nvSpPr>
        <cdr:cNvPr id="16" name="TextBox 1"/>
        <cdr:cNvSpPr txBox="1"/>
      </cdr:nvSpPr>
      <cdr:spPr>
        <a:xfrm xmlns:a="http://schemas.openxmlformats.org/drawingml/2006/main">
          <a:off x="0" y="3704649"/>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0.26533</cdr:x>
      <cdr:y>0.94697</cdr:y>
    </cdr:to>
    <cdr:sp macro="" textlink="'Tornado Charts &amp; Risk Analysis'!$H$170">
      <cdr:nvSpPr>
        <cdr:cNvPr id="17" name="TextBox 1"/>
        <cdr:cNvSpPr txBox="1"/>
      </cdr:nvSpPr>
      <cdr:spPr>
        <a:xfrm xmlns:a="http://schemas.openxmlformats.org/drawingml/2006/main">
          <a:off x="0" y="3933645"/>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247650</xdr:colOff>
          <xdr:row>28</xdr:row>
          <xdr:rowOff>171450</xdr:rowOff>
        </xdr:from>
        <xdr:to>
          <xdr:col>4</xdr:col>
          <xdr:colOff>38100</xdr:colOff>
          <xdr:row>30</xdr:row>
          <xdr:rowOff>0</xdr:rowOff>
        </xdr:to>
        <xdr:sp macro="" textlink="">
          <xdr:nvSpPr>
            <xdr:cNvPr id="17452" name="chk_CO2_Capture_Efficiency" hidden="1">
              <a:extLst>
                <a:ext uri="{63B3BB69-23CF-44E3-9099-C40C66FF867C}">
                  <a14:compatExt spid="_x0000_s17452"/>
                </a:ext>
                <a:ext uri="{FF2B5EF4-FFF2-40B4-BE49-F238E27FC236}">
                  <a16:creationId xmlns:a16="http://schemas.microsoft.com/office/drawing/2014/main" id="{00000000-0008-0000-0700-00002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43</xdr:row>
          <xdr:rowOff>0</xdr:rowOff>
        </xdr:from>
        <xdr:to>
          <xdr:col>4</xdr:col>
          <xdr:colOff>38100</xdr:colOff>
          <xdr:row>44</xdr:row>
          <xdr:rowOff>19050</xdr:rowOff>
        </xdr:to>
        <xdr:sp macro="" textlink="">
          <xdr:nvSpPr>
            <xdr:cNvPr id="17453" name="chk_CO2_MaintFactor" hidden="1">
              <a:extLst>
                <a:ext uri="{63B3BB69-23CF-44E3-9099-C40C66FF867C}">
                  <a14:compatExt spid="_x0000_s17453"/>
                </a:ext>
                <a:ext uri="{FF2B5EF4-FFF2-40B4-BE49-F238E27FC236}">
                  <a16:creationId xmlns:a16="http://schemas.microsoft.com/office/drawing/2014/main" id="{00000000-0008-0000-0700-00002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30</xdr:row>
          <xdr:rowOff>69850</xdr:rowOff>
        </xdr:from>
        <xdr:to>
          <xdr:col>4</xdr:col>
          <xdr:colOff>38100</xdr:colOff>
          <xdr:row>30</xdr:row>
          <xdr:rowOff>279400</xdr:rowOff>
        </xdr:to>
        <xdr:sp macro="" textlink="">
          <xdr:nvSpPr>
            <xdr:cNvPr id="17497" name="chk_CO2_Pin_psia" hidden="1">
              <a:extLst>
                <a:ext uri="{63B3BB69-23CF-44E3-9099-C40C66FF867C}">
                  <a14:compatExt spid="_x0000_s17497"/>
                </a:ext>
                <a:ext uri="{FF2B5EF4-FFF2-40B4-BE49-F238E27FC236}">
                  <a16:creationId xmlns:a16="http://schemas.microsoft.com/office/drawing/2014/main" id="{00000000-0008-0000-0700-00005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41</xdr:row>
          <xdr:rowOff>171450</xdr:rowOff>
        </xdr:from>
        <xdr:to>
          <xdr:col>4</xdr:col>
          <xdr:colOff>146050</xdr:colOff>
          <xdr:row>43</xdr:row>
          <xdr:rowOff>12700</xdr:rowOff>
        </xdr:to>
        <xdr:sp macro="" textlink="">
          <xdr:nvSpPr>
            <xdr:cNvPr id="17509" name="chk_CO2_credit" hidden="1">
              <a:extLst>
                <a:ext uri="{63B3BB69-23CF-44E3-9099-C40C66FF867C}">
                  <a14:compatExt spid="_x0000_s17509"/>
                </a:ext>
                <a:ext uri="{FF2B5EF4-FFF2-40B4-BE49-F238E27FC236}">
                  <a16:creationId xmlns:a16="http://schemas.microsoft.com/office/drawing/2014/main" id="{00000000-0008-0000-0700-00006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241300</xdr:colOff>
          <xdr:row>31</xdr:row>
          <xdr:rowOff>69850</xdr:rowOff>
        </xdr:from>
        <xdr:to>
          <xdr:col>4</xdr:col>
          <xdr:colOff>31750</xdr:colOff>
          <xdr:row>31</xdr:row>
          <xdr:rowOff>279400</xdr:rowOff>
        </xdr:to>
        <xdr:sp macro="" textlink="">
          <xdr:nvSpPr>
            <xdr:cNvPr id="17561" name="chk_n_CO2_pumps" hidden="1">
              <a:extLst>
                <a:ext uri="{63B3BB69-23CF-44E3-9099-C40C66FF867C}">
                  <a14:compatExt spid="_x0000_s17561"/>
                </a:ext>
                <a:ext uri="{FF2B5EF4-FFF2-40B4-BE49-F238E27FC236}">
                  <a16:creationId xmlns:a16="http://schemas.microsoft.com/office/drawing/2014/main" id="{00000000-0008-0000-0700-00009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31</xdr:row>
          <xdr:rowOff>336550</xdr:rowOff>
        </xdr:from>
        <xdr:to>
          <xdr:col>4</xdr:col>
          <xdr:colOff>31750</xdr:colOff>
          <xdr:row>33</xdr:row>
          <xdr:rowOff>12700</xdr:rowOff>
        </xdr:to>
        <xdr:sp macro="" textlink="">
          <xdr:nvSpPr>
            <xdr:cNvPr id="17562" name="chk_CO2_Pump_Eff" hidden="1">
              <a:extLst>
                <a:ext uri="{63B3BB69-23CF-44E3-9099-C40C66FF867C}">
                  <a14:compatExt spid="_x0000_s17562"/>
                </a:ext>
                <a:ext uri="{FF2B5EF4-FFF2-40B4-BE49-F238E27FC236}">
                  <a16:creationId xmlns:a16="http://schemas.microsoft.com/office/drawing/2014/main" id="{00000000-0008-0000-0700-00009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32</xdr:row>
          <xdr:rowOff>165100</xdr:rowOff>
        </xdr:from>
        <xdr:to>
          <xdr:col>4</xdr:col>
          <xdr:colOff>31750</xdr:colOff>
          <xdr:row>34</xdr:row>
          <xdr:rowOff>12700</xdr:rowOff>
        </xdr:to>
        <xdr:sp macro="" textlink="">
          <xdr:nvSpPr>
            <xdr:cNvPr id="17563" name="chk_CO2_ControlSystem" hidden="1">
              <a:extLst>
                <a:ext uri="{63B3BB69-23CF-44E3-9099-C40C66FF867C}">
                  <a14:compatExt spid="_x0000_s17563"/>
                </a:ext>
                <a:ext uri="{FF2B5EF4-FFF2-40B4-BE49-F238E27FC236}">
                  <a16:creationId xmlns:a16="http://schemas.microsoft.com/office/drawing/2014/main" id="{00000000-0008-0000-0700-00009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33</xdr:row>
          <xdr:rowOff>152400</xdr:rowOff>
        </xdr:from>
        <xdr:to>
          <xdr:col>4</xdr:col>
          <xdr:colOff>31750</xdr:colOff>
          <xdr:row>34</xdr:row>
          <xdr:rowOff>184150</xdr:rowOff>
        </xdr:to>
        <xdr:sp macro="" textlink="">
          <xdr:nvSpPr>
            <xdr:cNvPr id="17565" name="chk_CO2_SurgeTank" hidden="1">
              <a:extLst>
                <a:ext uri="{63B3BB69-23CF-44E3-9099-C40C66FF867C}">
                  <a14:compatExt spid="_x0000_s17565"/>
                </a:ext>
                <a:ext uri="{FF2B5EF4-FFF2-40B4-BE49-F238E27FC236}">
                  <a16:creationId xmlns:a16="http://schemas.microsoft.com/office/drawing/2014/main" id="{00000000-0008-0000-0700-00009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34</xdr:row>
          <xdr:rowOff>152400</xdr:rowOff>
        </xdr:from>
        <xdr:to>
          <xdr:col>4</xdr:col>
          <xdr:colOff>31750</xdr:colOff>
          <xdr:row>36</xdr:row>
          <xdr:rowOff>0</xdr:rowOff>
        </xdr:to>
        <xdr:sp macro="" textlink="">
          <xdr:nvSpPr>
            <xdr:cNvPr id="17566" name="chk_CO2_PipeLength" hidden="1">
              <a:extLst>
                <a:ext uri="{63B3BB69-23CF-44E3-9099-C40C66FF867C}">
                  <a14:compatExt spid="_x0000_s17566"/>
                </a:ext>
                <a:ext uri="{FF2B5EF4-FFF2-40B4-BE49-F238E27FC236}">
                  <a16:creationId xmlns:a16="http://schemas.microsoft.com/office/drawing/2014/main" id="{00000000-0008-0000-0700-00009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35</xdr:row>
          <xdr:rowOff>165100</xdr:rowOff>
        </xdr:from>
        <xdr:to>
          <xdr:col>4</xdr:col>
          <xdr:colOff>31750</xdr:colOff>
          <xdr:row>37</xdr:row>
          <xdr:rowOff>19050</xdr:rowOff>
        </xdr:to>
        <xdr:sp macro="" textlink="">
          <xdr:nvSpPr>
            <xdr:cNvPr id="17567" name="chk_CO2_PipeElevation" hidden="1">
              <a:extLst>
                <a:ext uri="{63B3BB69-23CF-44E3-9099-C40C66FF867C}">
                  <a14:compatExt spid="_x0000_s17567"/>
                </a:ext>
                <a:ext uri="{FF2B5EF4-FFF2-40B4-BE49-F238E27FC236}">
                  <a16:creationId xmlns:a16="http://schemas.microsoft.com/office/drawing/2014/main" id="{00000000-0008-0000-0700-00009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38</xdr:row>
          <xdr:rowOff>165100</xdr:rowOff>
        </xdr:from>
        <xdr:to>
          <xdr:col>4</xdr:col>
          <xdr:colOff>38100</xdr:colOff>
          <xdr:row>40</xdr:row>
          <xdr:rowOff>19050</xdr:rowOff>
        </xdr:to>
        <xdr:sp macro="" textlink="">
          <xdr:nvSpPr>
            <xdr:cNvPr id="17568" name="chk_CO2_Pipeline_Temp" hidden="1">
              <a:extLst>
                <a:ext uri="{63B3BB69-23CF-44E3-9099-C40C66FF867C}">
                  <a14:compatExt spid="_x0000_s17568"/>
                </a:ext>
                <a:ext uri="{FF2B5EF4-FFF2-40B4-BE49-F238E27FC236}">
                  <a16:creationId xmlns:a16="http://schemas.microsoft.com/office/drawing/2014/main" id="{00000000-0008-0000-0700-0000A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Other Variable Operating Costs</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Yearly Replacement Costs</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Initial Equity Depreciable Capital</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Fixed Operating Cost</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Debt Interest</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Taxes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Cash for Working Capital Reserve</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Principal Payment</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Decommissioning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665024</xdr:colOff>
      <xdr:row>15</xdr:row>
      <xdr:rowOff>94009</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79103</xdr:rowOff>
    </xdr:from>
    <xdr:to>
      <xdr:col>4</xdr:col>
      <xdr:colOff>910172</xdr:colOff>
      <xdr:row>35</xdr:row>
      <xdr:rowOff>107</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985670</xdr:colOff>
      <xdr:row>11</xdr:row>
      <xdr:rowOff>65060</xdr:rowOff>
    </xdr:from>
    <xdr:to>
      <xdr:col>13</xdr:col>
      <xdr:colOff>315112</xdr:colOff>
      <xdr:row>39</xdr:row>
      <xdr:rowOff>137332</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(95%, 90%, 86%)</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($405,434K, $426,772K, $448,111K)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Plant Design Capacity (kg of H2/day)
(398,356, 379,387, 360,418)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Total Fixed Operating Cost
($12,530K, $13,190K, $13,849K) </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7042150</xdr:colOff>
          <xdr:row>0</xdr:row>
          <xdr:rowOff>95250</xdr:rowOff>
        </xdr:from>
        <xdr:to>
          <xdr:col>2</xdr:col>
          <xdr:colOff>57150</xdr:colOff>
          <xdr:row>2</xdr:row>
          <xdr:rowOff>95250</xdr:rowOff>
        </xdr:to>
        <xdr:sp macro="" textlink="">
          <xdr:nvSpPr>
            <xdr:cNvPr id="30721" name="cmdInputSheet5"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5765800</xdr:colOff>
          <xdr:row>0</xdr:row>
          <xdr:rowOff>95250</xdr:rowOff>
        </xdr:from>
        <xdr:to>
          <xdr:col>1</xdr:col>
          <xdr:colOff>6915150</xdr:colOff>
          <xdr:row>2</xdr:row>
          <xdr:rowOff>95250</xdr:rowOff>
        </xdr:to>
        <xdr:sp macro="" textlink="">
          <xdr:nvSpPr>
            <xdr:cNvPr id="31745" name="cmdInputSheet4"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12700</xdr:rowOff>
        </xdr:from>
        <xdr:to>
          <xdr:col>3</xdr:col>
          <xdr:colOff>1803400</xdr:colOff>
          <xdr:row>1</xdr:row>
          <xdr:rowOff>457200</xdr:rowOff>
        </xdr:to>
        <xdr:sp macro="" textlink="">
          <xdr:nvSpPr>
            <xdr:cNvPr id="32769" name="cmdInputSheet3" hidden="1">
              <a:extLst>
                <a:ext uri="{63B3BB69-23CF-44E3-9099-C40C66FF867C}">
                  <a14:compatExt spid="_x0000_s32769"/>
                </a:ext>
                <a:ext uri="{FF2B5EF4-FFF2-40B4-BE49-F238E27FC236}">
                  <a16:creationId xmlns:a16="http://schemas.microsoft.com/office/drawing/2014/main" id="{00000000-0008-0000-15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1.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8.emf"/><Relationship Id="rId18" Type="http://schemas.openxmlformats.org/officeDocument/2006/relationships/control" Target="../activeX/activeX3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7.xml"/><Relationship Id="rId17" Type="http://schemas.openxmlformats.org/officeDocument/2006/relationships/image" Target="../media/image30.emf"/><Relationship Id="rId25" Type="http://schemas.openxmlformats.org/officeDocument/2006/relationships/image" Target="../media/image34.emf"/><Relationship Id="rId2" Type="http://schemas.openxmlformats.org/officeDocument/2006/relationships/drawing" Target="../drawings/drawing10.xml"/><Relationship Id="rId16" Type="http://schemas.openxmlformats.org/officeDocument/2006/relationships/control" Target="../activeX/activeX29.xml"/><Relationship Id="rId20" Type="http://schemas.openxmlformats.org/officeDocument/2006/relationships/control" Target="../activeX/activeX31.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7.emf"/><Relationship Id="rId24" Type="http://schemas.openxmlformats.org/officeDocument/2006/relationships/control" Target="../activeX/activeX33.xml"/><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10" Type="http://schemas.openxmlformats.org/officeDocument/2006/relationships/control" Target="../activeX/activeX26.xml"/><Relationship Id="rId19" Type="http://schemas.openxmlformats.org/officeDocument/2006/relationships/image" Target="../media/image31.emf"/><Relationship Id="rId4" Type="http://schemas.openxmlformats.org/officeDocument/2006/relationships/control" Target="../activeX/activeX23.xml"/><Relationship Id="rId9" Type="http://schemas.openxmlformats.org/officeDocument/2006/relationships/image" Target="../media/image26.emf"/><Relationship Id="rId14" Type="http://schemas.openxmlformats.org/officeDocument/2006/relationships/control" Target="../activeX/activeX28.xml"/><Relationship Id="rId22" Type="http://schemas.openxmlformats.org/officeDocument/2006/relationships/control" Target="../activeX/activeX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17.xml"/><Relationship Id="rId4" Type="http://schemas.openxmlformats.org/officeDocument/2006/relationships/image" Target="../media/image35.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9.vml"/><Relationship Id="rId1" Type="http://schemas.openxmlformats.org/officeDocument/2006/relationships/drawing" Target="../drawings/drawing18.xml"/><Relationship Id="rId4" Type="http://schemas.openxmlformats.org/officeDocument/2006/relationships/image" Target="../media/image36.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6.xml"/><Relationship Id="rId2" Type="http://schemas.openxmlformats.org/officeDocument/2006/relationships/vmlDrawing" Target="../drawings/vmlDrawing10.vml"/><Relationship Id="rId1" Type="http://schemas.openxmlformats.org/officeDocument/2006/relationships/drawing" Target="../drawings/drawing19.xml"/><Relationship Id="rId4" Type="http://schemas.openxmlformats.org/officeDocument/2006/relationships/image" Target="../media/image3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4"/>
  <sheetViews>
    <sheetView tabSelected="1" workbookViewId="0">
      <selection activeCell="B2" sqref="B2"/>
    </sheetView>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82" t="s">
        <v>407</v>
      </c>
    </row>
    <row r="4" spans="2:4" ht="13" thickBot="1" x14ac:dyDescent="0.3"/>
    <row r="5" spans="2:4" ht="26" thickTop="1" x14ac:dyDescent="0.3">
      <c r="B5" s="788" t="s">
        <v>211</v>
      </c>
      <c r="C5" s="1261" t="s">
        <v>1429</v>
      </c>
      <c r="D5" s="1264"/>
    </row>
    <row r="6" spans="2:4" ht="13" x14ac:dyDescent="0.3">
      <c r="B6" s="791" t="s">
        <v>212</v>
      </c>
      <c r="C6" s="1262" t="s">
        <v>1370</v>
      </c>
      <c r="D6" s="1264"/>
    </row>
    <row r="7" spans="2:4" ht="13" x14ac:dyDescent="0.3">
      <c r="B7" s="791" t="s">
        <v>213</v>
      </c>
      <c r="C7" s="1262" t="s">
        <v>1346</v>
      </c>
      <c r="D7" s="1264"/>
    </row>
    <row r="8" spans="2:4" ht="13" x14ac:dyDescent="0.3">
      <c r="B8" s="791" t="s">
        <v>214</v>
      </c>
      <c r="C8" s="1262" t="s">
        <v>1347</v>
      </c>
      <c r="D8" s="1264"/>
    </row>
    <row r="9" spans="2:4" ht="13" x14ac:dyDescent="0.3">
      <c r="B9" s="791" t="s">
        <v>215</v>
      </c>
      <c r="C9" s="991" t="s">
        <v>1348</v>
      </c>
      <c r="D9" s="793"/>
    </row>
    <row r="10" spans="2:4" ht="13" x14ac:dyDescent="0.3">
      <c r="B10" s="791" t="s">
        <v>216</v>
      </c>
      <c r="C10" s="1262" t="s">
        <v>830</v>
      </c>
      <c r="D10" s="1264"/>
    </row>
    <row r="11" spans="2:4" ht="13" x14ac:dyDescent="0.3">
      <c r="B11" s="791" t="s">
        <v>217</v>
      </c>
      <c r="C11" s="1263">
        <v>43137</v>
      </c>
      <c r="D11" s="1442"/>
    </row>
    <row r="12" spans="2:4" ht="13.5" thickBot="1" x14ac:dyDescent="0.35">
      <c r="B12" s="796" t="s">
        <v>218</v>
      </c>
      <c r="C12" s="992" t="s">
        <v>1298</v>
      </c>
      <c r="D12" s="1264"/>
    </row>
    <row r="13" spans="2:4" ht="14" thickTop="1" thickBot="1" x14ac:dyDescent="0.35">
      <c r="B13" s="797"/>
      <c r="C13" s="1264"/>
      <c r="D13" s="1443"/>
    </row>
    <row r="14" spans="2:4" ht="13.5" thickTop="1" x14ac:dyDescent="0.3">
      <c r="B14" s="788" t="s">
        <v>219</v>
      </c>
      <c r="C14" s="1444">
        <v>379387</v>
      </c>
      <c r="D14" s="1445"/>
    </row>
    <row r="15" spans="2:4" ht="13" x14ac:dyDescent="0.3">
      <c r="B15" s="791" t="s">
        <v>220</v>
      </c>
      <c r="C15" s="1265">
        <v>2040</v>
      </c>
      <c r="D15" s="802"/>
    </row>
    <row r="16" spans="2:4" ht="13" x14ac:dyDescent="0.3">
      <c r="B16" s="791" t="s">
        <v>221</v>
      </c>
      <c r="C16" s="1204" t="s">
        <v>283</v>
      </c>
      <c r="D16" s="1445"/>
    </row>
    <row r="17" spans="2:4" ht="13" x14ac:dyDescent="0.3">
      <c r="B17" s="791" t="s">
        <v>222</v>
      </c>
      <c r="C17" s="1204" t="s">
        <v>1371</v>
      </c>
      <c r="D17" s="1445"/>
    </row>
    <row r="18" spans="2:4" ht="13" x14ac:dyDescent="0.3">
      <c r="B18" s="791" t="s">
        <v>223</v>
      </c>
      <c r="C18" s="1204" t="s">
        <v>1372</v>
      </c>
      <c r="D18" s="803"/>
    </row>
    <row r="19" spans="2:4" ht="25.5" x14ac:dyDescent="0.3">
      <c r="B19" s="791" t="s">
        <v>224</v>
      </c>
      <c r="C19" s="1204" t="s">
        <v>1411</v>
      </c>
      <c r="D19" s="1445"/>
    </row>
    <row r="20" spans="2:4" ht="13" x14ac:dyDescent="0.3">
      <c r="B20" s="791" t="s">
        <v>225</v>
      </c>
      <c r="C20" s="1204"/>
      <c r="D20" s="1445"/>
    </row>
    <row r="21" spans="2:4" ht="13" x14ac:dyDescent="0.3">
      <c r="B21" s="791" t="s">
        <v>226</v>
      </c>
      <c r="C21" s="1204"/>
      <c r="D21" s="1445"/>
    </row>
    <row r="22" spans="2:4" ht="26" x14ac:dyDescent="0.3">
      <c r="B22" s="804" t="s">
        <v>227</v>
      </c>
      <c r="C22" s="1265" t="s">
        <v>1412</v>
      </c>
      <c r="D22" s="1445"/>
    </row>
    <row r="23" spans="2:4" ht="13" x14ac:dyDescent="0.3">
      <c r="B23" s="804" t="s">
        <v>228</v>
      </c>
      <c r="C23" s="1204" t="s">
        <v>1082</v>
      </c>
      <c r="D23" s="1445"/>
    </row>
    <row r="24" spans="2:4" ht="13.5" thickBot="1" x14ac:dyDescent="0.35">
      <c r="B24" s="796" t="s">
        <v>229</v>
      </c>
      <c r="C24" s="1266" t="s">
        <v>1373</v>
      </c>
      <c r="D24" s="1445"/>
    </row>
    <row r="25" spans="2:4" ht="14" thickTop="1" thickBot="1" x14ac:dyDescent="0.35">
      <c r="B25" s="806"/>
      <c r="C25" s="1445"/>
      <c r="D25" s="1445"/>
    </row>
    <row r="26" spans="2:4" ht="13" x14ac:dyDescent="0.3">
      <c r="B26" s="1501" t="s">
        <v>230</v>
      </c>
      <c r="C26" s="1502"/>
      <c r="D26" s="1503"/>
    </row>
    <row r="27" spans="2:4" ht="13" x14ac:dyDescent="0.3">
      <c r="B27" s="1446" t="s">
        <v>231</v>
      </c>
      <c r="C27" s="808" t="s">
        <v>232</v>
      </c>
      <c r="D27" s="1447" t="s">
        <v>1030</v>
      </c>
    </row>
    <row r="28" spans="2:4" ht="13" x14ac:dyDescent="0.3">
      <c r="B28" s="1471" t="s">
        <v>1299</v>
      </c>
      <c r="C28" s="1203"/>
      <c r="D28" s="1463"/>
    </row>
    <row r="29" spans="2:4" x14ac:dyDescent="0.25">
      <c r="B29" s="1464">
        <v>43137</v>
      </c>
      <c r="C29" s="1203" t="s">
        <v>1300</v>
      </c>
      <c r="D29" s="1463" t="s">
        <v>1301</v>
      </c>
    </row>
    <row r="30" spans="2:4" x14ac:dyDescent="0.25">
      <c r="B30" s="1464"/>
      <c r="C30" s="1203"/>
      <c r="D30" s="1463"/>
    </row>
    <row r="31" spans="2:4" x14ac:dyDescent="0.25">
      <c r="B31" s="1464">
        <v>41442</v>
      </c>
      <c r="C31" s="1203" t="s">
        <v>1357</v>
      </c>
      <c r="D31" s="1463" t="s">
        <v>1358</v>
      </c>
    </row>
    <row r="32" spans="2:4" x14ac:dyDescent="0.25">
      <c r="B32" s="1464"/>
      <c r="C32" s="1203"/>
      <c r="D32" s="1463"/>
    </row>
    <row r="33" spans="2:4" x14ac:dyDescent="0.25">
      <c r="B33" s="1464">
        <v>40882</v>
      </c>
      <c r="C33" s="1203" t="s">
        <v>1361</v>
      </c>
      <c r="D33" s="1463" t="s">
        <v>1362</v>
      </c>
    </row>
    <row r="34" spans="2:4" ht="13" x14ac:dyDescent="0.3">
      <c r="B34" s="1471" t="s">
        <v>1363</v>
      </c>
      <c r="C34" s="1203"/>
      <c r="D34" s="1463"/>
    </row>
    <row r="35" spans="2:4" x14ac:dyDescent="0.25">
      <c r="B35" s="1464">
        <v>39713</v>
      </c>
      <c r="C35" s="1203" t="s">
        <v>1361</v>
      </c>
      <c r="D35" s="1463" t="s">
        <v>831</v>
      </c>
    </row>
    <row r="36" spans="2:4" x14ac:dyDescent="0.25">
      <c r="B36" s="1464">
        <v>39591</v>
      </c>
      <c r="C36" s="1203" t="s">
        <v>1361</v>
      </c>
      <c r="D36" s="1463" t="s">
        <v>1364</v>
      </c>
    </row>
    <row r="37" spans="2:4" x14ac:dyDescent="0.25">
      <c r="B37" s="1464">
        <v>39521</v>
      </c>
      <c r="C37" s="1203" t="s">
        <v>1361</v>
      </c>
      <c r="D37" s="1463" t="s">
        <v>1362</v>
      </c>
    </row>
    <row r="38" spans="2:4" ht="13" x14ac:dyDescent="0.3">
      <c r="B38" s="1471" t="s">
        <v>1365</v>
      </c>
      <c r="C38" s="1203"/>
      <c r="D38" s="1463"/>
    </row>
    <row r="39" spans="2:4" x14ac:dyDescent="0.25">
      <c r="B39" s="1464">
        <v>38875</v>
      </c>
      <c r="C39" s="1203" t="s">
        <v>1351</v>
      </c>
      <c r="D39" s="1463"/>
    </row>
    <row r="40" spans="2:4" x14ac:dyDescent="0.25">
      <c r="B40" s="1464">
        <v>38609</v>
      </c>
      <c r="C40" s="1203" t="s">
        <v>1366</v>
      </c>
      <c r="D40" s="1463"/>
    </row>
    <row r="41" spans="2:4" x14ac:dyDescent="0.25">
      <c r="B41" s="1464">
        <v>38530</v>
      </c>
      <c r="C41" s="1203" t="s">
        <v>1367</v>
      </c>
      <c r="D41" s="1463"/>
    </row>
    <row r="42" spans="2:4" x14ac:dyDescent="0.25">
      <c r="B42" s="1464">
        <v>38520</v>
      </c>
      <c r="C42" s="1203" t="s">
        <v>1368</v>
      </c>
      <c r="D42" s="1463"/>
    </row>
    <row r="43" spans="2:4" x14ac:dyDescent="0.25">
      <c r="B43" s="1464">
        <v>38406</v>
      </c>
      <c r="C43" s="1203" t="s">
        <v>1369</v>
      </c>
      <c r="D43" s="1463"/>
    </row>
    <row r="44" spans="2:4" ht="13" thickBot="1" x14ac:dyDescent="0.3">
      <c r="B44" s="1465">
        <v>38271</v>
      </c>
      <c r="C44" s="1462" t="s">
        <v>1368</v>
      </c>
      <c r="D44" s="1466"/>
    </row>
  </sheetData>
  <mergeCells count="1">
    <mergeCell ref="B26:D26"/>
  </mergeCells>
  <phoneticPr fontId="0" type="noConversion"/>
  <hyperlinks>
    <hyperlink ref="C9" r:id="rId1" xr:uid="{F8B944E2-635C-4C31-BB5D-07D882325051}"/>
    <hyperlink ref="C12" r:id="rId2" xr:uid="{FAA3332E-52DB-4203-AAFE-192BEDB8E9A9}"/>
  </hyperlinks>
  <pageMargins left="0.75" right="0.75" top="1" bottom="1" header="0.5" footer="0.5"/>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D86"/>
  <sheetViews>
    <sheetView workbookViewId="0">
      <selection activeCell="B15" sqref="B15"/>
    </sheetView>
  </sheetViews>
  <sheetFormatPr defaultRowHeight="12.5" x14ac:dyDescent="0.25"/>
  <cols>
    <col min="2" max="2" width="122" customWidth="1"/>
    <col min="3" max="3" width="12" customWidth="1"/>
    <col min="4" max="4" width="47.453125" customWidth="1"/>
    <col min="5" max="5" width="17.26953125" customWidth="1"/>
  </cols>
  <sheetData>
    <row r="2" spans="2:4" ht="22" x14ac:dyDescent="0.65">
      <c r="B2" s="782" t="s">
        <v>408</v>
      </c>
    </row>
    <row r="6" spans="2:4" ht="13" x14ac:dyDescent="0.3">
      <c r="B6" s="783" t="s">
        <v>206</v>
      </c>
    </row>
    <row r="7" spans="2:4" ht="50" x14ac:dyDescent="0.25">
      <c r="B7" s="1267" t="s">
        <v>1413</v>
      </c>
    </row>
    <row r="8" spans="2:4" x14ac:dyDescent="0.25">
      <c r="B8" s="784"/>
    </row>
    <row r="9" spans="2:4" x14ac:dyDescent="0.25">
      <c r="B9" s="784"/>
    </row>
    <row r="10" spans="2:4" ht="13" x14ac:dyDescent="0.3">
      <c r="B10" s="785" t="s">
        <v>207</v>
      </c>
    </row>
    <row r="11" spans="2:4" ht="75" x14ac:dyDescent="0.25">
      <c r="B11" s="1467" t="s">
        <v>1400</v>
      </c>
    </row>
    <row r="12" spans="2:4" ht="87.5" x14ac:dyDescent="0.25">
      <c r="B12" s="1468" t="s">
        <v>1401</v>
      </c>
      <c r="D12" t="s">
        <v>1399</v>
      </c>
    </row>
    <row r="13" spans="2:4" x14ac:dyDescent="0.25">
      <c r="B13" s="784"/>
    </row>
    <row r="14" spans="2:4" ht="13" x14ac:dyDescent="0.3">
      <c r="B14" s="785" t="s">
        <v>208</v>
      </c>
    </row>
    <row r="15" spans="2:4" ht="25" x14ac:dyDescent="0.25">
      <c r="B15" s="1267" t="s">
        <v>1402</v>
      </c>
    </row>
    <row r="16" spans="2:4" x14ac:dyDescent="0.25">
      <c r="B16" s="784"/>
    </row>
    <row r="17" spans="2:2" x14ac:dyDescent="0.25">
      <c r="B17" s="784"/>
    </row>
    <row r="18" spans="2:2" ht="13" x14ac:dyDescent="0.3">
      <c r="B18" s="785" t="s">
        <v>209</v>
      </c>
    </row>
    <row r="19" spans="2:2" x14ac:dyDescent="0.25">
      <c r="B19" s="1267" t="s">
        <v>1374</v>
      </c>
    </row>
    <row r="20" spans="2:2" x14ac:dyDescent="0.25">
      <c r="B20" s="784"/>
    </row>
    <row r="21" spans="2:2" ht="13" x14ac:dyDescent="0.25">
      <c r="B21" s="786" t="s">
        <v>210</v>
      </c>
    </row>
    <row r="22" spans="2:2" x14ac:dyDescent="0.25">
      <c r="B22" s="993" t="s">
        <v>1403</v>
      </c>
    </row>
    <row r="23" spans="2:2" x14ac:dyDescent="0.25">
      <c r="B23" s="1267"/>
    </row>
    <row r="24" spans="2:2" x14ac:dyDescent="0.25">
      <c r="B24" s="1267"/>
    </row>
    <row r="25" spans="2:2" x14ac:dyDescent="0.25">
      <c r="B25" s="1267"/>
    </row>
    <row r="26" spans="2:2" x14ac:dyDescent="0.25">
      <c r="B26" s="993"/>
    </row>
    <row r="76" ht="81" customHeight="1" x14ac:dyDescent="0.25"/>
    <row r="78" ht="97.5" customHeight="1" x14ac:dyDescent="0.25"/>
    <row r="80" ht="68.25" customHeight="1" x14ac:dyDescent="0.25"/>
    <row r="82" ht="63" customHeight="1" x14ac:dyDescent="0.25"/>
    <row r="84" ht="63.75" customHeight="1" x14ac:dyDescent="0.25"/>
    <row r="86" ht="37.5" customHeight="1" x14ac:dyDescent="0.25"/>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H55"/>
  <sheetViews>
    <sheetView zoomScale="85" zoomScaleNormal="85" workbookViewId="0">
      <selection activeCell="G25" sqref="G25"/>
    </sheetView>
  </sheetViews>
  <sheetFormatPr defaultRowHeight="12.5" x14ac:dyDescent="0.25"/>
  <cols>
    <col min="2" max="2" width="23.54296875" customWidth="1"/>
    <col min="3" max="3" width="18.54296875" customWidth="1"/>
    <col min="4" max="4" width="46.453125" customWidth="1"/>
    <col min="5" max="7" width="18.54296875" customWidth="1"/>
    <col min="8" max="11" width="25" customWidth="1"/>
    <col min="13" max="13" width="38.81640625" customWidth="1"/>
    <col min="14" max="15" width="22.54296875" customWidth="1"/>
    <col min="16" max="16" width="44.453125" customWidth="1"/>
    <col min="254" max="254" width="10.1796875" customWidth="1"/>
    <col min="255" max="255" width="12" customWidth="1"/>
    <col min="256" max="256" width="17.81640625" customWidth="1"/>
    <col min="257" max="257" width="17.26953125" customWidth="1"/>
    <col min="258" max="259" width="31" customWidth="1"/>
    <col min="260" max="263" width="25.1796875" customWidth="1"/>
    <col min="510" max="510" width="10.1796875" customWidth="1"/>
    <col min="511" max="511" width="12" customWidth="1"/>
    <col min="512" max="512" width="17.81640625" customWidth="1"/>
    <col min="513" max="513" width="17.26953125" customWidth="1"/>
    <col min="514" max="515" width="31" customWidth="1"/>
    <col min="516" max="519" width="25.1796875" customWidth="1"/>
    <col min="766" max="766" width="10.1796875" customWidth="1"/>
    <col min="767" max="767" width="12" customWidth="1"/>
    <col min="768" max="768" width="17.81640625" customWidth="1"/>
    <col min="769" max="769" width="17.26953125" customWidth="1"/>
    <col min="770" max="771" width="31" customWidth="1"/>
    <col min="772" max="775" width="25.1796875" customWidth="1"/>
    <col min="1022" max="1022" width="10.1796875" customWidth="1"/>
    <col min="1023" max="1023" width="12" customWidth="1"/>
    <col min="1024" max="1024" width="17.81640625" customWidth="1"/>
    <col min="1025" max="1025" width="17.26953125" customWidth="1"/>
    <col min="1026" max="1027" width="31" customWidth="1"/>
    <col min="1028" max="1031" width="25.1796875" customWidth="1"/>
    <col min="1278" max="1278" width="10.1796875" customWidth="1"/>
    <col min="1279" max="1279" width="12" customWidth="1"/>
    <col min="1280" max="1280" width="17.81640625" customWidth="1"/>
    <col min="1281" max="1281" width="17.26953125" customWidth="1"/>
    <col min="1282" max="1283" width="31" customWidth="1"/>
    <col min="1284" max="1287" width="25.1796875" customWidth="1"/>
    <col min="1534" max="1534" width="10.1796875" customWidth="1"/>
    <col min="1535" max="1535" width="12" customWidth="1"/>
    <col min="1536" max="1536" width="17.81640625" customWidth="1"/>
    <col min="1537" max="1537" width="17.26953125" customWidth="1"/>
    <col min="1538" max="1539" width="31" customWidth="1"/>
    <col min="1540" max="1543" width="25.1796875" customWidth="1"/>
    <col min="1790" max="1790" width="10.1796875" customWidth="1"/>
    <col min="1791" max="1791" width="12" customWidth="1"/>
    <col min="1792" max="1792" width="17.81640625" customWidth="1"/>
    <col min="1793" max="1793" width="17.26953125" customWidth="1"/>
    <col min="1794" max="1795" width="31" customWidth="1"/>
    <col min="1796" max="1799" width="25.1796875" customWidth="1"/>
    <col min="2046" max="2046" width="10.1796875" customWidth="1"/>
    <col min="2047" max="2047" width="12" customWidth="1"/>
    <col min="2048" max="2048" width="17.81640625" customWidth="1"/>
    <col min="2049" max="2049" width="17.26953125" customWidth="1"/>
    <col min="2050" max="2051" width="31" customWidth="1"/>
    <col min="2052" max="2055" width="25.1796875" customWidth="1"/>
    <col min="2302" max="2302" width="10.1796875" customWidth="1"/>
    <col min="2303" max="2303" width="12" customWidth="1"/>
    <col min="2304" max="2304" width="17.81640625" customWidth="1"/>
    <col min="2305" max="2305" width="17.26953125" customWidth="1"/>
    <col min="2306" max="2307" width="31" customWidth="1"/>
    <col min="2308" max="2311" width="25.1796875" customWidth="1"/>
    <col min="2558" max="2558" width="10.1796875" customWidth="1"/>
    <col min="2559" max="2559" width="12" customWidth="1"/>
    <col min="2560" max="2560" width="17.81640625" customWidth="1"/>
    <col min="2561" max="2561" width="17.26953125" customWidth="1"/>
    <col min="2562" max="2563" width="31" customWidth="1"/>
    <col min="2564" max="2567" width="25.1796875" customWidth="1"/>
    <col min="2814" max="2814" width="10.1796875" customWidth="1"/>
    <col min="2815" max="2815" width="12" customWidth="1"/>
    <col min="2816" max="2816" width="17.81640625" customWidth="1"/>
    <col min="2817" max="2817" width="17.26953125" customWidth="1"/>
    <col min="2818" max="2819" width="31" customWidth="1"/>
    <col min="2820" max="2823" width="25.1796875" customWidth="1"/>
    <col min="3070" max="3070" width="10.1796875" customWidth="1"/>
    <col min="3071" max="3071" width="12" customWidth="1"/>
    <col min="3072" max="3072" width="17.81640625" customWidth="1"/>
    <col min="3073" max="3073" width="17.26953125" customWidth="1"/>
    <col min="3074" max="3075" width="31" customWidth="1"/>
    <col min="3076" max="3079" width="25.1796875" customWidth="1"/>
    <col min="3326" max="3326" width="10.1796875" customWidth="1"/>
    <col min="3327" max="3327" width="12" customWidth="1"/>
    <col min="3328" max="3328" width="17.81640625" customWidth="1"/>
    <col min="3329" max="3329" width="17.26953125" customWidth="1"/>
    <col min="3330" max="3331" width="31" customWidth="1"/>
    <col min="3332" max="3335" width="25.1796875" customWidth="1"/>
    <col min="3582" max="3582" width="10.1796875" customWidth="1"/>
    <col min="3583" max="3583" width="12" customWidth="1"/>
    <col min="3584" max="3584" width="17.81640625" customWidth="1"/>
    <col min="3585" max="3585" width="17.26953125" customWidth="1"/>
    <col min="3586" max="3587" width="31" customWidth="1"/>
    <col min="3588" max="3591" width="25.1796875" customWidth="1"/>
    <col min="3838" max="3838" width="10.1796875" customWidth="1"/>
    <col min="3839" max="3839" width="12" customWidth="1"/>
    <col min="3840" max="3840" width="17.81640625" customWidth="1"/>
    <col min="3841" max="3841" width="17.26953125" customWidth="1"/>
    <col min="3842" max="3843" width="31" customWidth="1"/>
    <col min="3844" max="3847" width="25.1796875" customWidth="1"/>
    <col min="4094" max="4094" width="10.1796875" customWidth="1"/>
    <col min="4095" max="4095" width="12" customWidth="1"/>
    <col min="4096" max="4096" width="17.81640625" customWidth="1"/>
    <col min="4097" max="4097" width="17.26953125" customWidth="1"/>
    <col min="4098" max="4099" width="31" customWidth="1"/>
    <col min="4100" max="4103" width="25.1796875" customWidth="1"/>
    <col min="4350" max="4350" width="10.1796875" customWidth="1"/>
    <col min="4351" max="4351" width="12" customWidth="1"/>
    <col min="4352" max="4352" width="17.81640625" customWidth="1"/>
    <col min="4353" max="4353" width="17.26953125" customWidth="1"/>
    <col min="4354" max="4355" width="31" customWidth="1"/>
    <col min="4356" max="4359" width="25.1796875" customWidth="1"/>
    <col min="4606" max="4606" width="10.1796875" customWidth="1"/>
    <col min="4607" max="4607" width="12" customWidth="1"/>
    <col min="4608" max="4608" width="17.81640625" customWidth="1"/>
    <col min="4609" max="4609" width="17.26953125" customWidth="1"/>
    <col min="4610" max="4611" width="31" customWidth="1"/>
    <col min="4612" max="4615" width="25.1796875" customWidth="1"/>
    <col min="4862" max="4862" width="10.1796875" customWidth="1"/>
    <col min="4863" max="4863" width="12" customWidth="1"/>
    <col min="4864" max="4864" width="17.81640625" customWidth="1"/>
    <col min="4865" max="4865" width="17.26953125" customWidth="1"/>
    <col min="4866" max="4867" width="31" customWidth="1"/>
    <col min="4868" max="4871" width="25.1796875" customWidth="1"/>
    <col min="5118" max="5118" width="10.1796875" customWidth="1"/>
    <col min="5119" max="5119" width="12" customWidth="1"/>
    <col min="5120" max="5120" width="17.81640625" customWidth="1"/>
    <col min="5121" max="5121" width="17.26953125" customWidth="1"/>
    <col min="5122" max="5123" width="31" customWidth="1"/>
    <col min="5124" max="5127" width="25.1796875" customWidth="1"/>
    <col min="5374" max="5374" width="10.1796875" customWidth="1"/>
    <col min="5375" max="5375" width="12" customWidth="1"/>
    <col min="5376" max="5376" width="17.81640625" customWidth="1"/>
    <col min="5377" max="5377" width="17.26953125" customWidth="1"/>
    <col min="5378" max="5379" width="31" customWidth="1"/>
    <col min="5380" max="5383" width="25.1796875" customWidth="1"/>
    <col min="5630" max="5630" width="10.1796875" customWidth="1"/>
    <col min="5631" max="5631" width="12" customWidth="1"/>
    <col min="5632" max="5632" width="17.81640625" customWidth="1"/>
    <col min="5633" max="5633" width="17.26953125" customWidth="1"/>
    <col min="5634" max="5635" width="31" customWidth="1"/>
    <col min="5636" max="5639" width="25.1796875" customWidth="1"/>
    <col min="5886" max="5886" width="10.1796875" customWidth="1"/>
    <col min="5887" max="5887" width="12" customWidth="1"/>
    <col min="5888" max="5888" width="17.81640625" customWidth="1"/>
    <col min="5889" max="5889" width="17.26953125" customWidth="1"/>
    <col min="5890" max="5891" width="31" customWidth="1"/>
    <col min="5892" max="5895" width="25.1796875" customWidth="1"/>
    <col min="6142" max="6142" width="10.1796875" customWidth="1"/>
    <col min="6143" max="6143" width="12" customWidth="1"/>
    <col min="6144" max="6144" width="17.81640625" customWidth="1"/>
    <col min="6145" max="6145" width="17.26953125" customWidth="1"/>
    <col min="6146" max="6147" width="31" customWidth="1"/>
    <col min="6148" max="6151" width="25.1796875" customWidth="1"/>
    <col min="6398" max="6398" width="10.1796875" customWidth="1"/>
    <col min="6399" max="6399" width="12" customWidth="1"/>
    <col min="6400" max="6400" width="17.81640625" customWidth="1"/>
    <col min="6401" max="6401" width="17.26953125" customWidth="1"/>
    <col min="6402" max="6403" width="31" customWidth="1"/>
    <col min="6404" max="6407" width="25.1796875" customWidth="1"/>
    <col min="6654" max="6654" width="10.1796875" customWidth="1"/>
    <col min="6655" max="6655" width="12" customWidth="1"/>
    <col min="6656" max="6656" width="17.81640625" customWidth="1"/>
    <col min="6657" max="6657" width="17.26953125" customWidth="1"/>
    <col min="6658" max="6659" width="31" customWidth="1"/>
    <col min="6660" max="6663" width="25.1796875" customWidth="1"/>
    <col min="6910" max="6910" width="10.1796875" customWidth="1"/>
    <col min="6911" max="6911" width="12" customWidth="1"/>
    <col min="6912" max="6912" width="17.81640625" customWidth="1"/>
    <col min="6913" max="6913" width="17.26953125" customWidth="1"/>
    <col min="6914" max="6915" width="31" customWidth="1"/>
    <col min="6916" max="6919" width="25.1796875" customWidth="1"/>
    <col min="7166" max="7166" width="10.1796875" customWidth="1"/>
    <col min="7167" max="7167" width="12" customWidth="1"/>
    <col min="7168" max="7168" width="17.81640625" customWidth="1"/>
    <col min="7169" max="7169" width="17.26953125" customWidth="1"/>
    <col min="7170" max="7171" width="31" customWidth="1"/>
    <col min="7172" max="7175" width="25.1796875" customWidth="1"/>
    <col min="7422" max="7422" width="10.1796875" customWidth="1"/>
    <col min="7423" max="7423" width="12" customWidth="1"/>
    <col min="7424" max="7424" width="17.81640625" customWidth="1"/>
    <col min="7425" max="7425" width="17.26953125" customWidth="1"/>
    <col min="7426" max="7427" width="31" customWidth="1"/>
    <col min="7428" max="7431" width="25.1796875" customWidth="1"/>
    <col min="7678" max="7678" width="10.1796875" customWidth="1"/>
    <col min="7679" max="7679" width="12" customWidth="1"/>
    <col min="7680" max="7680" width="17.81640625" customWidth="1"/>
    <col min="7681" max="7681" width="17.26953125" customWidth="1"/>
    <col min="7682" max="7683" width="31" customWidth="1"/>
    <col min="7684" max="7687" width="25.1796875" customWidth="1"/>
    <col min="7934" max="7934" width="10.1796875" customWidth="1"/>
    <col min="7935" max="7935" width="12" customWidth="1"/>
    <col min="7936" max="7936" width="17.81640625" customWidth="1"/>
    <col min="7937" max="7937" width="17.26953125" customWidth="1"/>
    <col min="7938" max="7939" width="31" customWidth="1"/>
    <col min="7940" max="7943" width="25.1796875" customWidth="1"/>
    <col min="8190" max="8190" width="10.1796875" customWidth="1"/>
    <col min="8191" max="8191" width="12" customWidth="1"/>
    <col min="8192" max="8192" width="17.81640625" customWidth="1"/>
    <col min="8193" max="8193" width="17.26953125" customWidth="1"/>
    <col min="8194" max="8195" width="31" customWidth="1"/>
    <col min="8196" max="8199" width="25.1796875" customWidth="1"/>
    <col min="8446" max="8446" width="10.1796875" customWidth="1"/>
    <col min="8447" max="8447" width="12" customWidth="1"/>
    <col min="8448" max="8448" width="17.81640625" customWidth="1"/>
    <col min="8449" max="8449" width="17.26953125" customWidth="1"/>
    <col min="8450" max="8451" width="31" customWidth="1"/>
    <col min="8452" max="8455" width="25.1796875" customWidth="1"/>
    <col min="8702" max="8702" width="10.1796875" customWidth="1"/>
    <col min="8703" max="8703" width="12" customWidth="1"/>
    <col min="8704" max="8704" width="17.81640625" customWidth="1"/>
    <col min="8705" max="8705" width="17.26953125" customWidth="1"/>
    <col min="8706" max="8707" width="31" customWidth="1"/>
    <col min="8708" max="8711" width="25.1796875" customWidth="1"/>
    <col min="8958" max="8958" width="10.1796875" customWidth="1"/>
    <col min="8959" max="8959" width="12" customWidth="1"/>
    <col min="8960" max="8960" width="17.81640625" customWidth="1"/>
    <col min="8961" max="8961" width="17.26953125" customWidth="1"/>
    <col min="8962" max="8963" width="31" customWidth="1"/>
    <col min="8964" max="8967" width="25.1796875" customWidth="1"/>
    <col min="9214" max="9214" width="10.1796875" customWidth="1"/>
    <col min="9215" max="9215" width="12" customWidth="1"/>
    <col min="9216" max="9216" width="17.81640625" customWidth="1"/>
    <col min="9217" max="9217" width="17.26953125" customWidth="1"/>
    <col min="9218" max="9219" width="31" customWidth="1"/>
    <col min="9220" max="9223" width="25.1796875" customWidth="1"/>
    <col min="9470" max="9470" width="10.1796875" customWidth="1"/>
    <col min="9471" max="9471" width="12" customWidth="1"/>
    <col min="9472" max="9472" width="17.81640625" customWidth="1"/>
    <col min="9473" max="9473" width="17.26953125" customWidth="1"/>
    <col min="9474" max="9475" width="31" customWidth="1"/>
    <col min="9476" max="9479" width="25.1796875" customWidth="1"/>
    <col min="9726" max="9726" width="10.1796875" customWidth="1"/>
    <col min="9727" max="9727" width="12" customWidth="1"/>
    <col min="9728" max="9728" width="17.81640625" customWidth="1"/>
    <col min="9729" max="9729" width="17.26953125" customWidth="1"/>
    <col min="9730" max="9731" width="31" customWidth="1"/>
    <col min="9732" max="9735" width="25.1796875" customWidth="1"/>
    <col min="9982" max="9982" width="10.1796875" customWidth="1"/>
    <col min="9983" max="9983" width="12" customWidth="1"/>
    <col min="9984" max="9984" width="17.81640625" customWidth="1"/>
    <col min="9985" max="9985" width="17.26953125" customWidth="1"/>
    <col min="9986" max="9987" width="31" customWidth="1"/>
    <col min="9988" max="9991" width="25.1796875" customWidth="1"/>
    <col min="10238" max="10238" width="10.1796875" customWidth="1"/>
    <col min="10239" max="10239" width="12" customWidth="1"/>
    <col min="10240" max="10240" width="17.81640625" customWidth="1"/>
    <col min="10241" max="10241" width="17.26953125" customWidth="1"/>
    <col min="10242" max="10243" width="31" customWidth="1"/>
    <col min="10244" max="10247" width="25.1796875" customWidth="1"/>
    <col min="10494" max="10494" width="10.1796875" customWidth="1"/>
    <col min="10495" max="10495" width="12" customWidth="1"/>
    <col min="10496" max="10496" width="17.81640625" customWidth="1"/>
    <col min="10497" max="10497" width="17.26953125" customWidth="1"/>
    <col min="10498" max="10499" width="31" customWidth="1"/>
    <col min="10500" max="10503" width="25.1796875" customWidth="1"/>
    <col min="10750" max="10750" width="10.1796875" customWidth="1"/>
    <col min="10751" max="10751" width="12" customWidth="1"/>
    <col min="10752" max="10752" width="17.81640625" customWidth="1"/>
    <col min="10753" max="10753" width="17.26953125" customWidth="1"/>
    <col min="10754" max="10755" width="31" customWidth="1"/>
    <col min="10756" max="10759" width="25.1796875" customWidth="1"/>
    <col min="11006" max="11006" width="10.1796875" customWidth="1"/>
    <col min="11007" max="11007" width="12" customWidth="1"/>
    <col min="11008" max="11008" width="17.81640625" customWidth="1"/>
    <col min="11009" max="11009" width="17.26953125" customWidth="1"/>
    <col min="11010" max="11011" width="31" customWidth="1"/>
    <col min="11012" max="11015" width="25.1796875" customWidth="1"/>
    <col min="11262" max="11262" width="10.1796875" customWidth="1"/>
    <col min="11263" max="11263" width="12" customWidth="1"/>
    <col min="11264" max="11264" width="17.81640625" customWidth="1"/>
    <col min="11265" max="11265" width="17.26953125" customWidth="1"/>
    <col min="11266" max="11267" width="31" customWidth="1"/>
    <col min="11268" max="11271" width="25.1796875" customWidth="1"/>
    <col min="11518" max="11518" width="10.1796875" customWidth="1"/>
    <col min="11519" max="11519" width="12" customWidth="1"/>
    <col min="11520" max="11520" width="17.81640625" customWidth="1"/>
    <col min="11521" max="11521" width="17.26953125" customWidth="1"/>
    <col min="11522" max="11523" width="31" customWidth="1"/>
    <col min="11524" max="11527" width="25.1796875" customWidth="1"/>
    <col min="11774" max="11774" width="10.1796875" customWidth="1"/>
    <col min="11775" max="11775" width="12" customWidth="1"/>
    <col min="11776" max="11776" width="17.81640625" customWidth="1"/>
    <col min="11777" max="11777" width="17.26953125" customWidth="1"/>
    <col min="11778" max="11779" width="31" customWidth="1"/>
    <col min="11780" max="11783" width="25.1796875" customWidth="1"/>
    <col min="12030" max="12030" width="10.1796875" customWidth="1"/>
    <col min="12031" max="12031" width="12" customWidth="1"/>
    <col min="12032" max="12032" width="17.81640625" customWidth="1"/>
    <col min="12033" max="12033" width="17.26953125" customWidth="1"/>
    <col min="12034" max="12035" width="31" customWidth="1"/>
    <col min="12036" max="12039" width="25.1796875" customWidth="1"/>
    <col min="12286" max="12286" width="10.1796875" customWidth="1"/>
    <col min="12287" max="12287" width="12" customWidth="1"/>
    <col min="12288" max="12288" width="17.81640625" customWidth="1"/>
    <col min="12289" max="12289" width="17.26953125" customWidth="1"/>
    <col min="12290" max="12291" width="31" customWidth="1"/>
    <col min="12292" max="12295" width="25.1796875" customWidth="1"/>
    <col min="12542" max="12542" width="10.1796875" customWidth="1"/>
    <col min="12543" max="12543" width="12" customWidth="1"/>
    <col min="12544" max="12544" width="17.81640625" customWidth="1"/>
    <col min="12545" max="12545" width="17.26953125" customWidth="1"/>
    <col min="12546" max="12547" width="31" customWidth="1"/>
    <col min="12548" max="12551" width="25.1796875" customWidth="1"/>
    <col min="12798" max="12798" width="10.1796875" customWidth="1"/>
    <col min="12799" max="12799" width="12" customWidth="1"/>
    <col min="12800" max="12800" width="17.81640625" customWidth="1"/>
    <col min="12801" max="12801" width="17.26953125" customWidth="1"/>
    <col min="12802" max="12803" width="31" customWidth="1"/>
    <col min="12804" max="12807" width="25.1796875" customWidth="1"/>
    <col min="13054" max="13054" width="10.1796875" customWidth="1"/>
    <col min="13055" max="13055" width="12" customWidth="1"/>
    <col min="13056" max="13056" width="17.81640625" customWidth="1"/>
    <col min="13057" max="13057" width="17.26953125" customWidth="1"/>
    <col min="13058" max="13059" width="31" customWidth="1"/>
    <col min="13060" max="13063" width="25.1796875" customWidth="1"/>
    <col min="13310" max="13310" width="10.1796875" customWidth="1"/>
    <col min="13311" max="13311" width="12" customWidth="1"/>
    <col min="13312" max="13312" width="17.81640625" customWidth="1"/>
    <col min="13313" max="13313" width="17.26953125" customWidth="1"/>
    <col min="13314" max="13315" width="31" customWidth="1"/>
    <col min="13316" max="13319" width="25.1796875" customWidth="1"/>
    <col min="13566" max="13566" width="10.1796875" customWidth="1"/>
    <col min="13567" max="13567" width="12" customWidth="1"/>
    <col min="13568" max="13568" width="17.81640625" customWidth="1"/>
    <col min="13569" max="13569" width="17.26953125" customWidth="1"/>
    <col min="13570" max="13571" width="31" customWidth="1"/>
    <col min="13572" max="13575" width="25.1796875" customWidth="1"/>
    <col min="13822" max="13822" width="10.1796875" customWidth="1"/>
    <col min="13823" max="13823" width="12" customWidth="1"/>
    <col min="13824" max="13824" width="17.81640625" customWidth="1"/>
    <col min="13825" max="13825" width="17.26953125" customWidth="1"/>
    <col min="13826" max="13827" width="31" customWidth="1"/>
    <col min="13828" max="13831" width="25.1796875" customWidth="1"/>
    <col min="14078" max="14078" width="10.1796875" customWidth="1"/>
    <col min="14079" max="14079" width="12" customWidth="1"/>
    <col min="14080" max="14080" width="17.81640625" customWidth="1"/>
    <col min="14081" max="14081" width="17.26953125" customWidth="1"/>
    <col min="14082" max="14083" width="31" customWidth="1"/>
    <col min="14084" max="14087" width="25.1796875" customWidth="1"/>
    <col min="14334" max="14334" width="10.1796875" customWidth="1"/>
    <col min="14335" max="14335" width="12" customWidth="1"/>
    <col min="14336" max="14336" width="17.81640625" customWidth="1"/>
    <col min="14337" max="14337" width="17.26953125" customWidth="1"/>
    <col min="14338" max="14339" width="31" customWidth="1"/>
    <col min="14340" max="14343" width="25.1796875" customWidth="1"/>
    <col min="14590" max="14590" width="10.1796875" customWidth="1"/>
    <col min="14591" max="14591" width="12" customWidth="1"/>
    <col min="14592" max="14592" width="17.81640625" customWidth="1"/>
    <col min="14593" max="14593" width="17.26953125" customWidth="1"/>
    <col min="14594" max="14595" width="31" customWidth="1"/>
    <col min="14596" max="14599" width="25.1796875" customWidth="1"/>
    <col min="14846" max="14846" width="10.1796875" customWidth="1"/>
    <col min="14847" max="14847" width="12" customWidth="1"/>
    <col min="14848" max="14848" width="17.81640625" customWidth="1"/>
    <col min="14849" max="14849" width="17.26953125" customWidth="1"/>
    <col min="14850" max="14851" width="31" customWidth="1"/>
    <col min="14852" max="14855" width="25.1796875" customWidth="1"/>
    <col min="15102" max="15102" width="10.1796875" customWidth="1"/>
    <col min="15103" max="15103" width="12" customWidth="1"/>
    <col min="15104" max="15104" width="17.81640625" customWidth="1"/>
    <col min="15105" max="15105" width="17.26953125" customWidth="1"/>
    <col min="15106" max="15107" width="31" customWidth="1"/>
    <col min="15108" max="15111" width="25.1796875" customWidth="1"/>
    <col min="15358" max="15358" width="10.1796875" customWidth="1"/>
    <col min="15359" max="15359" width="12" customWidth="1"/>
    <col min="15360" max="15360" width="17.81640625" customWidth="1"/>
    <col min="15361" max="15361" width="17.26953125" customWidth="1"/>
    <col min="15362" max="15363" width="31" customWidth="1"/>
    <col min="15364" max="15367" width="25.1796875" customWidth="1"/>
    <col min="15614" max="15614" width="10.1796875" customWidth="1"/>
    <col min="15615" max="15615" width="12" customWidth="1"/>
    <col min="15616" max="15616" width="17.81640625" customWidth="1"/>
    <col min="15617" max="15617" width="17.26953125" customWidth="1"/>
    <col min="15618" max="15619" width="31" customWidth="1"/>
    <col min="15620" max="15623" width="25.1796875" customWidth="1"/>
    <col min="15870" max="15870" width="10.1796875" customWidth="1"/>
    <col min="15871" max="15871" width="12" customWidth="1"/>
    <col min="15872" max="15872" width="17.81640625" customWidth="1"/>
    <col min="15873" max="15873" width="17.26953125" customWidth="1"/>
    <col min="15874" max="15875" width="31" customWidth="1"/>
    <col min="15876" max="15879" width="25.1796875" customWidth="1"/>
    <col min="16126" max="16126" width="10.1796875" customWidth="1"/>
    <col min="16127" max="16127" width="12" customWidth="1"/>
    <col min="16128" max="16128" width="17.81640625" customWidth="1"/>
    <col min="16129" max="16129" width="17.26953125" customWidth="1"/>
    <col min="16130" max="16131" width="31" customWidth="1"/>
    <col min="16132" max="16135" width="25.1796875" customWidth="1"/>
  </cols>
  <sheetData>
    <row r="2" spans="2:8" ht="22" x14ac:dyDescent="0.65">
      <c r="B2" s="782" t="s">
        <v>409</v>
      </c>
    </row>
    <row r="6" spans="2:8" ht="13" x14ac:dyDescent="0.3">
      <c r="B6" s="783" t="s">
        <v>204</v>
      </c>
    </row>
    <row r="7" spans="2:8" x14ac:dyDescent="0.25">
      <c r="B7" s="1267"/>
    </row>
    <row r="8" spans="2:8" x14ac:dyDescent="0.25">
      <c r="B8" s="784"/>
      <c r="F8" t="s">
        <v>1414</v>
      </c>
      <c r="G8" t="s">
        <v>1092</v>
      </c>
      <c r="H8" t="s">
        <v>1375</v>
      </c>
    </row>
    <row r="9" spans="2:8" x14ac:dyDescent="0.25">
      <c r="B9" s="784"/>
      <c r="F9" t="s">
        <v>1376</v>
      </c>
      <c r="G9">
        <v>0.82</v>
      </c>
      <c r="H9" t="s">
        <v>1415</v>
      </c>
    </row>
    <row r="10" spans="2:8" x14ac:dyDescent="0.25">
      <c r="B10" s="784"/>
      <c r="F10" t="s">
        <v>1416</v>
      </c>
      <c r="G10">
        <v>0.95</v>
      </c>
    </row>
    <row r="11" spans="2:8" x14ac:dyDescent="0.25">
      <c r="B11" s="784"/>
      <c r="F11" t="s">
        <v>1377</v>
      </c>
      <c r="G11">
        <v>0.8</v>
      </c>
    </row>
    <row r="12" spans="2:8" x14ac:dyDescent="0.25">
      <c r="B12" s="784"/>
    </row>
    <row r="13" spans="2:8" x14ac:dyDescent="0.25">
      <c r="B13" s="784"/>
    </row>
    <row r="14" spans="2:8" x14ac:dyDescent="0.25">
      <c r="B14" s="784"/>
      <c r="F14" t="s">
        <v>1417</v>
      </c>
      <c r="G14" t="s">
        <v>1092</v>
      </c>
      <c r="H14" t="s">
        <v>1418</v>
      </c>
    </row>
    <row r="15" spans="2:8" x14ac:dyDescent="0.25">
      <c r="B15" s="784"/>
      <c r="F15" t="s">
        <v>1419</v>
      </c>
      <c r="G15">
        <v>20</v>
      </c>
    </row>
    <row r="16" spans="2:8" x14ac:dyDescent="0.25">
      <c r="B16" s="784"/>
      <c r="F16" t="s">
        <v>1420</v>
      </c>
      <c r="G16">
        <v>99.8</v>
      </c>
      <c r="H16" t="s">
        <v>1421</v>
      </c>
    </row>
    <row r="17" spans="2:2" x14ac:dyDescent="0.25">
      <c r="B17" s="784"/>
    </row>
    <row r="18" spans="2:2" x14ac:dyDescent="0.25">
      <c r="B18" s="784"/>
    </row>
    <row r="19" spans="2:2" x14ac:dyDescent="0.25">
      <c r="B19" s="784"/>
    </row>
    <row r="20" spans="2:2" x14ac:dyDescent="0.25">
      <c r="B20" s="784"/>
    </row>
    <row r="21" spans="2:2" x14ac:dyDescent="0.25">
      <c r="B21" s="784"/>
    </row>
    <row r="22" spans="2:2" x14ac:dyDescent="0.25">
      <c r="B22" s="784"/>
    </row>
    <row r="23" spans="2:2" x14ac:dyDescent="0.25">
      <c r="B23" s="784"/>
    </row>
    <row r="24" spans="2:2" x14ac:dyDescent="0.25">
      <c r="B24" s="784"/>
    </row>
    <row r="25" spans="2:2" x14ac:dyDescent="0.25">
      <c r="B25" s="784"/>
    </row>
    <row r="26" spans="2:2" x14ac:dyDescent="0.25">
      <c r="B26" s="784"/>
    </row>
    <row r="27" spans="2:2" x14ac:dyDescent="0.25">
      <c r="B27" s="784"/>
    </row>
    <row r="28" spans="2:2" x14ac:dyDescent="0.25">
      <c r="B28" s="784"/>
    </row>
    <row r="29" spans="2:2" ht="13" x14ac:dyDescent="0.3">
      <c r="B29" s="785" t="s">
        <v>205</v>
      </c>
    </row>
    <row r="30" spans="2:2" x14ac:dyDescent="0.25">
      <c r="B30" s="1267"/>
    </row>
    <row r="31" spans="2:2" x14ac:dyDescent="0.25">
      <c r="B31" s="1474" t="s">
        <v>205</v>
      </c>
    </row>
    <row r="32" spans="2:2" x14ac:dyDescent="0.25">
      <c r="B32" s="209" t="s">
        <v>1422</v>
      </c>
    </row>
    <row r="33" spans="2:8" x14ac:dyDescent="0.25">
      <c r="B33" s="784" t="s">
        <v>1423</v>
      </c>
    </row>
    <row r="34" spans="2:8" x14ac:dyDescent="0.25">
      <c r="B34" t="s">
        <v>1424</v>
      </c>
    </row>
    <row r="36" spans="2:8" ht="13" x14ac:dyDescent="0.3">
      <c r="B36" s="1" t="s">
        <v>1378</v>
      </c>
      <c r="C36" s="550">
        <v>1</v>
      </c>
      <c r="D36" s="550">
        <v>2</v>
      </c>
      <c r="E36" s="550">
        <v>3</v>
      </c>
      <c r="F36" s="550">
        <v>4</v>
      </c>
      <c r="G36" s="550">
        <v>5</v>
      </c>
      <c r="H36" s="550">
        <v>6</v>
      </c>
    </row>
    <row r="37" spans="2:8" ht="13" x14ac:dyDescent="0.3">
      <c r="B37" s="1"/>
      <c r="C37" s="550" t="s">
        <v>1379</v>
      </c>
      <c r="D37" s="550" t="s">
        <v>1088</v>
      </c>
      <c r="E37" s="550" t="s">
        <v>1380</v>
      </c>
      <c r="F37" s="550" t="s">
        <v>1404</v>
      </c>
      <c r="G37" s="550" t="s">
        <v>872</v>
      </c>
      <c r="H37" s="550" t="s">
        <v>1381</v>
      </c>
    </row>
    <row r="38" spans="2:8" x14ac:dyDescent="0.25">
      <c r="B38" t="s">
        <v>1405</v>
      </c>
      <c r="C38" s="549" t="s">
        <v>1382</v>
      </c>
      <c r="D38" s="549" t="s">
        <v>1382</v>
      </c>
      <c r="E38" s="549" t="s">
        <v>1382</v>
      </c>
      <c r="F38" s="549" t="s">
        <v>1382</v>
      </c>
      <c r="G38" s="549" t="s">
        <v>1382</v>
      </c>
      <c r="H38" s="549" t="s">
        <v>1382</v>
      </c>
    </row>
    <row r="39" spans="2:8" x14ac:dyDescent="0.25">
      <c r="B39" t="s">
        <v>1406</v>
      </c>
      <c r="C39" s="549" t="s">
        <v>1382</v>
      </c>
      <c r="D39" s="549" t="s">
        <v>1382</v>
      </c>
      <c r="E39" s="549" t="s">
        <v>1382</v>
      </c>
      <c r="F39" s="549" t="s">
        <v>1382</v>
      </c>
      <c r="G39" s="549" t="s">
        <v>1382</v>
      </c>
      <c r="H39" s="549" t="s">
        <v>1382</v>
      </c>
    </row>
    <row r="40" spans="2:8" x14ac:dyDescent="0.25">
      <c r="B40" t="s">
        <v>1383</v>
      </c>
      <c r="C40" s="549">
        <v>0</v>
      </c>
      <c r="D40" s="549">
        <v>0</v>
      </c>
      <c r="E40" s="549">
        <v>9.2999999999999992E-3</v>
      </c>
      <c r="F40" s="549">
        <v>0</v>
      </c>
      <c r="G40" s="549">
        <v>0</v>
      </c>
      <c r="H40" s="549">
        <v>8.5000000000000006E-3</v>
      </c>
    </row>
    <row r="41" spans="2:8" x14ac:dyDescent="0.25">
      <c r="B41" t="s">
        <v>1384</v>
      </c>
      <c r="C41" s="549">
        <v>0.9</v>
      </c>
      <c r="D41" s="549">
        <v>0</v>
      </c>
      <c r="E41" s="549">
        <v>0</v>
      </c>
      <c r="F41" s="549">
        <v>0</v>
      </c>
      <c r="G41" s="549">
        <v>0</v>
      </c>
      <c r="H41" s="549">
        <v>0</v>
      </c>
    </row>
    <row r="42" spans="2:8" x14ac:dyDescent="0.25">
      <c r="B42" t="s">
        <v>1385</v>
      </c>
      <c r="C42" s="549">
        <v>0.05</v>
      </c>
      <c r="D42" s="549">
        <v>0</v>
      </c>
      <c r="E42" s="549">
        <v>0</v>
      </c>
      <c r="F42" s="549">
        <v>0</v>
      </c>
      <c r="G42" s="549">
        <v>0</v>
      </c>
      <c r="H42" s="549">
        <v>0</v>
      </c>
    </row>
    <row r="43" spans="2:8" x14ac:dyDescent="0.25">
      <c r="B43" t="s">
        <v>1386</v>
      </c>
      <c r="C43" s="549">
        <v>0</v>
      </c>
      <c r="D43" s="549">
        <v>0</v>
      </c>
      <c r="E43" s="549">
        <v>4.0000000000000002E-4</v>
      </c>
      <c r="F43" s="549">
        <v>0.94289999999999996</v>
      </c>
      <c r="G43" s="549">
        <v>0</v>
      </c>
      <c r="H43" s="549">
        <v>4.4499999999999998E-2</v>
      </c>
    </row>
    <row r="44" spans="2:8" x14ac:dyDescent="0.25">
      <c r="B44" t="s">
        <v>1387</v>
      </c>
      <c r="C44" s="549">
        <v>0</v>
      </c>
      <c r="D44" s="549">
        <v>0</v>
      </c>
      <c r="E44" s="549">
        <v>0</v>
      </c>
      <c r="F44" s="549">
        <v>4.0000000000000002E-4</v>
      </c>
      <c r="G44" s="549">
        <v>0.996</v>
      </c>
      <c r="H44" s="549">
        <v>0</v>
      </c>
    </row>
    <row r="45" spans="2:8" x14ac:dyDescent="0.25">
      <c r="B45" t="s">
        <v>1388</v>
      </c>
      <c r="C45" s="549">
        <v>0</v>
      </c>
      <c r="D45" s="549">
        <v>1</v>
      </c>
      <c r="E45" s="549">
        <v>1.01E-2</v>
      </c>
      <c r="F45" s="549">
        <v>5.67E-2</v>
      </c>
      <c r="G45" s="549">
        <v>0</v>
      </c>
      <c r="H45" s="549">
        <v>0.16719999999999999</v>
      </c>
    </row>
    <row r="46" spans="2:8" x14ac:dyDescent="0.25">
      <c r="B46" t="s">
        <v>1389</v>
      </c>
      <c r="C46" s="549">
        <v>0.05</v>
      </c>
      <c r="D46" s="549">
        <v>0</v>
      </c>
      <c r="E46" s="549">
        <v>0.77239999999999998</v>
      </c>
      <c r="F46" s="549">
        <v>1E-4</v>
      </c>
      <c r="G46" s="549">
        <v>4.0000000000000001E-3</v>
      </c>
      <c r="H46" s="549">
        <v>0.71099999999999997</v>
      </c>
    </row>
    <row r="47" spans="2:8" x14ac:dyDescent="0.25">
      <c r="B47" t="s">
        <v>1390</v>
      </c>
      <c r="C47" s="549">
        <v>0</v>
      </c>
      <c r="D47" s="549">
        <v>0</v>
      </c>
      <c r="E47" s="549">
        <v>0.20780000000000001</v>
      </c>
      <c r="F47" s="549">
        <v>0</v>
      </c>
      <c r="G47" s="549">
        <v>0</v>
      </c>
      <c r="H47" s="549">
        <v>6.88E-2</v>
      </c>
    </row>
    <row r="48" spans="2:8" x14ac:dyDescent="0.25">
      <c r="C48" s="549"/>
      <c r="D48" s="549"/>
      <c r="E48" s="549"/>
      <c r="F48" s="549"/>
      <c r="G48" s="549"/>
      <c r="H48" s="549"/>
    </row>
    <row r="49" spans="2:8" x14ac:dyDescent="0.25">
      <c r="B49" t="s">
        <v>1391</v>
      </c>
      <c r="C49" s="549" t="s">
        <v>1392</v>
      </c>
      <c r="D49" s="549" t="s">
        <v>1392</v>
      </c>
      <c r="E49" s="549" t="s">
        <v>1392</v>
      </c>
      <c r="F49" s="549" t="s">
        <v>1392</v>
      </c>
      <c r="G49" s="549" t="s">
        <v>1392</v>
      </c>
      <c r="H49" s="549" t="s">
        <v>1393</v>
      </c>
    </row>
    <row r="50" spans="2:8" x14ac:dyDescent="0.25">
      <c r="C50" s="549"/>
      <c r="D50" s="549"/>
      <c r="E50" s="549"/>
      <c r="F50" s="549"/>
      <c r="G50" s="549"/>
      <c r="H50" s="549"/>
    </row>
    <row r="51" spans="2:8" x14ac:dyDescent="0.25">
      <c r="B51" t="s">
        <v>1394</v>
      </c>
      <c r="C51" s="549">
        <v>6980.5</v>
      </c>
      <c r="D51" s="549">
        <v>24431.8</v>
      </c>
      <c r="E51" s="549">
        <v>38507.599999999999</v>
      </c>
      <c r="F51" s="549">
        <v>5426.5</v>
      </c>
      <c r="G51" s="549">
        <v>16506</v>
      </c>
      <c r="H51" s="549">
        <v>42226.3</v>
      </c>
    </row>
    <row r="52" spans="2:8" x14ac:dyDescent="0.25">
      <c r="B52" t="s">
        <v>1395</v>
      </c>
      <c r="C52" s="551">
        <v>121060</v>
      </c>
      <c r="D52" s="551">
        <v>440145</v>
      </c>
      <c r="E52" s="551">
        <v>1111250</v>
      </c>
      <c r="F52" s="551">
        <v>230734</v>
      </c>
      <c r="G52" s="551">
        <v>35008</v>
      </c>
      <c r="H52" s="551">
        <v>1158220</v>
      </c>
    </row>
    <row r="53" spans="2:8" x14ac:dyDescent="0.25">
      <c r="C53" s="549"/>
      <c r="D53" s="549"/>
      <c r="E53" s="549"/>
      <c r="F53" s="549"/>
      <c r="G53" s="549"/>
      <c r="H53" s="549"/>
    </row>
    <row r="54" spans="2:8" x14ac:dyDescent="0.25">
      <c r="B54" t="s">
        <v>1396</v>
      </c>
      <c r="C54" s="549">
        <v>59</v>
      </c>
      <c r="D54" s="549">
        <v>750</v>
      </c>
      <c r="E54" s="549">
        <v>60</v>
      </c>
      <c r="F54" s="549">
        <v>121</v>
      </c>
      <c r="G54" s="549">
        <v>108</v>
      </c>
      <c r="H54" s="549">
        <v>280</v>
      </c>
    </row>
    <row r="55" spans="2:8" x14ac:dyDescent="0.25">
      <c r="B55" t="s">
        <v>1397</v>
      </c>
      <c r="C55" s="549">
        <v>450</v>
      </c>
      <c r="D55" s="549">
        <v>450</v>
      </c>
      <c r="E55" s="549">
        <v>14.7</v>
      </c>
      <c r="F55" s="549">
        <v>27</v>
      </c>
      <c r="G55" s="549">
        <v>346</v>
      </c>
      <c r="H55" s="549">
        <v>14.7</v>
      </c>
    </row>
  </sheetData>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5"/>
  <sheetViews>
    <sheetView zoomScaleNormal="100" workbookViewId="0">
      <pane ySplit="7" topLeftCell="A23" activePane="bottomLeft" state="frozen"/>
      <selection pane="bottomLeft" activeCell="F32" sqref="F32"/>
    </sheetView>
  </sheetViews>
  <sheetFormatPr defaultColWidth="9.1796875" defaultRowHeight="12.5" x14ac:dyDescent="0.25"/>
  <cols>
    <col min="1" max="1" width="4.453125" style="464" customWidth="1"/>
    <col min="2" max="2" width="62.81640625" style="29" customWidth="1"/>
    <col min="3" max="3" width="21.1796875" style="29" customWidth="1"/>
    <col min="4" max="4" width="20.1796875" style="29" customWidth="1"/>
    <col min="5" max="5" width="24.26953125" style="29" customWidth="1"/>
    <col min="6" max="6" width="21.81640625" style="29" customWidth="1"/>
    <col min="7" max="7" width="16.26953125" style="29" customWidth="1"/>
    <col min="8" max="8" width="33.7265625" style="29" bestFit="1" customWidth="1"/>
    <col min="9" max="9" width="38" style="29" bestFit="1" customWidth="1"/>
    <col min="10" max="10" width="47.26953125" style="29" customWidth="1"/>
    <col min="11" max="11" width="18.453125" style="29" customWidth="1"/>
    <col min="12" max="16384" width="9.1796875" style="29"/>
  </cols>
  <sheetData>
    <row r="1" spans="1:8" ht="8.5" customHeight="1" thickBot="1" x14ac:dyDescent="0.3">
      <c r="A1" s="984" t="s">
        <v>1288</v>
      </c>
    </row>
    <row r="2" spans="1:8" ht="27" customHeight="1" thickBot="1" x14ac:dyDescent="0.3">
      <c r="A2" s="465"/>
      <c r="B2" s="1521" t="s">
        <v>1428</v>
      </c>
      <c r="C2" s="1522"/>
      <c r="D2" s="1522"/>
      <c r="E2" s="1523"/>
      <c r="F2" s="1523"/>
      <c r="G2" s="1524"/>
    </row>
    <row r="3" spans="1:8" ht="19.899999999999999" customHeight="1" thickBot="1" x14ac:dyDescent="0.3">
      <c r="A3" s="465" t="s">
        <v>1042</v>
      </c>
      <c r="B3" s="1525" t="s">
        <v>1407</v>
      </c>
      <c r="C3" s="1526"/>
      <c r="D3" s="1527"/>
      <c r="E3" s="318"/>
      <c r="F3" s="319"/>
      <c r="G3" s="320"/>
    </row>
    <row r="4" spans="1:8" ht="6.65" customHeight="1" thickBot="1" x14ac:dyDescent="0.3">
      <c r="A4" s="465"/>
      <c r="B4" s="504"/>
      <c r="C4" s="505"/>
      <c r="D4" s="1528"/>
      <c r="E4" s="1528"/>
      <c r="F4" s="496"/>
      <c r="G4" s="497"/>
    </row>
    <row r="5" spans="1:8" ht="22.5" thickTop="1" x14ac:dyDescent="0.25">
      <c r="A5" s="465"/>
      <c r="B5" s="776" t="s">
        <v>1067</v>
      </c>
      <c r="C5" s="777"/>
      <c r="D5" s="778"/>
      <c r="E5" s="778"/>
      <c r="F5" s="499"/>
      <c r="G5" s="501"/>
    </row>
    <row r="6" spans="1:8" ht="21" customHeight="1" x14ac:dyDescent="0.25">
      <c r="A6" s="465"/>
      <c r="B6" s="1243" t="s">
        <v>203</v>
      </c>
      <c r="C6" s="505"/>
      <c r="D6" s="1199"/>
      <c r="E6" s="1199"/>
      <c r="F6" s="496"/>
      <c r="G6" s="497"/>
    </row>
    <row r="7" spans="1:8" ht="20" x14ac:dyDescent="0.25">
      <c r="A7" s="465"/>
      <c r="B7" s="1244"/>
      <c r="C7" s="505"/>
      <c r="D7" s="772"/>
      <c r="E7" s="772"/>
      <c r="F7" s="496"/>
      <c r="G7" s="497"/>
    </row>
    <row r="8" spans="1:8" ht="29.25" customHeight="1" x14ac:dyDescent="0.25">
      <c r="A8" s="465"/>
      <c r="B8" s="1243" t="s">
        <v>198</v>
      </c>
      <c r="C8" s="505"/>
      <c r="D8" s="1126"/>
      <c r="E8" s="1126"/>
      <c r="F8" s="496"/>
      <c r="G8" s="497"/>
    </row>
    <row r="9" spans="1:8" ht="20" x14ac:dyDescent="0.25">
      <c r="A9" s="465"/>
      <c r="B9" s="1244"/>
      <c r="C9" s="505"/>
      <c r="D9" s="505"/>
      <c r="E9" s="505"/>
      <c r="F9" s="496"/>
      <c r="G9" s="497"/>
    </row>
    <row r="10" spans="1:8" ht="20" x14ac:dyDescent="0.25">
      <c r="A10" s="465"/>
      <c r="B10" s="1243" t="s">
        <v>197</v>
      </c>
      <c r="C10" s="505"/>
      <c r="D10" s="505"/>
      <c r="E10" s="505"/>
      <c r="F10" s="496"/>
      <c r="G10" s="497"/>
    </row>
    <row r="11" spans="1:8" ht="20" x14ac:dyDescent="0.25">
      <c r="A11" s="465"/>
      <c r="B11" s="504"/>
      <c r="C11" s="505"/>
      <c r="D11" s="505"/>
      <c r="E11" s="505"/>
      <c r="F11" s="496"/>
      <c r="G11" s="497"/>
    </row>
    <row r="12" spans="1:8" ht="20" x14ac:dyDescent="0.25">
      <c r="A12" s="465"/>
      <c r="B12" s="504"/>
      <c r="C12" s="505"/>
      <c r="D12" s="505"/>
      <c r="E12" s="505"/>
      <c r="F12" s="496"/>
      <c r="G12" s="497"/>
    </row>
    <row r="13" spans="1:8" ht="20" x14ac:dyDescent="0.25">
      <c r="A13" s="465"/>
      <c r="B13" s="504"/>
      <c r="C13" s="505"/>
      <c r="D13" s="505"/>
      <c r="E13" s="505"/>
      <c r="F13" s="496"/>
      <c r="G13" s="497"/>
    </row>
    <row r="14" spans="1:8" ht="20" x14ac:dyDescent="0.25">
      <c r="A14" s="465"/>
      <c r="B14" s="831" t="s">
        <v>322</v>
      </c>
      <c r="C14" s="505"/>
      <c r="D14" s="505"/>
      <c r="E14" s="505"/>
      <c r="F14" s="505"/>
      <c r="G14" s="497"/>
    </row>
    <row r="15" spans="1:8" ht="20" x14ac:dyDescent="0.25">
      <c r="A15" s="465"/>
      <c r="B15" s="831" t="s">
        <v>372</v>
      </c>
      <c r="C15" s="505"/>
      <c r="D15" s="505"/>
      <c r="E15" s="505"/>
      <c r="F15" s="505"/>
      <c r="G15" s="497"/>
    </row>
    <row r="16" spans="1:8" ht="20" x14ac:dyDescent="0.25">
      <c r="A16" s="465"/>
      <c r="B16" s="831" t="s">
        <v>143</v>
      </c>
      <c r="C16" s="505"/>
      <c r="D16" s="505"/>
      <c r="E16" s="505"/>
      <c r="F16" s="505"/>
      <c r="G16" s="497"/>
      <c r="H16" s="1195" t="s">
        <v>1178</v>
      </c>
    </row>
    <row r="17" spans="1:8" ht="20" x14ac:dyDescent="0.25">
      <c r="A17" s="465"/>
      <c r="B17" s="831" t="s">
        <v>951</v>
      </c>
      <c r="C17" s="505"/>
      <c r="D17" s="505"/>
      <c r="E17" s="505"/>
      <c r="F17" s="505"/>
      <c r="G17" s="497"/>
      <c r="H17" s="1196">
        <f ca="1">+NPV</f>
        <v>2.6479376439972309E-6</v>
      </c>
    </row>
    <row r="18" spans="1:8" ht="20" x14ac:dyDescent="0.25">
      <c r="A18" s="465"/>
      <c r="B18" s="831" t="s">
        <v>354</v>
      </c>
      <c r="C18" s="505"/>
      <c r="D18" s="505"/>
      <c r="E18" s="505"/>
      <c r="F18" s="505"/>
      <c r="G18" s="497"/>
    </row>
    <row r="19" spans="1:8" ht="20" x14ac:dyDescent="0.25">
      <c r="A19" s="465"/>
      <c r="B19" s="831" t="s">
        <v>952</v>
      </c>
      <c r="C19" s="505"/>
      <c r="D19" s="505"/>
      <c r="E19" s="505"/>
      <c r="F19" s="505"/>
      <c r="G19" s="497"/>
    </row>
    <row r="20" spans="1:8" ht="20" x14ac:dyDescent="0.25">
      <c r="A20" s="465"/>
      <c r="B20" s="831" t="s">
        <v>953</v>
      </c>
      <c r="C20" s="505"/>
      <c r="D20" s="505"/>
      <c r="E20" s="505"/>
      <c r="F20" s="505"/>
      <c r="G20" s="497"/>
    </row>
    <row r="21" spans="1:8" ht="5.5" customHeight="1" x14ac:dyDescent="0.25">
      <c r="A21" s="465"/>
      <c r="B21" s="829"/>
      <c r="C21" s="505"/>
      <c r="D21" s="772"/>
      <c r="E21" s="772"/>
      <c r="F21" s="496"/>
      <c r="G21" s="497"/>
    </row>
    <row r="22" spans="1:8" ht="5.5" customHeight="1" x14ac:dyDescent="0.25">
      <c r="A22" s="465"/>
      <c r="E22" s="772"/>
      <c r="F22" s="496"/>
      <c r="G22" s="497"/>
    </row>
    <row r="23" spans="1:8" ht="5.5" customHeight="1" thickBot="1" x14ac:dyDescent="0.3">
      <c r="A23" s="465"/>
      <c r="B23" s="504"/>
      <c r="C23" s="505"/>
      <c r="D23" s="772"/>
      <c r="E23" s="772"/>
      <c r="F23" s="496"/>
      <c r="G23" s="497"/>
    </row>
    <row r="24" spans="1:8" ht="31.5" customHeight="1" thickTop="1" thickBot="1" x14ac:dyDescent="0.3">
      <c r="A24" s="465"/>
      <c r="B24" s="498" t="s">
        <v>322</v>
      </c>
      <c r="C24" s="500"/>
      <c r="D24" s="500"/>
      <c r="E24" s="1532" t="s">
        <v>441</v>
      </c>
      <c r="F24" s="1532"/>
      <c r="G24" s="1533"/>
    </row>
    <row r="25" spans="1:8" ht="17.149999999999999" customHeight="1" thickBot="1" x14ac:dyDescent="0.3">
      <c r="A25" s="465" t="s">
        <v>8</v>
      </c>
      <c r="B25" s="321" t="s">
        <v>334</v>
      </c>
      <c r="C25" s="856">
        <f ca="1">0.9*sensitivity_01</f>
        <v>0.9</v>
      </c>
      <c r="D25" s="471"/>
      <c r="E25" s="1534"/>
      <c r="F25" s="1534"/>
      <c r="G25" s="1535"/>
    </row>
    <row r="26" spans="1:8" ht="17.149999999999999" customHeight="1" thickBot="1" x14ac:dyDescent="0.3">
      <c r="A26" s="465" t="s">
        <v>26</v>
      </c>
      <c r="B26" s="321" t="s">
        <v>335</v>
      </c>
      <c r="C26" s="556">
        <f ca="1">379387*sensitivity_02</f>
        <v>379387</v>
      </c>
      <c r="D26" s="471"/>
      <c r="E26" s="1534"/>
      <c r="F26" s="1534"/>
      <c r="G26" s="1535"/>
    </row>
    <row r="27" spans="1:8" ht="17.149999999999999" customHeight="1" thickBot="1" x14ac:dyDescent="0.3">
      <c r="A27" s="465"/>
      <c r="B27" s="321" t="s">
        <v>430</v>
      </c>
      <c r="C27" s="857">
        <f ca="1">design_cap*cap_factor</f>
        <v>341448.3</v>
      </c>
      <c r="D27" s="471"/>
      <c r="E27" s="242"/>
      <c r="F27" s="242"/>
      <c r="G27" s="553"/>
    </row>
    <row r="28" spans="1:8" ht="17.149999999999999" customHeight="1" thickBot="1" x14ac:dyDescent="0.3">
      <c r="A28" s="465" t="s">
        <v>1009</v>
      </c>
      <c r="B28" s="321" t="s">
        <v>20</v>
      </c>
      <c r="C28" s="502">
        <f ca="1">output_kgpday*365</f>
        <v>124628629.5</v>
      </c>
      <c r="D28" s="471"/>
      <c r="E28" s="1536"/>
      <c r="F28" s="1534"/>
      <c r="G28" s="1535"/>
    </row>
    <row r="29" spans="1:8" ht="20.149999999999999" customHeight="1" thickTop="1" thickBot="1" x14ac:dyDescent="0.3">
      <c r="A29" s="465"/>
      <c r="B29" s="498" t="s">
        <v>372</v>
      </c>
      <c r="C29" s="500"/>
      <c r="D29" s="503"/>
      <c r="E29" s="1532" t="s">
        <v>1099</v>
      </c>
      <c r="F29" s="1532"/>
      <c r="G29" s="1533"/>
    </row>
    <row r="30" spans="1:8" ht="17.149999999999999" customHeight="1" thickBot="1" x14ac:dyDescent="0.3">
      <c r="A30" s="465" t="s">
        <v>1025</v>
      </c>
      <c r="B30" s="322" t="s">
        <v>1026</v>
      </c>
      <c r="C30" s="1268">
        <v>2016</v>
      </c>
      <c r="D30" s="471"/>
      <c r="E30" s="1529"/>
      <c r="F30" s="1529"/>
      <c r="G30" s="1518"/>
    </row>
    <row r="31" spans="1:8" ht="17.149999999999999" customHeight="1" thickBot="1" x14ac:dyDescent="0.3">
      <c r="A31" s="465" t="s">
        <v>182</v>
      </c>
      <c r="B31" s="321" t="s">
        <v>373</v>
      </c>
      <c r="C31" s="1268">
        <v>2040</v>
      </c>
      <c r="D31" s="471"/>
      <c r="E31" s="1529"/>
      <c r="F31" s="1529"/>
      <c r="G31" s="1518"/>
    </row>
    <row r="32" spans="1:8" ht="17.149999999999999" customHeight="1" thickBot="1" x14ac:dyDescent="0.3">
      <c r="A32" s="465"/>
      <c r="B32" s="321" t="s">
        <v>841</v>
      </c>
      <c r="C32" s="858">
        <v>2005</v>
      </c>
      <c r="D32" s="1530" t="s">
        <v>1098</v>
      </c>
      <c r="E32" s="1002"/>
      <c r="F32" s="1002"/>
      <c r="G32" s="1003"/>
    </row>
    <row r="33" spans="1:7" ht="17.149999999999999" customHeight="1" thickBot="1" x14ac:dyDescent="0.3">
      <c r="A33" s="465" t="s">
        <v>10</v>
      </c>
      <c r="B33" s="321" t="s">
        <v>374</v>
      </c>
      <c r="C33" s="858">
        <v>3</v>
      </c>
      <c r="D33" s="1530"/>
      <c r="E33" s="1537"/>
      <c r="F33" s="1537"/>
      <c r="G33" s="1538"/>
    </row>
    <row r="34" spans="1:7" ht="17.149999999999999" customHeight="1" thickBot="1" x14ac:dyDescent="0.3">
      <c r="A34" s="465" t="s">
        <v>161</v>
      </c>
      <c r="B34" s="321" t="s">
        <v>945</v>
      </c>
      <c r="C34" s="859">
        <v>0.08</v>
      </c>
      <c r="D34" s="986"/>
      <c r="E34" s="1529"/>
      <c r="F34" s="1529"/>
      <c r="G34" s="1518"/>
    </row>
    <row r="35" spans="1:7" ht="17.149999999999999" customHeight="1" thickBot="1" x14ac:dyDescent="0.3">
      <c r="A35" s="465" t="s">
        <v>162</v>
      </c>
      <c r="B35" s="321" t="s">
        <v>375</v>
      </c>
      <c r="C35" s="859">
        <v>0.6</v>
      </c>
      <c r="D35" s="986"/>
      <c r="E35" s="1529"/>
      <c r="F35" s="1529"/>
      <c r="G35" s="1518"/>
    </row>
    <row r="36" spans="1:7" ht="17.149999999999999" customHeight="1" thickBot="1" x14ac:dyDescent="0.3">
      <c r="A36" s="465" t="s">
        <v>163</v>
      </c>
      <c r="B36" s="323" t="s">
        <v>376</v>
      </c>
      <c r="C36" s="859">
        <v>0.32</v>
      </c>
      <c r="D36" s="986"/>
      <c r="E36" s="1529"/>
      <c r="F36" s="1529"/>
      <c r="G36" s="1518"/>
    </row>
    <row r="37" spans="1:7" ht="17.149999999999999" customHeight="1" thickBot="1" x14ac:dyDescent="0.3">
      <c r="A37" s="465" t="s">
        <v>164</v>
      </c>
      <c r="B37" s="323" t="s">
        <v>323</v>
      </c>
      <c r="C37" s="859"/>
      <c r="D37" s="471"/>
      <c r="E37" s="1529"/>
      <c r="F37" s="1529"/>
      <c r="G37" s="1518"/>
    </row>
    <row r="38" spans="1:7" ht="17.149999999999999" customHeight="1" thickBot="1" x14ac:dyDescent="0.3">
      <c r="A38" s="465" t="s">
        <v>181</v>
      </c>
      <c r="B38" s="321" t="s">
        <v>378</v>
      </c>
      <c r="C38" s="858">
        <v>1</v>
      </c>
      <c r="D38" s="471"/>
      <c r="E38" s="1529"/>
      <c r="F38" s="1529"/>
      <c r="G38" s="1518"/>
    </row>
    <row r="39" spans="1:7" ht="17.149999999999999" customHeight="1" thickBot="1" x14ac:dyDescent="0.3">
      <c r="A39" s="465" t="s">
        <v>170</v>
      </c>
      <c r="B39" s="321" t="s">
        <v>379</v>
      </c>
      <c r="C39" s="858">
        <v>40</v>
      </c>
      <c r="D39" s="471"/>
      <c r="E39" s="1529"/>
      <c r="F39" s="1529"/>
      <c r="G39" s="1518"/>
    </row>
    <row r="40" spans="1:7" ht="17.149999999999999" customHeight="1" thickBot="1" x14ac:dyDescent="0.3">
      <c r="A40" s="465" t="s">
        <v>7</v>
      </c>
      <c r="B40" s="321" t="s">
        <v>380</v>
      </c>
      <c r="C40" s="858">
        <v>40</v>
      </c>
      <c r="D40" s="471"/>
      <c r="E40" s="1529"/>
      <c r="F40" s="1529"/>
      <c r="G40" s="1518"/>
    </row>
    <row r="41" spans="1:7" ht="17.149999999999999" customHeight="1" thickBot="1" x14ac:dyDescent="0.3">
      <c r="A41" s="465" t="s">
        <v>24</v>
      </c>
      <c r="B41" s="321" t="s">
        <v>381</v>
      </c>
      <c r="C41" s="858">
        <v>20</v>
      </c>
      <c r="D41" s="471"/>
      <c r="E41" s="1529"/>
      <c r="F41" s="1529"/>
      <c r="G41" s="1518"/>
    </row>
    <row r="42" spans="1:7" ht="17.149999999999999" customHeight="1" thickBot="1" x14ac:dyDescent="0.3">
      <c r="A42" s="465" t="s">
        <v>25</v>
      </c>
      <c r="B42" s="321" t="s">
        <v>389</v>
      </c>
      <c r="C42" s="858" t="s">
        <v>438</v>
      </c>
      <c r="D42" s="471"/>
      <c r="E42" s="1529"/>
      <c r="F42" s="1529"/>
      <c r="G42" s="1518"/>
    </row>
    <row r="43" spans="1:7" ht="17.149999999999999" customHeight="1" thickBot="1" x14ac:dyDescent="0.3">
      <c r="A43" s="465" t="s">
        <v>247</v>
      </c>
      <c r="B43" s="321" t="s">
        <v>19</v>
      </c>
      <c r="C43" s="860">
        <v>0.4</v>
      </c>
      <c r="D43" s="471"/>
      <c r="E43" s="1529"/>
      <c r="F43" s="1529"/>
      <c r="G43" s="1518"/>
    </row>
    <row r="44" spans="1:7" ht="17.149999999999999" customHeight="1" thickBot="1" x14ac:dyDescent="0.3">
      <c r="A44" s="465" t="s">
        <v>13</v>
      </c>
      <c r="B44" s="321" t="s">
        <v>388</v>
      </c>
      <c r="C44" s="1441">
        <v>3.6999999999999998E-2</v>
      </c>
      <c r="D44" s="471"/>
      <c r="E44" s="1531"/>
      <c r="F44" s="1529"/>
      <c r="G44" s="1518"/>
    </row>
    <row r="45" spans="1:7" ht="17.149999999999999" customHeight="1" thickBot="1" x14ac:dyDescent="0.3">
      <c r="A45" s="465" t="s">
        <v>14</v>
      </c>
      <c r="B45" s="321" t="s">
        <v>382</v>
      </c>
      <c r="C45" s="1500">
        <v>0</v>
      </c>
      <c r="D45" s="471"/>
      <c r="E45" s="1531" t="s">
        <v>1427</v>
      </c>
      <c r="F45" s="1531"/>
      <c r="G45" s="1504"/>
    </row>
    <row r="46" spans="1:7" ht="17.149999999999999" customHeight="1" thickBot="1" x14ac:dyDescent="0.3">
      <c r="A46" s="465" t="s">
        <v>165</v>
      </c>
      <c r="B46" s="321" t="s">
        <v>383</v>
      </c>
      <c r="C46" s="859">
        <v>0.75</v>
      </c>
      <c r="D46" s="471"/>
      <c r="E46" s="1529"/>
      <c r="F46" s="1529"/>
      <c r="G46" s="1518"/>
    </row>
    <row r="47" spans="1:7" ht="17.149999999999999" customHeight="1" thickBot="1" x14ac:dyDescent="0.3">
      <c r="A47" s="465" t="s">
        <v>167</v>
      </c>
      <c r="B47" s="321" t="s">
        <v>384</v>
      </c>
      <c r="C47" s="859">
        <v>0.5</v>
      </c>
      <c r="D47" s="471"/>
      <c r="E47" s="1529"/>
      <c r="F47" s="1529"/>
      <c r="G47" s="1518"/>
    </row>
    <row r="48" spans="1:7" ht="17.149999999999999" customHeight="1" thickBot="1" x14ac:dyDescent="0.3">
      <c r="A48" s="465" t="s">
        <v>168</v>
      </c>
      <c r="B48" s="321" t="s">
        <v>385</v>
      </c>
      <c r="C48" s="859">
        <v>0.75</v>
      </c>
      <c r="D48" s="471"/>
      <c r="E48" s="1529"/>
      <c r="F48" s="1529"/>
      <c r="G48" s="1518"/>
    </row>
    <row r="49" spans="1:7" ht="17.149999999999999" customHeight="1" thickBot="1" x14ac:dyDescent="0.3">
      <c r="A49" s="465" t="s">
        <v>18</v>
      </c>
      <c r="B49" s="321" t="s">
        <v>386</v>
      </c>
      <c r="C49" s="859">
        <v>0.1</v>
      </c>
      <c r="D49" s="471"/>
      <c r="E49" s="1529"/>
      <c r="F49" s="1529"/>
      <c r="G49" s="1518"/>
    </row>
    <row r="50" spans="1:7" ht="17.149999999999999" customHeight="1" thickBot="1" x14ac:dyDescent="0.3">
      <c r="A50" s="465" t="s">
        <v>178</v>
      </c>
      <c r="B50" s="321" t="s">
        <v>387</v>
      </c>
      <c r="C50" s="859">
        <v>0.1</v>
      </c>
      <c r="D50" s="471"/>
      <c r="E50" s="1529"/>
      <c r="F50" s="1529"/>
      <c r="G50" s="1518"/>
    </row>
    <row r="51" spans="1:7" ht="17.149999999999999" customHeight="1" thickBot="1" x14ac:dyDescent="0.3">
      <c r="A51" s="465" t="s">
        <v>30</v>
      </c>
      <c r="B51" s="321" t="s">
        <v>978</v>
      </c>
      <c r="C51" s="856">
        <v>1.9E-2</v>
      </c>
      <c r="D51" s="471"/>
      <c r="E51" s="1529"/>
      <c r="F51" s="1529"/>
      <c r="G51" s="1518"/>
    </row>
    <row r="52" spans="1:7" ht="17.149999999999999" customHeight="1" thickBot="1" x14ac:dyDescent="0.3">
      <c r="A52" s="465" t="s">
        <v>174</v>
      </c>
      <c r="B52" s="321" t="s">
        <v>1020</v>
      </c>
      <c r="C52" s="856">
        <f ca="1">0.08*sensitivity_03</f>
        <v>0.08</v>
      </c>
      <c r="D52" s="471"/>
      <c r="E52" s="1531"/>
      <c r="F52" s="1529"/>
      <c r="G52" s="1518"/>
    </row>
    <row r="53" spans="1:7" ht="17.149999999999999" customHeight="1" thickBot="1" x14ac:dyDescent="0.3">
      <c r="A53" s="465" t="s">
        <v>184</v>
      </c>
      <c r="B53" s="321" t="s">
        <v>1021</v>
      </c>
      <c r="C53" s="856">
        <v>0.06</v>
      </c>
      <c r="D53" s="471"/>
      <c r="E53" s="1529"/>
      <c r="F53" s="1529"/>
      <c r="G53" s="1518"/>
    </row>
    <row r="54" spans="1:7" ht="17.149999999999999" customHeight="1" thickBot="1" x14ac:dyDescent="0.3">
      <c r="A54" s="465" t="s">
        <v>28</v>
      </c>
      <c r="B54" s="321" t="s">
        <v>977</v>
      </c>
      <c r="C54" s="470">
        <v>0.21</v>
      </c>
      <c r="D54" s="471"/>
      <c r="E54" s="1529"/>
      <c r="F54" s="1529"/>
      <c r="G54" s="1518"/>
    </row>
    <row r="55" spans="1:7" ht="17.149999999999999" customHeight="1" thickBot="1" x14ac:dyDescent="0.3">
      <c r="A55" s="465" t="s">
        <v>1017</v>
      </c>
      <c r="B55" s="321" t="s">
        <v>21</v>
      </c>
      <c r="C55" s="861">
        <f>fed_tax_rate+state_tax_rate*(1-fed_tax_rate)</f>
        <v>0.25739999999999996</v>
      </c>
      <c r="D55" s="472"/>
      <c r="E55" s="1540"/>
      <c r="F55" s="1529"/>
      <c r="G55" s="1518"/>
    </row>
    <row r="56" spans="1:7" ht="17.149999999999999" customHeight="1" thickBot="1" x14ac:dyDescent="0.3">
      <c r="A56" s="465" t="s">
        <v>189</v>
      </c>
      <c r="B56" s="321" t="s">
        <v>371</v>
      </c>
      <c r="C56" s="473">
        <v>0.15</v>
      </c>
      <c r="D56" s="471"/>
      <c r="E56" s="1529"/>
      <c r="F56" s="1529"/>
      <c r="G56" s="1518"/>
    </row>
    <row r="57" spans="1:7" ht="18.75" customHeight="1" thickTop="1" x14ac:dyDescent="0.3">
      <c r="A57" s="465"/>
      <c r="B57" s="506" t="s">
        <v>1043</v>
      </c>
      <c r="C57" s="833"/>
      <c r="D57" s="827"/>
      <c r="E57" s="827"/>
      <c r="F57" s="827"/>
      <c r="G57" s="828"/>
    </row>
    <row r="58" spans="1:7" ht="21" customHeight="1" thickBot="1" x14ac:dyDescent="0.3">
      <c r="A58" s="465"/>
      <c r="B58" s="432" t="s">
        <v>275</v>
      </c>
      <c r="C58" s="490"/>
      <c r="D58" s="434"/>
      <c r="E58" s="433"/>
      <c r="F58" s="433"/>
      <c r="G58" s="435"/>
    </row>
    <row r="59" spans="1:7" ht="23.25" customHeight="1" thickBot="1" x14ac:dyDescent="0.3">
      <c r="A59" s="465"/>
      <c r="B59" s="476" t="s">
        <v>1290</v>
      </c>
      <c r="C59" s="490"/>
      <c r="D59" s="434"/>
      <c r="E59" s="433"/>
      <c r="F59" s="1539" t="s">
        <v>714</v>
      </c>
      <c r="G59" s="435"/>
    </row>
    <row r="60" spans="1:7" ht="18.75" customHeight="1" thickBot="1" x14ac:dyDescent="0.3">
      <c r="A60" s="465"/>
      <c r="B60" s="432" t="s">
        <v>696</v>
      </c>
      <c r="C60" s="433"/>
      <c r="D60" s="434"/>
      <c r="E60" s="433"/>
      <c r="F60" s="1539"/>
      <c r="G60" s="435"/>
    </row>
    <row r="61" spans="1:7" ht="17.149999999999999" customHeight="1" thickBot="1" x14ac:dyDescent="0.3">
      <c r="A61" s="465"/>
      <c r="B61" s="476" t="s">
        <v>1352</v>
      </c>
      <c r="C61" s="436" t="str">
        <f>IF(OR(TMP_FeedType="Feedstock",TMP_FeedType = "Utility")," Enter usage in","Enter production in")</f>
        <v xml:space="preserve"> Enter usage in</v>
      </c>
      <c r="D61" s="436" t="str">
        <f ca="1">VLOOKUP(TMP_FeedName,INDIRECT(TMP_PriceTable),4,FALSE)</f>
        <v>kWh</v>
      </c>
      <c r="E61" s="433"/>
      <c r="F61" s="1539"/>
      <c r="G61" s="435"/>
    </row>
    <row r="62" spans="1:7" ht="17.149999999999999" customHeight="1" thickBot="1" x14ac:dyDescent="0.3">
      <c r="A62" s="465"/>
      <c r="B62" s="432" t="s">
        <v>697</v>
      </c>
      <c r="C62" s="436"/>
      <c r="D62" s="436"/>
      <c r="E62" s="433"/>
      <c r="F62" s="1539"/>
      <c r="G62" s="435"/>
    </row>
    <row r="63" spans="1:7" ht="17.149999999999999" customHeight="1" thickBot="1" x14ac:dyDescent="0.3">
      <c r="A63" s="465"/>
      <c r="B63" s="1197" t="s">
        <v>698</v>
      </c>
      <c r="C63" s="434"/>
      <c r="D63" s="434"/>
      <c r="E63" s="433"/>
      <c r="F63" s="1539"/>
      <c r="G63" s="435"/>
    </row>
    <row r="64" spans="1:7" ht="17.149999999999999" customHeight="1" thickBot="1" x14ac:dyDescent="0.3">
      <c r="A64" s="465"/>
      <c r="B64" s="892"/>
      <c r="C64" s="434"/>
      <c r="D64" s="434"/>
      <c r="E64" s="433"/>
      <c r="F64" s="1539"/>
      <c r="G64" s="435"/>
    </row>
    <row r="65" spans="1:8" ht="37.5" customHeight="1" thickBot="1" x14ac:dyDescent="0.3">
      <c r="A65" s="465"/>
      <c r="B65" s="445" t="str">
        <f>SELECTED_FEED</f>
        <v>utility</v>
      </c>
      <c r="C65" s="547" t="str">
        <f>TMP_FeedName</f>
        <v>Industrial Electricity</v>
      </c>
      <c r="D65" s="548"/>
      <c r="E65" s="438"/>
      <c r="F65" s="1539"/>
      <c r="G65" s="435"/>
    </row>
    <row r="66" spans="1:8" ht="19" customHeight="1" thickBot="1" x14ac:dyDescent="0.3">
      <c r="A66" s="465"/>
      <c r="B66" s="446" t="str">
        <f ca="1">"Price Conversion Factor (GJ/"&amp;TMP_Units&amp;")"</f>
        <v>Price Conversion Factor (GJ/kWh)</v>
      </c>
      <c r="C66" s="457">
        <f ca="1">VLOOKUP(TMP_FeedName,MASTER_PROPERTY_TABLE,9,FALSE)</f>
        <v>3.5999999999999995E-3</v>
      </c>
      <c r="D66" s="439"/>
      <c r="E66" s="438"/>
      <c r="F66" s="1539"/>
      <c r="G66" s="435"/>
    </row>
    <row r="67" spans="1:8" ht="19" customHeight="1" thickBot="1" x14ac:dyDescent="0.3">
      <c r="A67" s="465"/>
      <c r="B67" s="837" t="str">
        <f ca="1">"Price in Startup Year ($" &amp; ref_year &amp; ")/" &amp; TMP_Units</f>
        <v>Price in Startup Year ($2016)/kWh</v>
      </c>
      <c r="C67" s="1269">
        <f ca="1">HLOOKUP(startup_year,INDIRECT(TMP_PriceTable),MATCH(TMP_FeedName,INDIRECT(Energy_Feed_List),0),FALSE)*TMP_Conversion</f>
        <v>7.7596976084681746E-2</v>
      </c>
      <c r="D67" s="440"/>
      <c r="E67" s="441"/>
      <c r="F67" s="1539"/>
      <c r="G67" s="435"/>
    </row>
    <row r="68" spans="1:8" ht="19" customHeight="1" thickBot="1" x14ac:dyDescent="0.35">
      <c r="A68" s="465"/>
      <c r="B68" s="446" t="str">
        <f ca="1">IF(OR(TMP_FeedType="Feedstock",TMP_FeedType = "Utility"),"Usage ("&amp;TMP_Units&amp;"/kg H2)","Production ("&amp;TMP_Units&amp;"/kg H2)")</f>
        <v>Usage (kWh/kg H2)</v>
      </c>
      <c r="C68" s="911">
        <v>0.6</v>
      </c>
      <c r="D68" s="441"/>
      <c r="E68" s="438"/>
      <c r="F68" s="1539"/>
      <c r="G68" s="435"/>
    </row>
    <row r="69" spans="1:8" ht="19" customHeight="1" thickBot="1" x14ac:dyDescent="0.3">
      <c r="A69" s="465"/>
      <c r="B69" s="447" t="str">
        <f>IF(OR(TMP_FeedType = "Feedstock",TMP_FeedType = "Utility"), "Cost in Startup Year","Income in Startup Year")</f>
        <v>Cost in Startup Year</v>
      </c>
      <c r="C69" s="462">
        <f ca="1">design_cap*365*cap_factor*TMP_Usage*TMP_StartPrice</f>
        <v>5802482.8696668977</v>
      </c>
      <c r="D69" s="439"/>
      <c r="E69" s="438"/>
      <c r="F69" s="433"/>
      <c r="G69" s="435"/>
    </row>
    <row r="70" spans="1:8" ht="19" customHeight="1" thickBot="1" x14ac:dyDescent="0.3">
      <c r="A70" s="465"/>
      <c r="B70" s="446" t="s">
        <v>262</v>
      </c>
      <c r="C70" s="456" t="s">
        <v>711</v>
      </c>
      <c r="D70" s="439"/>
      <c r="E70" s="438"/>
      <c r="F70" s="433"/>
      <c r="G70" s="435"/>
    </row>
    <row r="71" spans="1:8" s="434" customFormat="1" ht="19" customHeight="1" x14ac:dyDescent="0.25">
      <c r="A71" s="906"/>
      <c r="B71" s="907"/>
      <c r="C71" s="908"/>
      <c r="D71" s="439"/>
      <c r="E71" s="438"/>
      <c r="F71" s="433"/>
      <c r="G71" s="435"/>
      <c r="H71" s="29"/>
    </row>
    <row r="72" spans="1:8" ht="27" customHeight="1" thickBot="1" x14ac:dyDescent="0.35">
      <c r="A72" s="466"/>
      <c r="B72" s="909" t="s">
        <v>715</v>
      </c>
      <c r="C72" s="443"/>
      <c r="D72" s="443"/>
      <c r="E72" s="443"/>
      <c r="F72" s="443"/>
      <c r="G72" s="444"/>
    </row>
    <row r="73" spans="1:8" ht="28" customHeight="1" x14ac:dyDescent="0.25">
      <c r="A73" s="466" t="s">
        <v>15</v>
      </c>
      <c r="B73" s="458"/>
      <c r="C73" s="459"/>
      <c r="D73" s="459"/>
      <c r="E73" s="459"/>
      <c r="F73" s="460"/>
      <c r="G73" s="461"/>
    </row>
    <row r="74" spans="1:8" ht="28" customHeight="1" x14ac:dyDescent="0.25">
      <c r="A74" s="466"/>
      <c r="B74" s="458" t="s">
        <v>833</v>
      </c>
      <c r="C74" s="459" t="s">
        <v>1353</v>
      </c>
      <c r="D74" s="459" t="s">
        <v>1354</v>
      </c>
      <c r="E74" s="459" t="s">
        <v>1355</v>
      </c>
      <c r="F74" s="460" t="s">
        <v>834</v>
      </c>
      <c r="G74" s="461" t="s">
        <v>262</v>
      </c>
    </row>
    <row r="75" spans="1:8" ht="28" customHeight="1" x14ac:dyDescent="0.25">
      <c r="A75" s="466"/>
      <c r="B75" s="458" t="s">
        <v>283</v>
      </c>
      <c r="C75" s="459">
        <v>1.0549999999999999</v>
      </c>
      <c r="D75" s="459">
        <v>5.9307141943176465</v>
      </c>
      <c r="E75" s="459">
        <f ca="1">0.1558*sensitivity_04</f>
        <v>0.15579999999999999</v>
      </c>
      <c r="F75" s="460">
        <f ca="1">+feedstockIndustrial_Natural_Gas_Usage*feedstockIndustrial_Natural_Gas_Price*output_kgyear*(1+inflation_rate)^(startup_year-ref_year)*percnt_var</f>
        <v>135685658.81647113</v>
      </c>
      <c r="G75" s="461" t="s">
        <v>711</v>
      </c>
    </row>
    <row r="76" spans="1:8" ht="28" customHeight="1" x14ac:dyDescent="0.25">
      <c r="A76" s="466" t="s">
        <v>15</v>
      </c>
      <c r="B76" s="458"/>
      <c r="C76" s="459"/>
      <c r="D76" s="459"/>
      <c r="E76" s="459"/>
      <c r="F76" s="460"/>
      <c r="G76" s="461"/>
    </row>
    <row r="77" spans="1:8" ht="28" customHeight="1" x14ac:dyDescent="0.25">
      <c r="A77" s="466"/>
      <c r="B77" s="458" t="s">
        <v>1352</v>
      </c>
      <c r="C77" s="459" t="s">
        <v>1349</v>
      </c>
      <c r="D77" s="459" t="s">
        <v>1350</v>
      </c>
      <c r="E77" s="459" t="s">
        <v>1356</v>
      </c>
      <c r="F77" s="460" t="s">
        <v>834</v>
      </c>
      <c r="G77" s="461" t="s">
        <v>262</v>
      </c>
    </row>
    <row r="78" spans="1:8" ht="28" customHeight="1" x14ac:dyDescent="0.25">
      <c r="A78" s="466"/>
      <c r="B78" s="458" t="s">
        <v>698</v>
      </c>
      <c r="C78" s="459">
        <v>3.5999999999999995E-3</v>
      </c>
      <c r="D78" s="459">
        <v>7.7596976084681746E-2</v>
      </c>
      <c r="E78" s="459">
        <f ca="1">0.6*sensitivity_05</f>
        <v>0.6</v>
      </c>
      <c r="F78" s="460">
        <f ca="1">utilityIndustrial_Electricity_Price*utilityIndustrial_Electricity_Usage*output_kgyear*(1+inflation_rate)^(startup_year-ref_year)*percnt_var</f>
        <v>6836842.0487984661</v>
      </c>
      <c r="G78" s="461" t="s">
        <v>711</v>
      </c>
    </row>
    <row r="79" spans="1:8" ht="28" customHeight="1" x14ac:dyDescent="0.25">
      <c r="A79" s="465" t="s">
        <v>273</v>
      </c>
      <c r="B79" s="458"/>
      <c r="C79" s="459"/>
      <c r="D79" s="459"/>
      <c r="E79" s="459"/>
      <c r="F79" s="460"/>
      <c r="G79" s="461"/>
    </row>
    <row r="80" spans="1:8" ht="28" customHeight="1" x14ac:dyDescent="0.25">
      <c r="A80" s="467" t="s">
        <v>274</v>
      </c>
      <c r="B80" s="459"/>
      <c r="C80" s="459"/>
      <c r="D80" s="459"/>
      <c r="E80" s="459"/>
      <c r="F80" s="460"/>
      <c r="G80" s="461"/>
    </row>
    <row r="81" spans="1:8" ht="17.149999999999999" customHeight="1" thickBot="1" x14ac:dyDescent="0.3">
      <c r="A81" s="467"/>
      <c r="B81" s="326"/>
      <c r="C81" s="326"/>
      <c r="D81" s="332"/>
      <c r="E81" s="332"/>
      <c r="F81" s="329" t="s">
        <v>58</v>
      </c>
      <c r="G81" s="331"/>
    </row>
    <row r="82" spans="1:8" ht="17.149999999999999" customHeight="1" thickBot="1" x14ac:dyDescent="0.3">
      <c r="A82" s="465" t="s">
        <v>251</v>
      </c>
      <c r="B82" s="333" t="s">
        <v>277</v>
      </c>
      <c r="C82" s="329"/>
      <c r="D82" s="332"/>
      <c r="E82" s="332"/>
      <c r="F82" s="245">
        <f ca="1">SUM(Dynamic_Feed_Total)</f>
        <v>135685658.81647113</v>
      </c>
      <c r="G82" s="331"/>
    </row>
    <row r="83" spans="1:8" ht="17.149999999999999" customHeight="1" thickBot="1" x14ac:dyDescent="0.3">
      <c r="A83" s="465" t="s">
        <v>252</v>
      </c>
      <c r="B83" s="333" t="s">
        <v>278</v>
      </c>
      <c r="C83" s="329"/>
      <c r="D83" s="332"/>
      <c r="E83" s="332"/>
      <c r="F83" s="245">
        <f ca="1">SUM(Dynamic_Utilities_Total)</f>
        <v>6836842.0487984661</v>
      </c>
      <c r="G83" s="331"/>
    </row>
    <row r="84" spans="1:8" ht="17.149999999999999" customHeight="1" thickBot="1" x14ac:dyDescent="0.3">
      <c r="A84" s="465" t="s">
        <v>256</v>
      </c>
      <c r="B84" s="324" t="s">
        <v>276</v>
      </c>
      <c r="C84" s="329"/>
      <c r="D84" s="332"/>
      <c r="E84" s="332"/>
      <c r="F84" s="245">
        <f>SUM(Dynamic_Byproduct_Total)</f>
        <v>0</v>
      </c>
      <c r="G84" s="331"/>
    </row>
    <row r="85" spans="1:8" ht="38.25" customHeight="1" x14ac:dyDescent="0.25">
      <c r="A85" s="465"/>
      <c r="B85" s="324"/>
      <c r="C85" s="319"/>
      <c r="D85" s="834" t="s">
        <v>317</v>
      </c>
      <c r="E85" s="1534"/>
      <c r="F85" s="1534"/>
      <c r="G85" s="1535"/>
    </row>
    <row r="86" spans="1:8" ht="28.5" customHeight="1" thickBot="1" x14ac:dyDescent="0.3">
      <c r="A86" s="465"/>
      <c r="B86" s="324"/>
      <c r="C86" s="319"/>
      <c r="D86" s="434"/>
      <c r="E86" s="1541"/>
      <c r="F86" s="1541"/>
      <c r="G86" s="1542"/>
    </row>
    <row r="87" spans="1:8" ht="17.149999999999999" customHeight="1" thickTop="1" thickBot="1" x14ac:dyDescent="0.3">
      <c r="A87" s="465"/>
      <c r="B87" s="498" t="s">
        <v>83</v>
      </c>
      <c r="C87" s="499"/>
      <c r="D87" s="499"/>
      <c r="E87" s="1532" t="s">
        <v>441</v>
      </c>
      <c r="F87" s="1532"/>
      <c r="G87" s="1533"/>
    </row>
    <row r="88" spans="1:8" ht="20.149999999999999" customHeight="1" thickBot="1" x14ac:dyDescent="0.3">
      <c r="A88" s="465" t="s">
        <v>246</v>
      </c>
      <c r="B88" s="327" t="s">
        <v>336</v>
      </c>
      <c r="C88" s="243">
        <f ca="1">Det_scaled_cap</f>
        <v>161797425.31269062</v>
      </c>
      <c r="D88" s="471"/>
      <c r="E88" s="1512" t="s">
        <v>531</v>
      </c>
      <c r="F88" s="1512"/>
      <c r="G88" s="1513"/>
    </row>
    <row r="89" spans="1:8" ht="28.9" customHeight="1" thickBot="1" x14ac:dyDescent="0.3">
      <c r="A89" s="465"/>
      <c r="B89" s="327" t="s">
        <v>1003</v>
      </c>
      <c r="C89" s="1275">
        <f ca="1">Det_CO2_seq</f>
        <v>137971172.45797154</v>
      </c>
      <c r="D89" s="471"/>
      <c r="E89" s="1512" t="s">
        <v>843</v>
      </c>
      <c r="F89" s="1512"/>
      <c r="G89" s="1513"/>
    </row>
    <row r="90" spans="1:8" ht="21.75" customHeight="1" x14ac:dyDescent="0.25">
      <c r="A90" s="465"/>
      <c r="B90" s="327"/>
      <c r="C90"/>
      <c r="D90"/>
      <c r="E90"/>
      <c r="F90"/>
      <c r="G90" s="449"/>
    </row>
    <row r="91" spans="1:8" ht="45.75" customHeight="1" thickBot="1" x14ac:dyDescent="0.35">
      <c r="A91" s="465"/>
      <c r="B91" s="327" t="s">
        <v>337</v>
      </c>
      <c r="C91" s="987" t="str">
        <f>"Enter values in basis year (" &amp; BasisYear &amp; ") dollars"</f>
        <v>Enter values in basis year (2005) dollars</v>
      </c>
      <c r="D91" s="987" t="s">
        <v>844</v>
      </c>
      <c r="E91" s="987" t="str">
        <f xml:space="preserve"> "Reference Year ("&amp; ref_year &amp; ") Dollars"</f>
        <v>Reference Year (2016) Dollars</v>
      </c>
      <c r="F91"/>
      <c r="G91" s="449"/>
      <c r="H91" s="35"/>
    </row>
    <row r="92" spans="1:8" ht="17.149999999999999" customHeight="1" x14ac:dyDescent="0.25">
      <c r="A92" s="465" t="s">
        <v>179</v>
      </c>
      <c r="B92" s="322" t="s">
        <v>712</v>
      </c>
      <c r="C92" s="1013">
        <f ca="1">0.02*(direct_cap+CO2_seq)/(CEPCIinflator*CPIinflator)</f>
        <v>4629937.2002483187</v>
      </c>
      <c r="D92" s="1035">
        <f t="shared" ref="D92:D98" si="0">CEPCIinflator*CPIinflator</f>
        <v>1.294914314408345</v>
      </c>
      <c r="E92" s="1015">
        <f ca="1">C92*D92</f>
        <v>5995371.9554132437</v>
      </c>
      <c r="F92" s="1001"/>
      <c r="G92" s="1004"/>
    </row>
    <row r="93" spans="1:8" ht="29.25" customHeight="1" x14ac:dyDescent="0.25">
      <c r="A93" s="465" t="s">
        <v>27</v>
      </c>
      <c r="B93" s="321" t="s">
        <v>338</v>
      </c>
      <c r="C93" s="1016">
        <f ca="1">0.1*(direct_cap+CO2_seq)/(CEPCIinflator*CPIinflator)</f>
        <v>23149686.001241595</v>
      </c>
      <c r="D93" s="1036">
        <f t="shared" si="0"/>
        <v>1.294914314408345</v>
      </c>
      <c r="E93" s="1018">
        <f t="shared" ref="E93:E98" ca="1" si="1">C93*D93</f>
        <v>29976859.777066223</v>
      </c>
      <c r="F93" s="1001"/>
      <c r="G93" s="1004"/>
      <c r="H93" s="34"/>
    </row>
    <row r="94" spans="1:8" ht="17.149999999999999" customHeight="1" x14ac:dyDescent="0.25">
      <c r="A94" s="465" t="s">
        <v>171</v>
      </c>
      <c r="B94" s="321" t="s">
        <v>347</v>
      </c>
      <c r="C94" s="1016"/>
      <c r="D94" s="1036">
        <f t="shared" si="0"/>
        <v>1.294914314408345</v>
      </c>
      <c r="E94" s="1018">
        <f t="shared" si="1"/>
        <v>0</v>
      </c>
      <c r="F94" s="1001"/>
      <c r="G94" s="1004"/>
      <c r="H94" s="905"/>
    </row>
    <row r="95" spans="1:8" ht="17.149999999999999" customHeight="1" x14ac:dyDescent="0.25">
      <c r="A95" s="465" t="s">
        <v>173</v>
      </c>
      <c r="B95" s="321" t="s">
        <v>348</v>
      </c>
      <c r="C95" s="1016">
        <f ca="1">0.15*(direct_cap+CO2_seq)/(CEPCIinflator*CPIinflator)</f>
        <v>34724529.001862384</v>
      </c>
      <c r="D95" s="1036">
        <f t="shared" si="0"/>
        <v>1.294914314408345</v>
      </c>
      <c r="E95" s="1018">
        <f t="shared" ca="1" si="1"/>
        <v>44965289.665599324</v>
      </c>
      <c r="F95" s="1001"/>
      <c r="G95" s="1004"/>
      <c r="H95" s="905"/>
    </row>
    <row r="96" spans="1:8" ht="31.5" customHeight="1" x14ac:dyDescent="0.25">
      <c r="A96" s="465" t="s">
        <v>159</v>
      </c>
      <c r="B96" s="321" t="s">
        <v>350</v>
      </c>
      <c r="C96" s="1016"/>
      <c r="D96" s="1036">
        <f t="shared" si="0"/>
        <v>1.294914314408345</v>
      </c>
      <c r="E96" s="1018">
        <f t="shared" si="1"/>
        <v>0</v>
      </c>
      <c r="F96" s="1001"/>
      <c r="G96" s="1004"/>
      <c r="H96" s="34"/>
    </row>
    <row r="97" spans="1:7" ht="17.149999999999999" customHeight="1" x14ac:dyDescent="0.25">
      <c r="A97" s="465" t="s">
        <v>29</v>
      </c>
      <c r="B97" s="321" t="s">
        <v>349</v>
      </c>
      <c r="C97" s="1016"/>
      <c r="D97" s="1036">
        <f t="shared" si="0"/>
        <v>1.294914314408345</v>
      </c>
      <c r="E97" s="1018">
        <f t="shared" si="1"/>
        <v>0</v>
      </c>
      <c r="F97" s="1001"/>
      <c r="G97" s="1004"/>
    </row>
    <row r="98" spans="1:7" ht="21.75" customHeight="1" thickBot="1" x14ac:dyDescent="0.3">
      <c r="A98" s="465" t="s">
        <v>169</v>
      </c>
      <c r="B98" s="322" t="s">
        <v>713</v>
      </c>
      <c r="C98" s="1019">
        <f ca="1">0.15*(direct_cap+CO2_seq)/(CEPCIinflator*CPIinflator)</f>
        <v>34724529.001862384</v>
      </c>
      <c r="D98" s="1037">
        <f t="shared" si="0"/>
        <v>1.294914314408345</v>
      </c>
      <c r="E98" s="1020">
        <f t="shared" ca="1" si="1"/>
        <v>44965289.665599324</v>
      </c>
      <c r="F98" s="1001"/>
      <c r="G98" s="1004"/>
    </row>
    <row r="99" spans="1:7" ht="20.149999999999999" customHeight="1" thickBot="1" x14ac:dyDescent="0.3">
      <c r="A99" s="465" t="s">
        <v>1010</v>
      </c>
      <c r="B99" s="327" t="s">
        <v>979</v>
      </c>
      <c r="C99"/>
      <c r="E99" s="862">
        <f ca="1">direct_cap+CO2_seq+SUM($E$92:$E$98)</f>
        <v>425671408.83434033</v>
      </c>
      <c r="F99" s="1005"/>
      <c r="G99" s="1006"/>
    </row>
    <row r="100" spans="1:7" x14ac:dyDescent="0.25">
      <c r="A100" s="465"/>
      <c r="B100" s="321"/>
      <c r="C100" s="319"/>
      <c r="D100" s="1510" t="s">
        <v>844</v>
      </c>
      <c r="E100"/>
      <c r="F100" s="475"/>
      <c r="G100" s="474"/>
    </row>
    <row r="101" spans="1:7" ht="30.75" customHeight="1" thickBot="1" x14ac:dyDescent="0.35">
      <c r="A101" s="465"/>
      <c r="B101" s="327" t="s">
        <v>351</v>
      </c>
      <c r="C101" s="987" t="str">
        <f>"Enter values in basis year (" &amp; BasisYear &amp; ") dollars"</f>
        <v>Enter values in basis year (2005) dollars</v>
      </c>
      <c r="D101" s="1511"/>
      <c r="E101" s="987" t="str">
        <f xml:space="preserve"> "Reference Year ("&amp; ref_year &amp; ") Dollars"</f>
        <v>Reference Year (2016) Dollars</v>
      </c>
      <c r="F101" s="475"/>
      <c r="G101" s="474"/>
    </row>
    <row r="102" spans="1:7" ht="27.75" customHeight="1" thickBot="1" x14ac:dyDescent="0.3">
      <c r="A102" s="465" t="s">
        <v>1093</v>
      </c>
      <c r="B102" s="321" t="s">
        <v>352</v>
      </c>
      <c r="C102" s="1013">
        <v>50000</v>
      </c>
      <c r="D102" s="1035">
        <f>CPIinflator</f>
        <v>1.100724186648488</v>
      </c>
      <c r="E102" s="998">
        <f>C102*D102</f>
        <v>55036.209332424405</v>
      </c>
      <c r="F102" s="475"/>
      <c r="G102" s="474"/>
    </row>
    <row r="103" spans="1:7" ht="25.5" customHeight="1" thickBot="1" x14ac:dyDescent="0.3">
      <c r="A103" s="465" t="s">
        <v>1094</v>
      </c>
      <c r="B103" s="321" t="s">
        <v>353</v>
      </c>
      <c r="C103" s="1022">
        <v>20</v>
      </c>
      <c r="D103" s="1017">
        <f ca="1">Scale_Factor *1</f>
        <v>1</v>
      </c>
      <c r="E103" s="995">
        <f ca="1">C103*D103</f>
        <v>20</v>
      </c>
      <c r="F103" s="475"/>
      <c r="G103" s="474"/>
    </row>
    <row r="104" spans="1:7" ht="27" customHeight="1" thickBot="1" x14ac:dyDescent="0.3">
      <c r="A104" s="465" t="s">
        <v>1011</v>
      </c>
      <c r="B104" s="321" t="s">
        <v>980</v>
      </c>
      <c r="C104" s="1023"/>
      <c r="D104" s="1023"/>
      <c r="E104" s="862">
        <f ca="1">acre_cost*acres</f>
        <v>1100724.186648488</v>
      </c>
      <c r="F104" s="475"/>
      <c r="G104" s="474"/>
    </row>
    <row r="105" spans="1:7" ht="17.149999999999999" customHeight="1" thickBot="1" x14ac:dyDescent="0.3">
      <c r="A105" s="465"/>
      <c r="B105" s="321" t="s">
        <v>1012</v>
      </c>
      <c r="C105" s="1013"/>
      <c r="D105" s="1035">
        <f>CPIinflator</f>
        <v>1.100724186648488</v>
      </c>
      <c r="E105" s="862">
        <f>C105*D105</f>
        <v>0</v>
      </c>
      <c r="F105" s="1005"/>
      <c r="G105" s="1006"/>
    </row>
    <row r="106" spans="1:7" ht="20.149999999999999" customHeight="1" thickBot="1" x14ac:dyDescent="0.3">
      <c r="A106" s="465" t="s">
        <v>1018</v>
      </c>
      <c r="B106" s="327" t="s">
        <v>981</v>
      </c>
      <c r="C106" s="1023"/>
      <c r="D106" s="1023"/>
      <c r="E106" s="244">
        <f ca="1">land_cost+$E$105</f>
        <v>1100724.186648488</v>
      </c>
      <c r="F106" s="475"/>
      <c r="G106" s="474"/>
    </row>
    <row r="107" spans="1:7" ht="13" thickBot="1" x14ac:dyDescent="0.3">
      <c r="A107" s="465"/>
      <c r="B107" s="321"/>
      <c r="C107" s="319"/>
      <c r="D107" s="1023"/>
      <c r="E107" s="475"/>
      <c r="F107" s="475"/>
      <c r="G107" s="474"/>
    </row>
    <row r="108" spans="1:7" ht="20.149999999999999" customHeight="1" thickBot="1" x14ac:dyDescent="0.3">
      <c r="A108" s="465" t="s">
        <v>1019</v>
      </c>
      <c r="B108" s="327" t="s">
        <v>995</v>
      </c>
      <c r="C108" s="243">
        <f ca="1">(depr_cap+non_dep_cap)*sensitivity_06</f>
        <v>426772133.02098882</v>
      </c>
      <c r="D108" s="1023"/>
      <c r="E108" s="1021"/>
      <c r="F108" s="475"/>
      <c r="G108" s="474"/>
    </row>
    <row r="109" spans="1:7" ht="13" thickBot="1" x14ac:dyDescent="0.3">
      <c r="A109" s="465"/>
      <c r="B109" s="321"/>
      <c r="C109" s="319"/>
      <c r="D109" s="1023"/>
      <c r="E109" s="475"/>
      <c r="F109" s="475"/>
      <c r="G109" s="474"/>
    </row>
    <row r="110" spans="1:7" ht="44.25" customHeight="1" thickTop="1" thickBot="1" x14ac:dyDescent="0.35">
      <c r="A110" s="465"/>
      <c r="B110" s="498" t="s">
        <v>354</v>
      </c>
      <c r="C110" s="1030" t="str">
        <f>"Enter values in basis year (" &amp; BasisYear &amp; ") dollars"</f>
        <v>Enter values in basis year (2005) dollars</v>
      </c>
      <c r="D110" s="1030" t="s">
        <v>844</v>
      </c>
      <c r="E110" s="1030" t="str">
        <f xml:space="preserve"> "Reference Year ("&amp; ref_year &amp; ") Dollars"</f>
        <v>Reference Year (2016) Dollars</v>
      </c>
      <c r="F110" s="499"/>
      <c r="G110" s="501"/>
    </row>
    <row r="111" spans="1:7" s="35" customFormat="1" ht="29.25" customHeight="1" thickBot="1" x14ac:dyDescent="0.3">
      <c r="A111" s="465" t="s">
        <v>1022</v>
      </c>
      <c r="B111" s="322" t="s">
        <v>355</v>
      </c>
      <c r="C111" s="1027">
        <v>25</v>
      </c>
      <c r="D111" s="1014">
        <f ca="1">Scale_Ratio^0.25</f>
        <v>1</v>
      </c>
      <c r="E111" s="1028">
        <f ca="1">C111*D111</f>
        <v>25</v>
      </c>
      <c r="F111" s="1007"/>
      <c r="G111" s="1025"/>
    </row>
    <row r="112" spans="1:7" s="35" customFormat="1" ht="17.25" customHeight="1" thickBot="1" x14ac:dyDescent="0.3">
      <c r="A112" s="465" t="s">
        <v>1023</v>
      </c>
      <c r="B112" s="322" t="s">
        <v>356</v>
      </c>
      <c r="C112" s="1013">
        <v>50</v>
      </c>
      <c r="D112" s="1035">
        <f>VLOOKUP(ref_year,Tbl_labor_indexes,2,FALSE)/VLOOKUP(BasisYear,Tbl_labor_indexes,2,FALSE)</f>
        <v>1.1548042704626329</v>
      </c>
      <c r="E112" s="1000">
        <f>C112*D112</f>
        <v>57.740213523131644</v>
      </c>
      <c r="F112" s="1007"/>
      <c r="G112" s="1025"/>
    </row>
    <row r="113" spans="1:8" s="35" customFormat="1" ht="17.149999999999999" customHeight="1" thickBot="1" x14ac:dyDescent="0.3">
      <c r="A113" s="465" t="s">
        <v>1013</v>
      </c>
      <c r="B113" s="322" t="s">
        <v>996</v>
      </c>
      <c r="C113" s="1023"/>
      <c r="D113" s="1023"/>
      <c r="E113" s="863">
        <f ca="1">FTEs*2080*FTE_cost</f>
        <v>3002491.1032028454</v>
      </c>
      <c r="F113" s="1007"/>
      <c r="G113" s="1025"/>
    </row>
    <row r="114" spans="1:8" s="35" customFormat="1" ht="17.149999999999999" customHeight="1" thickBot="1" x14ac:dyDescent="0.3">
      <c r="A114" s="465" t="s">
        <v>160</v>
      </c>
      <c r="B114" s="322" t="s">
        <v>357</v>
      </c>
      <c r="C114" s="477">
        <v>0.2</v>
      </c>
      <c r="D114" s="1023"/>
      <c r="F114" s="1007"/>
      <c r="G114" s="1025"/>
    </row>
    <row r="115" spans="1:8" s="35" customFormat="1" ht="17.149999999999999" customHeight="1" thickBot="1" x14ac:dyDescent="0.3">
      <c r="A115" s="465" t="s">
        <v>1016</v>
      </c>
      <c r="B115" s="322" t="s">
        <v>989</v>
      </c>
      <c r="C115" s="1023"/>
      <c r="D115" s="1023"/>
      <c r="E115" s="989">
        <f ca="1">labor_cost*overhead_rate</f>
        <v>600498.22064056911</v>
      </c>
      <c r="F115" s="1007"/>
      <c r="G115" s="1025"/>
    </row>
    <row r="116" spans="1:8" s="35" customFormat="1" ht="17.149999999999999" customHeight="1" thickBot="1" x14ac:dyDescent="0.3">
      <c r="A116" s="465" t="s">
        <v>31</v>
      </c>
      <c r="B116" s="322" t="s">
        <v>358</v>
      </c>
      <c r="C116" s="1013">
        <v>0</v>
      </c>
      <c r="D116" s="1035">
        <f ca="1">Scale_Factor *CEPCIinflator*CPIinflator</f>
        <v>1.294914314408345</v>
      </c>
      <c r="E116" s="996">
        <f ca="1">C116*D116</f>
        <v>0</v>
      </c>
      <c r="F116" s="1007"/>
      <c r="G116" s="1025"/>
    </row>
    <row r="117" spans="1:8" s="35" customFormat="1" ht="26.25" customHeight="1" thickBot="1" x14ac:dyDescent="0.3">
      <c r="A117" s="465" t="s">
        <v>186</v>
      </c>
      <c r="B117" s="322" t="s">
        <v>1097</v>
      </c>
      <c r="C117" s="997">
        <v>0.02</v>
      </c>
      <c r="D117" s="1038"/>
      <c r="F117" s="1007"/>
      <c r="G117" s="1025"/>
    </row>
    <row r="118" spans="1:8" s="35" customFormat="1" ht="17.149999999999999" customHeight="1" thickBot="1" x14ac:dyDescent="0.3">
      <c r="A118" s="465" t="s">
        <v>1014</v>
      </c>
      <c r="B118" s="321" t="s">
        <v>994</v>
      </c>
      <c r="C118" s="1023"/>
      <c r="D118" s="1038"/>
      <c r="E118" s="900">
        <f ca="1">tax_ins_rate*total_cap</f>
        <v>8535442.660419777</v>
      </c>
      <c r="F118" s="1007"/>
      <c r="G118" s="1025"/>
    </row>
    <row r="119" spans="1:8" s="35" customFormat="1" ht="17.149999999999999" customHeight="1" thickBot="1" x14ac:dyDescent="0.3">
      <c r="A119" s="465" t="s">
        <v>175</v>
      </c>
      <c r="B119" s="321" t="s">
        <v>359</v>
      </c>
      <c r="C119" s="1013">
        <v>0</v>
      </c>
      <c r="D119" s="1035">
        <f ca="1">Scale_Factor *CPIinflator</f>
        <v>1.100724186648488</v>
      </c>
      <c r="E119" s="998">
        <f ca="1">C119*D119</f>
        <v>0</v>
      </c>
      <c r="F119" s="1007"/>
      <c r="G119" s="1025"/>
    </row>
    <row r="120" spans="1:8" s="35" customFormat="1" ht="27" customHeight="1" thickBot="1" x14ac:dyDescent="0.3">
      <c r="A120" s="465" t="s">
        <v>1024</v>
      </c>
      <c r="B120" s="322" t="s">
        <v>360</v>
      </c>
      <c r="C120" s="1013">
        <v>811810</v>
      </c>
      <c r="D120" s="1035">
        <f ca="1">Scale_Factor *CEPCIinflator*CPIinflator</f>
        <v>1.294914314408345</v>
      </c>
      <c r="E120" s="999">
        <f ca="1">C120*D120</f>
        <v>1051224.3895798386</v>
      </c>
      <c r="F120" s="1007"/>
      <c r="G120" s="1025"/>
      <c r="H120" s="835"/>
    </row>
    <row r="121" spans="1:8" s="35" customFormat="1" ht="17.149999999999999" customHeight="1" thickBot="1" x14ac:dyDescent="0.3">
      <c r="A121" s="465" t="s">
        <v>172</v>
      </c>
      <c r="B121" s="322" t="s">
        <v>361</v>
      </c>
      <c r="C121" s="1013">
        <v>0</v>
      </c>
      <c r="D121" s="1035">
        <f ca="1">Scale_Factor *CEPCIinflator*CPIinflator</f>
        <v>1.294914314408345</v>
      </c>
      <c r="E121" s="990">
        <f ca="1">C121*D121</f>
        <v>0</v>
      </c>
      <c r="F121" s="1007"/>
      <c r="G121" s="1025"/>
    </row>
    <row r="122" spans="1:8" s="35" customFormat="1" ht="17.149999999999999" customHeight="1" thickBot="1" x14ac:dyDescent="0.3">
      <c r="A122" s="465" t="s">
        <v>157</v>
      </c>
      <c r="B122" s="321" t="s">
        <v>362</v>
      </c>
      <c r="C122" s="1013">
        <v>0</v>
      </c>
      <c r="D122" s="1035">
        <f ca="1">Scale_Ratio * CEPCIinflator*CPIinflator</f>
        <v>1.294914314408345</v>
      </c>
      <c r="E122" s="509">
        <f ca="1">C122*D122</f>
        <v>0</v>
      </c>
      <c r="F122" s="1007"/>
      <c r="G122" s="1025"/>
    </row>
    <row r="123" spans="1:8" s="35" customFormat="1" ht="17.149999999999999" customHeight="1" thickBot="1" x14ac:dyDescent="0.3">
      <c r="A123" s="465" t="s">
        <v>158</v>
      </c>
      <c r="B123" s="321" t="s">
        <v>363</v>
      </c>
      <c r="C123" s="1013">
        <v>0</v>
      </c>
      <c r="D123" s="1035">
        <f ca="1">Scale_Factor *CEPCIinflator*CPIinflator</f>
        <v>1.294914314408345</v>
      </c>
      <c r="E123" s="244">
        <f ca="1">C123*D123</f>
        <v>0</v>
      </c>
      <c r="F123" s="1007"/>
      <c r="G123" s="1025"/>
    </row>
    <row r="124" spans="1:8" s="35" customFormat="1" ht="24" customHeight="1" thickBot="1" x14ac:dyDescent="0.3">
      <c r="A124" s="465" t="s">
        <v>1015</v>
      </c>
      <c r="B124" s="327" t="s">
        <v>997</v>
      </c>
      <c r="C124" s="1023"/>
      <c r="D124" s="1023"/>
      <c r="E124" s="862">
        <f ca="1">(labor_cost+overhead_GA+tax_insurance+licensing+SUM(E119:E123))*sensitivity_07</f>
        <v>13189656.373843029</v>
      </c>
      <c r="F124" s="1024"/>
      <c r="G124" s="1026"/>
    </row>
    <row r="125" spans="1:8" s="35" customFormat="1" ht="13" thickBot="1" x14ac:dyDescent="0.3">
      <c r="A125" s="465"/>
      <c r="B125" s="322"/>
      <c r="C125" s="325"/>
      <c r="D125" s="512"/>
      <c r="E125" s="319"/>
      <c r="F125" s="319"/>
      <c r="G125" s="320"/>
    </row>
    <row r="126" spans="1:8" s="35" customFormat="1" ht="26.25" customHeight="1" thickTop="1" thickBot="1" x14ac:dyDescent="0.3">
      <c r="A126" s="465"/>
      <c r="B126" s="491" t="s">
        <v>948</v>
      </c>
      <c r="C126" s="492"/>
      <c r="D126" s="493"/>
      <c r="E126" s="494"/>
      <c r="F126" s="493"/>
      <c r="G126" s="495"/>
    </row>
    <row r="127" spans="1:8" customFormat="1" ht="15" customHeight="1" thickTop="1" x14ac:dyDescent="0.3">
      <c r="A127" s="465"/>
      <c r="B127" s="506" t="s">
        <v>1044</v>
      </c>
      <c r="C127" s="507"/>
      <c r="D127" s="507"/>
      <c r="E127" s="507"/>
      <c r="F127" s="507"/>
      <c r="G127" s="508"/>
    </row>
    <row r="128" spans="1:8" customFormat="1" ht="15" customHeight="1" x14ac:dyDescent="0.25">
      <c r="A128" s="465"/>
      <c r="B128" s="450"/>
      <c r="C128" s="448"/>
      <c r="D128" s="448"/>
      <c r="E128" s="448"/>
      <c r="F128" s="448"/>
      <c r="G128" s="449"/>
    </row>
    <row r="129" spans="1:7" customFormat="1" ht="24" customHeight="1" thickBot="1" x14ac:dyDescent="0.3">
      <c r="A129" s="465"/>
      <c r="B129" s="432" t="s">
        <v>1051</v>
      </c>
      <c r="C129" s="448"/>
      <c r="D129" s="448"/>
      <c r="E129" s="448"/>
      <c r="F129" s="448"/>
      <c r="G129" s="449"/>
    </row>
    <row r="130" spans="1:7" customFormat="1" ht="24" customHeight="1" thickBot="1" x14ac:dyDescent="0.3">
      <c r="A130" s="465"/>
      <c r="B130" s="476" t="s">
        <v>1045</v>
      </c>
      <c r="C130" s="448"/>
      <c r="D130" s="448"/>
      <c r="E130" s="448"/>
      <c r="F130" s="448"/>
      <c r="G130" s="449"/>
    </row>
    <row r="131" spans="1:7" customFormat="1" ht="24" customHeight="1" thickBot="1" x14ac:dyDescent="0.3">
      <c r="A131" s="465"/>
      <c r="B131" s="454" t="s">
        <v>1072</v>
      </c>
      <c r="C131" s="1506" t="str">
        <f>B130</f>
        <v>Cooling Water</v>
      </c>
      <c r="D131" s="1507"/>
      <c r="E131" s="448"/>
      <c r="F131" s="448"/>
      <c r="G131" s="449"/>
    </row>
    <row r="132" spans="1:7" customFormat="1" ht="18.75" customHeight="1" thickBot="1" x14ac:dyDescent="0.3">
      <c r="A132" s="465"/>
      <c r="B132" s="437" t="str">
        <f ca="1">"$(" &amp; ref_year &amp; ")/ " &amp; VLOOKUP(TMP_NonE_Feed,Tbl_Other_Inputs_and_Byproducts,2,FALSE)</f>
        <v>$(2016)/ gal</v>
      </c>
      <c r="C132" s="481">
        <f ca="1">HLOOKUP(startup_year,Tbl_Other_Inputs_and_Byproducts,MATCH(TMP_NonE_Feed,Other_Inputs_List,0),FALSE)</f>
        <v>1.1334993860117458E-4</v>
      </c>
      <c r="D132" s="448"/>
      <c r="E132" s="448"/>
      <c r="F132" s="448"/>
      <c r="G132" s="449"/>
    </row>
    <row r="133" spans="1:7" customFormat="1" ht="18" customHeight="1" thickBot="1" x14ac:dyDescent="0.3">
      <c r="A133" s="465"/>
      <c r="B133" s="442" t="str">
        <f>IF(TMP_NonE_Type="Feed or utility","Usage per kg H2","Production per kg H2")</f>
        <v>Usage per kg H2</v>
      </c>
      <c r="C133" s="478"/>
      <c r="D133" s="448"/>
      <c r="E133" s="448"/>
      <c r="F133" s="448"/>
      <c r="G133" s="449"/>
    </row>
    <row r="134" spans="1:7" customFormat="1" ht="19.5" customHeight="1" thickBot="1" x14ac:dyDescent="0.3">
      <c r="A134" s="465"/>
      <c r="B134" s="442" t="str">
        <f>IF(TMP_NonE_Type = "Feed or utility", "Cost in Startup Year","Income in Startup Year")</f>
        <v>Cost in Startup Year</v>
      </c>
      <c r="C134" s="453">
        <f ca="1">design_cap*365*cap_factor*TMP_NonE_Usage*TMP_NonE_StartPrice</f>
        <v>0</v>
      </c>
      <c r="D134" s="448"/>
      <c r="E134" s="448"/>
      <c r="F134" s="448"/>
      <c r="G134" s="449"/>
    </row>
    <row r="135" spans="1:7" customFormat="1" ht="24" customHeight="1" thickBot="1" x14ac:dyDescent="0.3">
      <c r="A135" s="465"/>
      <c r="B135" s="451" t="s">
        <v>262</v>
      </c>
      <c r="C135" s="455" t="s">
        <v>23</v>
      </c>
      <c r="D135" s="452"/>
      <c r="E135" s="452"/>
      <c r="F135" s="452"/>
      <c r="G135" s="444"/>
    </row>
    <row r="136" spans="1:7" customFormat="1" ht="24" customHeight="1" x14ac:dyDescent="0.25">
      <c r="A136" s="468" t="s">
        <v>1053</v>
      </c>
      <c r="B136" s="328"/>
      <c r="C136" s="329"/>
      <c r="D136" s="329"/>
      <c r="E136" s="330"/>
      <c r="F136" s="329"/>
      <c r="G136" s="331"/>
    </row>
    <row r="137" spans="1:7" customFormat="1" ht="24" customHeight="1" x14ac:dyDescent="0.25">
      <c r="A137" s="468"/>
      <c r="B137" s="328" t="s">
        <v>1072</v>
      </c>
      <c r="C137" s="329" t="s">
        <v>1302</v>
      </c>
      <c r="D137" s="329" t="s">
        <v>837</v>
      </c>
      <c r="E137" s="330" t="s">
        <v>834</v>
      </c>
      <c r="F137" s="329" t="s">
        <v>262</v>
      </c>
      <c r="G137" s="331"/>
    </row>
    <row r="138" spans="1:7" customFormat="1" ht="24" customHeight="1" x14ac:dyDescent="0.25">
      <c r="A138" s="468"/>
      <c r="B138" s="328" t="s">
        <v>1046</v>
      </c>
      <c r="C138" s="329">
        <v>7.1248532835024025E-3</v>
      </c>
      <c r="D138" s="329">
        <v>3.355</v>
      </c>
      <c r="E138" s="330">
        <v>2979108.1488740137</v>
      </c>
      <c r="F138" s="329" t="s">
        <v>23</v>
      </c>
      <c r="G138" s="331"/>
    </row>
    <row r="139" spans="1:7" customFormat="1" ht="24" customHeight="1" x14ac:dyDescent="0.25">
      <c r="A139" s="468"/>
      <c r="B139" s="328" t="s">
        <v>1072</v>
      </c>
      <c r="C139" s="329" t="s">
        <v>1302</v>
      </c>
      <c r="D139" s="329" t="s">
        <v>837</v>
      </c>
      <c r="E139" s="330" t="s">
        <v>834</v>
      </c>
      <c r="F139" s="329" t="s">
        <v>262</v>
      </c>
      <c r="G139" s="331"/>
    </row>
    <row r="140" spans="1:7" customFormat="1" ht="24" customHeight="1" x14ac:dyDescent="0.25">
      <c r="A140" s="468"/>
      <c r="B140" s="328" t="s">
        <v>1045</v>
      </c>
      <c r="C140" s="329">
        <v>1.1334993860117458E-4</v>
      </c>
      <c r="D140" s="329">
        <v>1.4950000000000001</v>
      </c>
      <c r="E140" s="330">
        <v>21119.338015151436</v>
      </c>
      <c r="F140" s="329" t="s">
        <v>23</v>
      </c>
      <c r="G140" s="331"/>
    </row>
    <row r="141" spans="1:7" customFormat="1" ht="16" customHeight="1" x14ac:dyDescent="0.25">
      <c r="A141" s="465" t="s">
        <v>1054</v>
      </c>
      <c r="B141" s="328"/>
      <c r="C141" s="334"/>
      <c r="D141" s="334"/>
      <c r="E141" s="335"/>
      <c r="F141" s="334"/>
      <c r="G141" s="331"/>
    </row>
    <row r="142" spans="1:7" customFormat="1" ht="16" customHeight="1" thickBot="1" x14ac:dyDescent="0.3">
      <c r="A142" s="465" t="s">
        <v>1055</v>
      </c>
      <c r="B142" s="328"/>
      <c r="C142" s="329"/>
      <c r="D142" s="329"/>
      <c r="E142" s="335"/>
      <c r="F142" s="329"/>
      <c r="G142" s="331"/>
    </row>
    <row r="143" spans="1:7" customFormat="1" ht="17.149999999999999" customHeight="1" thickBot="1" x14ac:dyDescent="0.3">
      <c r="A143" s="465"/>
      <c r="B143" s="333" t="s">
        <v>862</v>
      </c>
      <c r="C143" s="245">
        <f>SUM(Dynamic_NonE_Feed_Total)</f>
        <v>3000227.4868891649</v>
      </c>
      <c r="D143" s="472"/>
      <c r="E143" s="1514"/>
      <c r="F143" s="1514"/>
      <c r="G143" s="1504"/>
    </row>
    <row r="144" spans="1:7" customFormat="1" ht="17.149999999999999" customHeight="1" thickBot="1" x14ac:dyDescent="0.3">
      <c r="A144" s="465" t="s">
        <v>257</v>
      </c>
      <c r="B144" s="333" t="s">
        <v>279</v>
      </c>
      <c r="C144" s="245">
        <f>SUM(Dynamic_NonE_Byprod_Total)</f>
        <v>0</v>
      </c>
      <c r="D144" s="472"/>
      <c r="E144" s="1514"/>
      <c r="F144" s="1514"/>
      <c r="G144" s="1504"/>
    </row>
    <row r="145" spans="1:7" customFormat="1" ht="26.5" customHeight="1" thickBot="1" x14ac:dyDescent="0.3">
      <c r="A145" s="465"/>
      <c r="B145" s="333"/>
      <c r="C145" s="329"/>
      <c r="D145" s="479"/>
      <c r="E145" s="1514"/>
      <c r="F145" s="1514"/>
      <c r="G145" s="1504"/>
    </row>
    <row r="146" spans="1:7" customFormat="1" ht="17.149999999999999" customHeight="1" thickBot="1" x14ac:dyDescent="0.3">
      <c r="A146" s="465" t="s">
        <v>250</v>
      </c>
      <c r="B146" s="327" t="s">
        <v>253</v>
      </c>
      <c r="C146" s="243">
        <f ca="1">Total_Energy_Feed_Cost</f>
        <v>135685658.81647113</v>
      </c>
      <c r="D146" s="472"/>
      <c r="E146" s="1508"/>
      <c r="F146" s="1508"/>
      <c r="G146" s="1509"/>
    </row>
    <row r="147" spans="1:7" customFormat="1" ht="17.149999999999999" customHeight="1" thickBot="1" x14ac:dyDescent="0.3">
      <c r="A147" s="465" t="s">
        <v>664</v>
      </c>
      <c r="B147" s="327" t="s">
        <v>254</v>
      </c>
      <c r="C147" s="243">
        <f ca="1">Total_Energy_Utilities_Cost+Total_Non_Energy_Feed_Cost</f>
        <v>9837069.535687631</v>
      </c>
      <c r="D147" s="472"/>
      <c r="E147" s="1508"/>
      <c r="F147" s="1508"/>
      <c r="G147" s="1509"/>
    </row>
    <row r="148" spans="1:7" customFormat="1" ht="31.5" customHeight="1" thickBot="1" x14ac:dyDescent="0.3">
      <c r="A148" s="465" t="s">
        <v>665</v>
      </c>
      <c r="B148" s="327" t="s">
        <v>255</v>
      </c>
      <c r="C148" s="509">
        <f>Total_Energy_Byproduct_Credit+total_non_energy_byproduct_credit</f>
        <v>0</v>
      </c>
      <c r="D148" s="472"/>
      <c r="E148" s="1519"/>
      <c r="F148" s="1519"/>
      <c r="G148" s="1520"/>
    </row>
    <row r="149" spans="1:7" customFormat="1" ht="45.75" customHeight="1" thickTop="1" thickBot="1" x14ac:dyDescent="0.35">
      <c r="A149" s="465"/>
      <c r="B149" s="506" t="s">
        <v>816</v>
      </c>
      <c r="C149" s="1030" t="str">
        <f>"Enter values in basis year (" &amp; BasisYear &amp; ") dollars"</f>
        <v>Enter values in basis year (2005) dollars</v>
      </c>
      <c r="D149" s="1030" t="s">
        <v>844</v>
      </c>
      <c r="E149" s="1030" t="str">
        <f xml:space="preserve"> "Reference Year ("&amp; ref_year &amp; ") Dollars"</f>
        <v>Reference Year (2016) Dollars</v>
      </c>
      <c r="F149" s="510"/>
      <c r="G149" s="511"/>
    </row>
    <row r="150" spans="1:7" s="35" customFormat="1" ht="39" customHeight="1" thickBot="1" x14ac:dyDescent="0.3">
      <c r="A150" s="465" t="s">
        <v>187</v>
      </c>
      <c r="B150" s="321" t="s">
        <v>364</v>
      </c>
      <c r="C150" s="1013">
        <v>4629000</v>
      </c>
      <c r="D150" s="1035">
        <f ca="1">Scale_Ratio * VLOOKUP(ref_year,Chemical_price_indexes,2,FALSE)/VLOOKUP(BasisYear,Chemical_price_indexes,2,FALSE)</f>
        <v>1.4260544580886279</v>
      </c>
      <c r="E150" s="509">
        <f ca="1">C150*D150</f>
        <v>6601206.0864922581</v>
      </c>
      <c r="F150" s="1517"/>
      <c r="G150" s="1518"/>
    </row>
    <row r="151" spans="1:7" s="35" customFormat="1" ht="38.25" customHeight="1" thickBot="1" x14ac:dyDescent="0.3">
      <c r="A151" s="465" t="s">
        <v>280</v>
      </c>
      <c r="B151" s="612" t="s">
        <v>929</v>
      </c>
      <c r="C151" s="1013">
        <v>0</v>
      </c>
      <c r="D151" s="1035">
        <f ca="1">Scale_Ratio * VLOOKUP(ref_year,Chemical_price_indexes,2,FALSE)/VLOOKUP(BasisYear,Chemical_price_indexes,2,FALSE)</f>
        <v>1.4260544580886279</v>
      </c>
      <c r="E151" s="509">
        <f ca="1">C151*D151</f>
        <v>0</v>
      </c>
      <c r="F151" s="1007"/>
      <c r="G151" s="1025"/>
    </row>
    <row r="152" spans="1:7" s="35" customFormat="1" ht="17.149999999999999" customHeight="1" thickBot="1" x14ac:dyDescent="0.3">
      <c r="A152" s="465" t="s">
        <v>188</v>
      </c>
      <c r="B152" s="322" t="s">
        <v>365</v>
      </c>
      <c r="C152" s="1013">
        <v>0</v>
      </c>
      <c r="D152" s="1035">
        <f ca="1">Scale_Ratio * VLOOKUP(ref_year,Chemical_price_indexes,2,FALSE)/VLOOKUP(BasisYear,Chemical_price_indexes,2,FALSE)</f>
        <v>1.4260544580886279</v>
      </c>
      <c r="E152" s="509">
        <f ca="1">C152*D152</f>
        <v>0</v>
      </c>
      <c r="F152" s="1007"/>
      <c r="G152" s="1025"/>
    </row>
    <row r="153" spans="1:7" s="35" customFormat="1" ht="17.149999999999999" customHeight="1" thickBot="1" x14ac:dyDescent="0.3">
      <c r="A153" s="465" t="s">
        <v>180</v>
      </c>
      <c r="B153" s="322" t="s">
        <v>366</v>
      </c>
      <c r="C153" s="1013">
        <v>0</v>
      </c>
      <c r="D153" s="1035">
        <f ca="1">Scale_Ratio * VLOOKUP(ref_year,Chemical_price_indexes,2,FALSE)/VLOOKUP(BasisYear,Chemical_price_indexes,2,FALSE)</f>
        <v>1.4260544580886279</v>
      </c>
      <c r="E153" s="509">
        <f ca="1">C153*D153</f>
        <v>0</v>
      </c>
      <c r="F153" s="1007"/>
      <c r="G153" s="1025"/>
    </row>
    <row r="154" spans="1:7" s="35" customFormat="1" ht="28.5" customHeight="1" thickBot="1" x14ac:dyDescent="0.3">
      <c r="A154" s="465" t="s">
        <v>176</v>
      </c>
      <c r="B154" s="322" t="s">
        <v>367</v>
      </c>
      <c r="C154" s="1270">
        <v>5.0000000000000001E-3</v>
      </c>
      <c r="D154"/>
      <c r="E154" s="1515" t="s">
        <v>1205</v>
      </c>
      <c r="F154" s="1515"/>
      <c r="G154" s="1516"/>
    </row>
    <row r="155" spans="1:7" s="35" customFormat="1" ht="17.149999999999999" customHeight="1" thickBot="1" x14ac:dyDescent="0.3">
      <c r="A155" s="465" t="s">
        <v>177</v>
      </c>
      <c r="B155" s="322" t="s">
        <v>368</v>
      </c>
      <c r="C155" s="1013">
        <v>0</v>
      </c>
      <c r="D155" s="1035">
        <f ca="1">Scale_Ratio * CPIinflator</f>
        <v>1.100724186648488</v>
      </c>
      <c r="E155" s="999">
        <v>0</v>
      </c>
      <c r="F155" s="1007"/>
      <c r="G155" s="1025"/>
    </row>
    <row r="156" spans="1:7" s="35" customFormat="1" ht="17.149999999999999" customHeight="1" thickBot="1" x14ac:dyDescent="0.3">
      <c r="A156" s="465" t="s">
        <v>156</v>
      </c>
      <c r="B156" s="322" t="s">
        <v>369</v>
      </c>
      <c r="C156" s="1013">
        <v>0</v>
      </c>
      <c r="D156" s="1035">
        <f ca="1">Scale_Ratio * CPIinflator</f>
        <v>1.100724186648488</v>
      </c>
      <c r="E156" s="999">
        <v>0</v>
      </c>
      <c r="F156" s="1007"/>
      <c r="G156" s="1025"/>
    </row>
    <row r="157" spans="1:7" s="35" customFormat="1" ht="17.149999999999999" customHeight="1" thickBot="1" x14ac:dyDescent="0.3">
      <c r="A157" s="465" t="s">
        <v>185</v>
      </c>
      <c r="B157" s="322" t="s">
        <v>370</v>
      </c>
      <c r="C157" s="1013">
        <v>0</v>
      </c>
      <c r="D157" s="1035">
        <f ca="1">Scale_Ratio * CPIinflator</f>
        <v>1.100724186648488</v>
      </c>
      <c r="E157" s="999">
        <v>0</v>
      </c>
      <c r="F157" s="1011"/>
      <c r="G157" s="1012"/>
    </row>
    <row r="158" spans="1:7" s="35" customFormat="1" ht="17.149999999999999" customHeight="1" thickBot="1" x14ac:dyDescent="0.3">
      <c r="A158" s="465" t="s">
        <v>9</v>
      </c>
      <c r="B158" s="322" t="s">
        <v>960</v>
      </c>
      <c r="C158"/>
      <c r="D158" s="1039"/>
      <c r="E158" s="999">
        <f ca="1">Det_CO2_OandMcost</f>
        <v>9522185.2856293581</v>
      </c>
      <c r="F158" s="1011"/>
      <c r="G158" s="1504"/>
    </row>
    <row r="159" spans="1:7" s="35" customFormat="1" ht="17.149999999999999" customHeight="1" thickBot="1" x14ac:dyDescent="0.3">
      <c r="A159" s="465"/>
      <c r="B159" s="322" t="s">
        <v>957</v>
      </c>
      <c r="C159" s="1013">
        <v>0</v>
      </c>
      <c r="D159" s="1035">
        <f>CPIinflator</f>
        <v>1.100724186648488</v>
      </c>
      <c r="E159" s="999">
        <v>0</v>
      </c>
      <c r="F159" s="1011"/>
      <c r="G159" s="1504"/>
    </row>
    <row r="160" spans="1:7" s="35" customFormat="1" ht="17.149999999999999" customHeight="1" thickBot="1" x14ac:dyDescent="0.3">
      <c r="A160" s="465"/>
      <c r="B160" s="322" t="s">
        <v>956</v>
      </c>
      <c r="C160"/>
      <c r="D160" s="1039"/>
      <c r="E160" s="830">
        <f ca="1">ROUND(Proc_CO2_tax*12/44*Proc_CO2_MTpY,-2)</f>
        <v>0</v>
      </c>
      <c r="F160" s="1011"/>
      <c r="G160" s="1504"/>
    </row>
    <row r="161" spans="1:7" s="35" customFormat="1" ht="17.149999999999999" customHeight="1" thickBot="1" x14ac:dyDescent="0.3">
      <c r="A161" s="465"/>
      <c r="B161" s="322" t="s">
        <v>958</v>
      </c>
      <c r="C161" s="1013">
        <v>0</v>
      </c>
      <c r="D161" s="1035">
        <f>CPIinflator</f>
        <v>1.100724186648488</v>
      </c>
      <c r="E161" s="830">
        <v>0</v>
      </c>
      <c r="F161" s="1011"/>
      <c r="G161" s="1504"/>
    </row>
    <row r="162" spans="1:7" s="35" customFormat="1" ht="17.149999999999999" customHeight="1" thickBot="1" x14ac:dyDescent="0.3">
      <c r="A162" s="465"/>
      <c r="B162" s="322" t="s">
        <v>959</v>
      </c>
      <c r="C162" s="1033"/>
      <c r="D162" s="1034"/>
      <c r="E162" s="830">
        <f ca="1">ROUND(Upstream_CO2_tax/1000*Upstream_GHG_total*output_kgyear,2)</f>
        <v>0</v>
      </c>
      <c r="F162" s="826"/>
      <c r="G162" s="1504"/>
    </row>
    <row r="163" spans="1:7" s="35" customFormat="1" ht="23.25" customHeight="1" thickBot="1" x14ac:dyDescent="0.3">
      <c r="A163" s="465" t="s">
        <v>260</v>
      </c>
      <c r="B163" s="336" t="s">
        <v>258</v>
      </c>
      <c r="C163" s="1031"/>
      <c r="D163" s="1032"/>
      <c r="E163" s="832">
        <f ca="1">ROUND(total_feedstock+total_utilities+total_other_raw-total_byproducts+var_misc+waste_treat+solidwaste_treat+royalties+operator_profit-tax_credit+CO2_OandMcost+Proc_CO2_taxpYear + Upstream_CO2_taxpYear,-2)</f>
        <v>161646100</v>
      </c>
      <c r="F163" s="1029"/>
      <c r="G163" s="1505"/>
    </row>
    <row r="164" spans="1:7" s="35" customFormat="1" x14ac:dyDescent="0.25">
      <c r="A164" s="464"/>
    </row>
    <row r="165" spans="1:7" s="35" customFormat="1" x14ac:dyDescent="0.25">
      <c r="A165" s="464"/>
    </row>
    <row r="166" spans="1:7" s="35" customFormat="1" x14ac:dyDescent="0.25">
      <c r="A166" s="464"/>
    </row>
    <row r="167" spans="1:7" s="35" customFormat="1" x14ac:dyDescent="0.25">
      <c r="A167" s="464"/>
    </row>
    <row r="168" spans="1:7" s="35" customFormat="1" x14ac:dyDescent="0.25">
      <c r="A168" s="464"/>
    </row>
    <row r="169" spans="1:7" s="35" customFormat="1" x14ac:dyDescent="0.25">
      <c r="A169" s="464"/>
    </row>
    <row r="170" spans="1:7" s="35" customFormat="1" x14ac:dyDescent="0.25">
      <c r="A170" s="464"/>
    </row>
    <row r="171" spans="1:7" s="35" customFormat="1" x14ac:dyDescent="0.25">
      <c r="A171" s="464"/>
    </row>
    <row r="172" spans="1:7" s="35" customFormat="1" x14ac:dyDescent="0.25">
      <c r="A172" s="464"/>
    </row>
    <row r="173" spans="1:7" s="35" customFormat="1" x14ac:dyDescent="0.25">
      <c r="A173" s="464"/>
    </row>
    <row r="174" spans="1:7" s="35" customFormat="1" x14ac:dyDescent="0.25">
      <c r="A174" s="464"/>
    </row>
    <row r="175" spans="1:7" s="35" customFormat="1" x14ac:dyDescent="0.25">
      <c r="A175" s="464"/>
    </row>
    <row r="176" spans="1:7" s="35" customFormat="1" x14ac:dyDescent="0.25">
      <c r="A176" s="464"/>
    </row>
    <row r="177" spans="1:4" s="35" customFormat="1" x14ac:dyDescent="0.25">
      <c r="A177" s="464"/>
    </row>
    <row r="178" spans="1:4" s="35" customFormat="1" x14ac:dyDescent="0.25">
      <c r="A178" s="464"/>
    </row>
    <row r="179" spans="1:4" s="35" customFormat="1" x14ac:dyDescent="0.25">
      <c r="A179" s="464"/>
    </row>
    <row r="180" spans="1:4" s="35" customFormat="1" x14ac:dyDescent="0.25">
      <c r="A180" s="464"/>
    </row>
    <row r="181" spans="1:4" s="35" customFormat="1" x14ac:dyDescent="0.25">
      <c r="A181" s="464"/>
    </row>
    <row r="182" spans="1:4" s="35" customFormat="1" x14ac:dyDescent="0.25">
      <c r="A182" s="464"/>
    </row>
    <row r="183" spans="1:4" s="35" customFormat="1" x14ac:dyDescent="0.25">
      <c r="A183" s="464"/>
    </row>
    <row r="184" spans="1:4" s="35" customFormat="1" x14ac:dyDescent="0.25">
      <c r="A184" s="464"/>
    </row>
    <row r="185" spans="1:4" s="35" customFormat="1" x14ac:dyDescent="0.25">
      <c r="A185" s="464"/>
    </row>
    <row r="186" spans="1:4" s="35" customFormat="1" x14ac:dyDescent="0.25">
      <c r="A186" s="464"/>
    </row>
    <row r="187" spans="1:4" s="35" customFormat="1" x14ac:dyDescent="0.25">
      <c r="A187" s="464"/>
    </row>
    <row r="188" spans="1:4" s="35" customFormat="1" x14ac:dyDescent="0.25">
      <c r="A188" s="464"/>
    </row>
    <row r="189" spans="1:4" s="35" customFormat="1" x14ac:dyDescent="0.25">
      <c r="A189" s="464"/>
    </row>
    <row r="190" spans="1:4" s="35" customFormat="1" x14ac:dyDescent="0.25">
      <c r="A190" s="464"/>
      <c r="B190" s="29"/>
      <c r="C190" s="34"/>
      <c r="D190" s="29"/>
    </row>
    <row r="191" spans="1:4" s="35" customFormat="1" x14ac:dyDescent="0.25">
      <c r="A191" s="464"/>
      <c r="B191" s="29"/>
      <c r="C191" s="34"/>
      <c r="D191" s="29"/>
    </row>
    <row r="192" spans="1:4" s="35" customFormat="1" x14ac:dyDescent="0.25">
      <c r="A192" s="464"/>
      <c r="B192" s="29"/>
      <c r="C192" s="34"/>
      <c r="D192" s="29"/>
    </row>
    <row r="193" spans="1:4" s="35" customFormat="1" x14ac:dyDescent="0.25">
      <c r="A193" s="464"/>
      <c r="B193" s="29"/>
      <c r="C193" s="34"/>
      <c r="D193" s="29"/>
    </row>
    <row r="194" spans="1:4" s="35" customFormat="1" x14ac:dyDescent="0.25">
      <c r="A194" s="464"/>
      <c r="B194" s="29"/>
      <c r="C194" s="34"/>
      <c r="D194" s="29"/>
    </row>
    <row r="195" spans="1:4" s="35" customFormat="1" x14ac:dyDescent="0.25">
      <c r="A195" s="464"/>
      <c r="B195" s="29"/>
      <c r="C195" s="34"/>
      <c r="D195" s="29"/>
    </row>
    <row r="196" spans="1:4" s="35" customFormat="1" x14ac:dyDescent="0.25">
      <c r="A196" s="464"/>
      <c r="B196" s="29"/>
      <c r="C196" s="34"/>
      <c r="D196" s="29"/>
    </row>
    <row r="197" spans="1:4" s="35" customFormat="1" x14ac:dyDescent="0.25">
      <c r="A197" s="464"/>
      <c r="B197" s="29"/>
      <c r="C197" s="34"/>
      <c r="D197" s="29"/>
    </row>
    <row r="198" spans="1:4" s="35" customFormat="1" x14ac:dyDescent="0.25">
      <c r="A198" s="464"/>
      <c r="B198" s="29"/>
      <c r="C198" s="34"/>
      <c r="D198" s="29"/>
    </row>
    <row r="199" spans="1:4" s="35" customFormat="1" x14ac:dyDescent="0.25">
      <c r="A199" s="464"/>
      <c r="B199" s="29"/>
      <c r="C199" s="34"/>
      <c r="D199" s="29"/>
    </row>
    <row r="200" spans="1:4" s="35" customFormat="1" x14ac:dyDescent="0.25">
      <c r="A200" s="464"/>
      <c r="B200" s="29"/>
      <c r="C200" s="34"/>
      <c r="D200" s="29"/>
    </row>
    <row r="201" spans="1:4" s="35" customFormat="1" x14ac:dyDescent="0.25">
      <c r="A201" s="464"/>
      <c r="B201" s="29"/>
      <c r="C201" s="34"/>
      <c r="D201" s="29"/>
    </row>
    <row r="202" spans="1:4" s="35" customFormat="1" x14ac:dyDescent="0.25">
      <c r="A202" s="464"/>
      <c r="B202" s="29"/>
      <c r="C202" s="34"/>
      <c r="D202" s="29"/>
    </row>
    <row r="203" spans="1:4" s="35" customFormat="1" x14ac:dyDescent="0.25">
      <c r="A203" s="464"/>
      <c r="B203" s="29"/>
      <c r="C203" s="34"/>
      <c r="D203" s="29"/>
    </row>
    <row r="204" spans="1:4" s="35" customFormat="1" x14ac:dyDescent="0.25">
      <c r="A204" s="464"/>
      <c r="B204" s="29"/>
      <c r="C204" s="34"/>
      <c r="D204" s="29"/>
    </row>
    <row r="205" spans="1:4" s="35" customFormat="1" x14ac:dyDescent="0.25">
      <c r="A205" s="464"/>
      <c r="B205" s="29"/>
      <c r="C205" s="34"/>
      <c r="D205" s="29"/>
    </row>
    <row r="206" spans="1:4" s="35" customFormat="1" x14ac:dyDescent="0.25">
      <c r="A206" s="464"/>
      <c r="B206" s="29"/>
      <c r="C206" s="34"/>
      <c r="D206" s="29"/>
    </row>
    <row r="207" spans="1:4" s="35" customFormat="1" x14ac:dyDescent="0.25">
      <c r="A207" s="464"/>
      <c r="B207" s="29"/>
      <c r="C207" s="34"/>
      <c r="D207" s="29"/>
    </row>
    <row r="208" spans="1:4" s="35" customFormat="1" x14ac:dyDescent="0.25">
      <c r="A208" s="464"/>
      <c r="B208" s="29"/>
      <c r="C208" s="34"/>
      <c r="D208" s="29"/>
    </row>
    <row r="209" spans="1:4" s="35" customFormat="1" x14ac:dyDescent="0.25">
      <c r="A209" s="464"/>
      <c r="B209" s="29"/>
      <c r="C209" s="34"/>
      <c r="D209" s="29"/>
    </row>
    <row r="210" spans="1:4" s="35" customFormat="1" x14ac:dyDescent="0.25">
      <c r="A210" s="464"/>
      <c r="B210" s="29"/>
      <c r="C210" s="34"/>
      <c r="D210" s="29"/>
    </row>
    <row r="211" spans="1:4" s="35" customFormat="1" x14ac:dyDescent="0.25">
      <c r="A211" s="464"/>
      <c r="B211" s="29"/>
      <c r="C211" s="34"/>
      <c r="D211" s="29"/>
    </row>
    <row r="212" spans="1:4" s="35" customFormat="1" x14ac:dyDescent="0.25">
      <c r="A212" s="464"/>
      <c r="B212" s="29"/>
      <c r="C212" s="34"/>
      <c r="D212" s="29"/>
    </row>
    <row r="213" spans="1:4" s="35" customFormat="1" x14ac:dyDescent="0.25">
      <c r="A213" s="464"/>
      <c r="B213" s="29"/>
      <c r="C213" s="34"/>
      <c r="D213" s="29"/>
    </row>
    <row r="214" spans="1:4" s="35" customFormat="1" x14ac:dyDescent="0.25">
      <c r="A214" s="464"/>
      <c r="B214" s="29"/>
      <c r="C214" s="34"/>
      <c r="D214" s="29"/>
    </row>
    <row r="215" spans="1:4" s="35" customFormat="1" x14ac:dyDescent="0.25">
      <c r="A215" s="464"/>
      <c r="B215" s="29"/>
      <c r="C215" s="34"/>
      <c r="D215" s="29"/>
    </row>
    <row r="216" spans="1:4" s="35" customFormat="1" x14ac:dyDescent="0.25">
      <c r="A216" s="464"/>
      <c r="B216" s="29"/>
      <c r="C216" s="34"/>
      <c r="D216" s="29"/>
    </row>
    <row r="217" spans="1:4" s="35" customFormat="1" x14ac:dyDescent="0.25">
      <c r="A217" s="464"/>
      <c r="B217" s="29"/>
      <c r="C217" s="34"/>
      <c r="D217" s="29"/>
    </row>
    <row r="218" spans="1:4" s="35" customFormat="1" x14ac:dyDescent="0.25">
      <c r="A218" s="464"/>
      <c r="B218" s="29"/>
      <c r="C218" s="34"/>
      <c r="D218" s="29"/>
    </row>
    <row r="219" spans="1:4" s="35" customFormat="1" x14ac:dyDescent="0.25">
      <c r="A219" s="464"/>
      <c r="B219" s="29"/>
      <c r="C219" s="34"/>
      <c r="D219" s="29"/>
    </row>
    <row r="220" spans="1:4" s="35" customFormat="1" x14ac:dyDescent="0.25">
      <c r="A220" s="464"/>
      <c r="B220" s="29"/>
      <c r="C220" s="34"/>
      <c r="D220" s="29"/>
    </row>
    <row r="221" spans="1:4" s="35" customFormat="1" x14ac:dyDescent="0.25">
      <c r="A221" s="464"/>
      <c r="B221" s="29"/>
      <c r="C221" s="34"/>
      <c r="D221" s="29"/>
    </row>
    <row r="222" spans="1:4" s="35" customFormat="1" x14ac:dyDescent="0.25">
      <c r="A222" s="464"/>
      <c r="B222" s="29"/>
      <c r="C222" s="34"/>
      <c r="D222" s="29"/>
    </row>
    <row r="223" spans="1:4" s="35" customFormat="1" x14ac:dyDescent="0.25">
      <c r="A223" s="464"/>
      <c r="B223" s="29"/>
      <c r="C223" s="34"/>
      <c r="D223" s="29"/>
    </row>
    <row r="224" spans="1:4" s="35" customFormat="1" x14ac:dyDescent="0.25">
      <c r="A224" s="464"/>
      <c r="B224" s="29"/>
      <c r="C224" s="34"/>
      <c r="D224" s="29"/>
    </row>
    <row r="225" spans="1:4" s="35" customFormat="1" x14ac:dyDescent="0.25">
      <c r="A225" s="464"/>
      <c r="B225" s="29"/>
      <c r="C225" s="34"/>
      <c r="D225" s="29"/>
    </row>
  </sheetData>
  <mergeCells count="50">
    <mergeCell ref="E48:G48"/>
    <mergeCell ref="E87:G87"/>
    <mergeCell ref="F59:F68"/>
    <mergeCell ref="E56:G56"/>
    <mergeCell ref="E89:G89"/>
    <mergeCell ref="E53:G53"/>
    <mergeCell ref="E52:G52"/>
    <mergeCell ref="E51:G51"/>
    <mergeCell ref="E55:G55"/>
    <mergeCell ref="E85:G85"/>
    <mergeCell ref="E86:G86"/>
    <mergeCell ref="E26:G26"/>
    <mergeCell ref="E28:G28"/>
    <mergeCell ref="E35:G35"/>
    <mergeCell ref="E29:G29"/>
    <mergeCell ref="E44:G44"/>
    <mergeCell ref="E37:G37"/>
    <mergeCell ref="E30:G30"/>
    <mergeCell ref="E31:G31"/>
    <mergeCell ref="E34:G34"/>
    <mergeCell ref="E33:G33"/>
    <mergeCell ref="E40:G40"/>
    <mergeCell ref="E38:G38"/>
    <mergeCell ref="E39:G39"/>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G158:G163"/>
    <mergeCell ref="C131:D131"/>
    <mergeCell ref="E146:G146"/>
    <mergeCell ref="D100:D101"/>
    <mergeCell ref="E88:G88"/>
    <mergeCell ref="E143:G145"/>
    <mergeCell ref="E154:G154"/>
    <mergeCell ref="F150:G150"/>
    <mergeCell ref="E147:G147"/>
    <mergeCell ref="E148:G148"/>
  </mergeCells>
  <phoneticPr fontId="2" type="noConversion"/>
  <conditionalFormatting sqref="H16:H17">
    <cfRule type="expression" dxfId="2" priority="9">
      <formula>$H$17 &gt; 0.3</formula>
    </cfRule>
  </conditionalFormatting>
  <dataValidations xWindow="543" yWindow="734" count="17">
    <dataValidation allowBlank="1" showInputMessage="1" showErrorMessage="1" prompt="Tax covers all fuel and utilities.  Result may be negative (credit) for biomass derived feed." sqref="E161" xr:uid="{00000000-0002-0000-0300-000000000000}"/>
    <dataValidation allowBlank="1" showInputMessage="1" showErrorMessage="1" prompt="Enter specific year replacement costs on Replacement Costs sheet" sqref="C154"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88"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9:C90" xr:uid="{00000000-0002-0000-0300-000003000000}"/>
    <dataValidation type="list" allowBlank="1" showInputMessage="1" showErrorMessage="1" sqref="B130"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D22843DB-5D76-4D87-9A02-CDA00C945233}">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controls>
    <mc:AlternateContent xmlns:mc="http://schemas.openxmlformats.org/markup-compatibility/2006">
      <mc:Choice Requires="x14">
        <control shapeId="1224" r:id="rId4" name="chk_Upstream_CO2_tax">
          <controlPr defaultSize="0" disabled="1" autoLine="0" r:id="rId5">
            <anchor moveWithCells="1">
              <from>
                <xdr:col>5</xdr:col>
                <xdr:colOff>184150</xdr:colOff>
                <xdr:row>160</xdr:row>
                <xdr:rowOff>0</xdr:rowOff>
              </from>
              <to>
                <xdr:col>5</xdr:col>
                <xdr:colOff>1384300</xdr:colOff>
                <xdr:row>161</xdr:row>
                <xdr:rowOff>38100</xdr:rowOff>
              </to>
            </anchor>
          </controlPr>
        </control>
      </mc:Choice>
      <mc:Fallback>
        <control shapeId="1224" r:id="rId4" name="chk_Upstream_CO2_tax"/>
      </mc:Fallback>
    </mc:AlternateContent>
    <mc:AlternateContent xmlns:mc="http://schemas.openxmlformats.org/markup-compatibility/2006">
      <mc:Choice Requires="x14">
        <control shapeId="1223" r:id="rId6" name="chk_Proc_CO2_tax">
          <controlPr defaultSize="0" disabled="1" autoLine="0" r:id="rId7">
            <anchor moveWithCells="1">
              <from>
                <xdr:col>5</xdr:col>
                <xdr:colOff>184150</xdr:colOff>
                <xdr:row>158</xdr:row>
                <xdr:rowOff>0</xdr:rowOff>
              </from>
              <to>
                <xdr:col>5</xdr:col>
                <xdr:colOff>1384300</xdr:colOff>
                <xdr:row>159</xdr:row>
                <xdr:rowOff>38100</xdr:rowOff>
              </to>
            </anchor>
          </controlPr>
        </control>
      </mc:Choice>
      <mc:Fallback>
        <control shapeId="1223" r:id="rId6" name="chk_Proc_CO2_tax"/>
      </mc:Fallback>
    </mc:AlternateContent>
    <mc:AlternateContent xmlns:mc="http://schemas.openxmlformats.org/markup-compatibility/2006">
      <mc:Choice Requires="x14">
        <control shapeId="1177" r:id="rId8" name="chk_tax_credit">
          <controlPr defaultSize="0" disabled="1" autoLine="0" r:id="rId9">
            <anchor moveWithCells="1">
              <from>
                <xdr:col>5</xdr:col>
                <xdr:colOff>184150</xdr:colOff>
                <xdr:row>156</xdr:row>
                <xdr:rowOff>0</xdr:rowOff>
              </from>
              <to>
                <xdr:col>5</xdr:col>
                <xdr:colOff>1384300</xdr:colOff>
                <xdr:row>157</xdr:row>
                <xdr:rowOff>38100</xdr:rowOff>
              </to>
            </anchor>
          </controlPr>
        </control>
      </mc:Choice>
      <mc:Fallback>
        <control shapeId="1177" r:id="rId8" name="chk_tax_credit"/>
      </mc:Fallback>
    </mc:AlternateContent>
    <mc:AlternateContent xmlns:mc="http://schemas.openxmlformats.org/markup-compatibility/2006">
      <mc:Choice Requires="x14">
        <control shapeId="1176" r:id="rId10" name="chk_operator_profit">
          <controlPr defaultSize="0" disabled="1" autoLine="0" r:id="rId11">
            <anchor moveWithCells="1">
              <from>
                <xdr:col>5</xdr:col>
                <xdr:colOff>184150</xdr:colOff>
                <xdr:row>155</xdr:row>
                <xdr:rowOff>12700</xdr:rowOff>
              </from>
              <to>
                <xdr:col>5</xdr:col>
                <xdr:colOff>1384300</xdr:colOff>
                <xdr:row>156</xdr:row>
                <xdr:rowOff>38100</xdr:rowOff>
              </to>
            </anchor>
          </controlPr>
        </control>
      </mc:Choice>
      <mc:Fallback>
        <control shapeId="1176" r:id="rId10" name="chk_operator_profit"/>
      </mc:Fallback>
    </mc:AlternateContent>
    <mc:AlternateContent xmlns:mc="http://schemas.openxmlformats.org/markup-compatibility/2006">
      <mc:Choice Requires="x14">
        <control shapeId="1175" r:id="rId12" name="chk_royalties">
          <controlPr defaultSize="0" disabled="1" autoLine="0" r:id="rId13">
            <anchor moveWithCells="1">
              <from>
                <xdr:col>5</xdr:col>
                <xdr:colOff>184150</xdr:colOff>
                <xdr:row>154</xdr:row>
                <xdr:rowOff>12700</xdr:rowOff>
              </from>
              <to>
                <xdr:col>5</xdr:col>
                <xdr:colOff>1384300</xdr:colOff>
                <xdr:row>155</xdr:row>
                <xdr:rowOff>38100</xdr:rowOff>
              </to>
            </anchor>
          </controlPr>
        </control>
      </mc:Choice>
      <mc:Fallback>
        <control shapeId="1175" r:id="rId12" name="chk_royalties"/>
      </mc:Fallback>
    </mc:AlternateContent>
    <mc:AlternateContent xmlns:mc="http://schemas.openxmlformats.org/markup-compatibility/2006">
      <mc:Choice Requires="x14">
        <control shapeId="1174" r:id="rId14" name="chk_tax_ins_rate">
          <controlPr defaultSize="0" autoLine="0" r:id="rId15">
            <anchor moveWithCells="1">
              <from>
                <xdr:col>3</xdr:col>
                <xdr:colOff>57150</xdr:colOff>
                <xdr:row>116</xdr:row>
                <xdr:rowOff>38100</xdr:rowOff>
              </from>
              <to>
                <xdr:col>3</xdr:col>
                <xdr:colOff>1263650</xdr:colOff>
                <xdr:row>116</xdr:row>
                <xdr:rowOff>292100</xdr:rowOff>
              </to>
            </anchor>
          </controlPr>
        </control>
      </mc:Choice>
      <mc:Fallback>
        <control shapeId="1174" r:id="rId14" name="chk_tax_ins_rate"/>
      </mc:Fallback>
    </mc:AlternateContent>
    <mc:AlternateContent xmlns:mc="http://schemas.openxmlformats.org/markup-compatibility/2006">
      <mc:Choice Requires="x14">
        <control shapeId="1173" r:id="rId16" name="chk_overhead_rate">
          <controlPr defaultSize="0" autoLine="0" r:id="rId17">
            <anchor moveWithCells="1">
              <from>
                <xdr:col>3</xdr:col>
                <xdr:colOff>76200</xdr:colOff>
                <xdr:row>113</xdr:row>
                <xdr:rowOff>12700</xdr:rowOff>
              </from>
              <to>
                <xdr:col>3</xdr:col>
                <xdr:colOff>1358900</xdr:colOff>
                <xdr:row>114</xdr:row>
                <xdr:rowOff>69850</xdr:rowOff>
              </to>
            </anchor>
          </controlPr>
        </control>
      </mc:Choice>
      <mc:Fallback>
        <control shapeId="1173" r:id="rId16" name="chk_overhead_rate"/>
      </mc:Fallback>
    </mc:AlternateContent>
    <mc:AlternateContent xmlns:mc="http://schemas.openxmlformats.org/markup-compatibility/2006">
      <mc:Choice Requires="x14">
        <control shapeId="1114" r:id="rId18" name="chk_WorkingCap">
          <controlPr defaultSize="0" autoLine="0" r:id="rId19">
            <anchor moveWithCells="1">
              <from>
                <xdr:col>3</xdr:col>
                <xdr:colOff>203200</xdr:colOff>
                <xdr:row>55</xdr:row>
                <xdr:rowOff>12700</xdr:rowOff>
              </from>
              <to>
                <xdr:col>4</xdr:col>
                <xdr:colOff>0</xdr:colOff>
                <xdr:row>56</xdr:row>
                <xdr:rowOff>38100</xdr:rowOff>
              </to>
            </anchor>
          </controlPr>
        </control>
      </mc:Choice>
      <mc:Fallback>
        <control shapeId="1114" r:id="rId18" name="chk_WorkingCap"/>
      </mc:Fallback>
    </mc:AlternateContent>
    <mc:AlternateContent xmlns:mc="http://schemas.openxmlformats.org/markup-compatibility/2006">
      <mc:Choice Requires="x14">
        <control shapeId="1113" r:id="rId20" name="chk_fed_tax_rate">
          <controlPr defaultSize="0" autoLine="0" r:id="rId21">
            <anchor moveWithCells="1">
              <from>
                <xdr:col>3</xdr:col>
                <xdr:colOff>203200</xdr:colOff>
                <xdr:row>53</xdr:row>
                <xdr:rowOff>12700</xdr:rowOff>
              </from>
              <to>
                <xdr:col>4</xdr:col>
                <xdr:colOff>0</xdr:colOff>
                <xdr:row>54</xdr:row>
                <xdr:rowOff>44450</xdr:rowOff>
              </to>
            </anchor>
          </controlPr>
        </control>
      </mc:Choice>
      <mc:Fallback>
        <control shapeId="1113" r:id="rId20" name="chk_fed_tax_rate"/>
      </mc:Fallback>
    </mc:AlternateContent>
    <mc:AlternateContent xmlns:mc="http://schemas.openxmlformats.org/markup-compatibility/2006">
      <mc:Choice Requires="x14">
        <control shapeId="1112" r:id="rId22" name="chk_state_tax_rate">
          <controlPr defaultSize="0" autoLine="0" r:id="rId23">
            <anchor moveWithCells="1">
              <from>
                <xdr:col>3</xdr:col>
                <xdr:colOff>203200</xdr:colOff>
                <xdr:row>52</xdr:row>
                <xdr:rowOff>12700</xdr:rowOff>
              </from>
              <to>
                <xdr:col>4</xdr:col>
                <xdr:colOff>0</xdr:colOff>
                <xdr:row>53</xdr:row>
                <xdr:rowOff>38100</xdr:rowOff>
              </to>
            </anchor>
          </controlPr>
        </control>
      </mc:Choice>
      <mc:Fallback>
        <control shapeId="1112" r:id="rId22" name="chk_state_tax_rate"/>
      </mc:Fallback>
    </mc:AlternateContent>
    <mc:AlternateContent xmlns:mc="http://schemas.openxmlformats.org/markup-compatibility/2006">
      <mc:Choice Requires="x14">
        <control shapeId="1111" r:id="rId24" name="chk_real_irr">
          <controlPr defaultSize="0" autoLine="0" r:id="rId25">
            <anchor moveWithCells="1">
              <from>
                <xdr:col>3</xdr:col>
                <xdr:colOff>203200</xdr:colOff>
                <xdr:row>51</xdr:row>
                <xdr:rowOff>12700</xdr:rowOff>
              </from>
              <to>
                <xdr:col>4</xdr:col>
                <xdr:colOff>0</xdr:colOff>
                <xdr:row>52</xdr:row>
                <xdr:rowOff>44450</xdr:rowOff>
              </to>
            </anchor>
          </controlPr>
        </control>
      </mc:Choice>
      <mc:Fallback>
        <control shapeId="1111" r:id="rId24" name="chk_real_irr"/>
      </mc:Fallback>
    </mc:AlternateContent>
    <mc:AlternateContent xmlns:mc="http://schemas.openxmlformats.org/markup-compatibility/2006">
      <mc:Choice Requires="x14">
        <control shapeId="1110" r:id="rId26" name="chk_inflation_rate">
          <controlPr defaultSize="0" autoLine="0" r:id="rId27">
            <anchor moveWithCells="1">
              <from>
                <xdr:col>3</xdr:col>
                <xdr:colOff>203200</xdr:colOff>
                <xdr:row>50</xdr:row>
                <xdr:rowOff>12700</xdr:rowOff>
              </from>
              <to>
                <xdr:col>4</xdr:col>
                <xdr:colOff>0</xdr:colOff>
                <xdr:row>51</xdr:row>
                <xdr:rowOff>38100</xdr:rowOff>
              </to>
            </anchor>
          </controlPr>
        </control>
      </mc:Choice>
      <mc:Fallback>
        <control shapeId="1110" r:id="rId26" name="chk_inflation_rate"/>
      </mc:Fallback>
    </mc:AlternateContent>
    <mc:AlternateContent xmlns:mc="http://schemas.openxmlformats.org/markup-compatibility/2006">
      <mc:Choice Requires="x14">
        <control shapeId="1109" r:id="rId28" name="chk_salvage_perct">
          <controlPr defaultSize="0" autoLine="0" r:id="rId29">
            <anchor moveWithCells="1">
              <from>
                <xdr:col>3</xdr:col>
                <xdr:colOff>203200</xdr:colOff>
                <xdr:row>49</xdr:row>
                <xdr:rowOff>12700</xdr:rowOff>
              </from>
              <to>
                <xdr:col>4</xdr:col>
                <xdr:colOff>0</xdr:colOff>
                <xdr:row>50</xdr:row>
                <xdr:rowOff>38100</xdr:rowOff>
              </to>
            </anchor>
          </controlPr>
        </control>
      </mc:Choice>
      <mc:Fallback>
        <control shapeId="1109" r:id="rId28" name="chk_salvage_perct"/>
      </mc:Fallback>
    </mc:AlternateContent>
    <mc:AlternateContent xmlns:mc="http://schemas.openxmlformats.org/markup-compatibility/2006">
      <mc:Choice Requires="x14">
        <control shapeId="1098" r:id="rId30" name="chk_decom_percent">
          <controlPr defaultSize="0" autoLine="0" r:id="rId31">
            <anchor moveWithCells="1">
              <from>
                <xdr:col>3</xdr:col>
                <xdr:colOff>203200</xdr:colOff>
                <xdr:row>48</xdr:row>
                <xdr:rowOff>12700</xdr:rowOff>
              </from>
              <to>
                <xdr:col>4</xdr:col>
                <xdr:colOff>0</xdr:colOff>
                <xdr:row>49</xdr:row>
                <xdr:rowOff>38100</xdr:rowOff>
              </to>
            </anchor>
          </controlPr>
        </control>
      </mc:Choice>
      <mc:Fallback>
        <control shapeId="1098" r:id="rId30" name="chk_decom_percent"/>
      </mc:Fallback>
    </mc:AlternateContent>
    <mc:AlternateContent xmlns:mc="http://schemas.openxmlformats.org/markup-compatibility/2006">
      <mc:Choice Requires="x14">
        <control shapeId="1097" r:id="rId32" name="chk_ref_year">
          <controlPr defaultSize="0" autoLine="0" r:id="rId33">
            <anchor moveWithCells="1">
              <from>
                <xdr:col>3</xdr:col>
                <xdr:colOff>203200</xdr:colOff>
                <xdr:row>29</xdr:row>
                <xdr:rowOff>12700</xdr:rowOff>
              </from>
              <to>
                <xdr:col>4</xdr:col>
                <xdr:colOff>0</xdr:colOff>
                <xdr:row>30</xdr:row>
                <xdr:rowOff>69850</xdr:rowOff>
              </to>
            </anchor>
          </controlPr>
        </control>
      </mc:Choice>
      <mc:Fallback>
        <control shapeId="1097" r:id="rId32" name="chk_ref_year"/>
      </mc:Fallback>
    </mc:AlternateContent>
    <mc:AlternateContent xmlns:mc="http://schemas.openxmlformats.org/markup-compatibility/2006">
      <mc:Choice Requires="x14">
        <control shapeId="1096" r:id="rId34" name="chk_equity">
          <controlPr defaultSize="0" autoLine="0" r:id="rId35">
            <anchor moveWithCells="1">
              <from>
                <xdr:col>3</xdr:col>
                <xdr:colOff>203200</xdr:colOff>
                <xdr:row>42</xdr:row>
                <xdr:rowOff>12700</xdr:rowOff>
              </from>
              <to>
                <xdr:col>4</xdr:col>
                <xdr:colOff>0</xdr:colOff>
                <xdr:row>43</xdr:row>
                <xdr:rowOff>44450</xdr:rowOff>
              </to>
            </anchor>
          </controlPr>
        </control>
      </mc:Choice>
      <mc:Fallback>
        <control shapeId="1096" r:id="rId34" name="chk_equity"/>
      </mc:Fallback>
    </mc:AlternateContent>
    <mc:AlternateContent xmlns:mc="http://schemas.openxmlformats.org/markup-compatibility/2006">
      <mc:Choice Requires="x14">
        <control shapeId="1093" r:id="rId36" name="chk_depr_type">
          <controlPr defaultSize="0" autoLine="0" r:id="rId37">
            <anchor moveWithCells="1">
              <from>
                <xdr:col>3</xdr:col>
                <xdr:colOff>203200</xdr:colOff>
                <xdr:row>40</xdr:row>
                <xdr:rowOff>184150</xdr:rowOff>
              </from>
              <to>
                <xdr:col>4</xdr:col>
                <xdr:colOff>0</xdr:colOff>
                <xdr:row>41</xdr:row>
                <xdr:rowOff>203200</xdr:rowOff>
              </to>
            </anchor>
          </controlPr>
        </control>
      </mc:Choice>
      <mc:Fallback>
        <control shapeId="1093" r:id="rId36" name="chk_depr_type"/>
      </mc:Fallback>
    </mc:AlternateContent>
    <mc:AlternateContent xmlns:mc="http://schemas.openxmlformats.org/markup-compatibility/2006">
      <mc:Choice Requires="x14">
        <control shapeId="1085" r:id="rId38" name="Label3">
          <controlPr defaultSize="0" autoLine="0" r:id="rId39">
            <anchor moveWithCells="1">
              <from>
                <xdr:col>3</xdr:col>
                <xdr:colOff>298450</xdr:colOff>
                <xdr:row>131</xdr:row>
                <xdr:rowOff>50800</xdr:rowOff>
              </from>
              <to>
                <xdr:col>3</xdr:col>
                <xdr:colOff>660400</xdr:colOff>
                <xdr:row>132</xdr:row>
                <xdr:rowOff>31750</xdr:rowOff>
              </to>
            </anchor>
          </controlPr>
        </control>
      </mc:Choice>
      <mc:Fallback>
        <control shapeId="1085" r:id="rId38" name="Label3"/>
      </mc:Fallback>
    </mc:AlternateContent>
    <mc:AlternateContent xmlns:mc="http://schemas.openxmlformats.org/markup-compatibility/2006">
      <mc:Choice Requires="x14">
        <control shapeId="1083" r:id="rId40" name="lblUseOtherDefault">
          <controlPr defaultSize="0" autoLine="0" r:id="rId41">
            <anchor moveWithCells="1">
              <from>
                <xdr:col>1</xdr:col>
                <xdr:colOff>2222500</xdr:colOff>
                <xdr:row>131</xdr:row>
                <xdr:rowOff>38100</xdr:rowOff>
              </from>
              <to>
                <xdr:col>1</xdr:col>
                <xdr:colOff>3841750</xdr:colOff>
                <xdr:row>132</xdr:row>
                <xdr:rowOff>12700</xdr:rowOff>
              </to>
            </anchor>
          </controlPr>
        </control>
      </mc:Choice>
      <mc:Fallback>
        <control shapeId="1083" r:id="rId40" name="lblUseOtherDefault"/>
      </mc:Fallback>
    </mc:AlternateContent>
    <mc:AlternateContent xmlns:mc="http://schemas.openxmlformats.org/markup-compatibility/2006">
      <mc:Choice Requires="x14">
        <control shapeId="1076" r:id="rId42" name="chkNonEnergyByProd">
          <controlPr defaultSize="0" autoLine="0" r:id="rId43">
            <anchor moveWithCells="1">
              <from>
                <xdr:col>2</xdr:col>
                <xdr:colOff>285750</xdr:colOff>
                <xdr:row>128</xdr:row>
                <xdr:rowOff>247650</xdr:rowOff>
              </from>
              <to>
                <xdr:col>3</xdr:col>
                <xdr:colOff>336550</xdr:colOff>
                <xdr:row>129</xdr:row>
                <xdr:rowOff>273050</xdr:rowOff>
              </to>
            </anchor>
          </controlPr>
        </control>
      </mc:Choice>
      <mc:Fallback>
        <control shapeId="1076" r:id="rId42" name="chkNonEnergyByProd"/>
      </mc:Fallback>
    </mc:AlternateContent>
    <mc:AlternateContent xmlns:mc="http://schemas.openxmlformats.org/markup-compatibility/2006">
      <mc:Choice Requires="x14">
        <control shapeId="1063" r:id="rId44" name="lblUseDfltPrice">
          <controlPr defaultSize="0" autoLine="0" r:id="rId45">
            <anchor moveWithCells="1">
              <from>
                <xdr:col>1</xdr:col>
                <xdr:colOff>2495550</xdr:colOff>
                <xdr:row>66</xdr:row>
                <xdr:rowOff>31750</xdr:rowOff>
              </from>
              <to>
                <xdr:col>1</xdr:col>
                <xdr:colOff>3924300</xdr:colOff>
                <xdr:row>67</xdr:row>
                <xdr:rowOff>0</xdr:rowOff>
              </to>
            </anchor>
          </controlPr>
        </control>
      </mc:Choice>
      <mc:Fallback>
        <control shapeId="1063" r:id="rId44" name="lblUseDfltPrice"/>
      </mc:Fallback>
    </mc:AlternateContent>
    <mc:AlternateContent xmlns:mc="http://schemas.openxmlformats.org/markup-compatibility/2006">
      <mc:Choice Requires="x14">
        <control shapeId="1061" r:id="rId46" name="Label1">
          <controlPr defaultSize="0" autoLine="0" r:id="rId47">
            <anchor moveWithCells="1">
              <from>
                <xdr:col>3</xdr:col>
                <xdr:colOff>165100</xdr:colOff>
                <xdr:row>66</xdr:row>
                <xdr:rowOff>12700</xdr:rowOff>
              </from>
              <to>
                <xdr:col>3</xdr:col>
                <xdr:colOff>533400</xdr:colOff>
                <xdr:row>66</xdr:row>
                <xdr:rowOff>228600</xdr:rowOff>
              </to>
            </anchor>
          </controlPr>
        </control>
      </mc:Choice>
      <mc:Fallback>
        <control shapeId="1061" r:id="rId46" name="Label1"/>
      </mc:Fallback>
    </mc:AlternateContent>
  </controls>
  <extLs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115" zoomScaleNormal="115" workbookViewId="0">
      <selection activeCell="D20" sqref="D20"/>
    </sheetView>
  </sheetViews>
  <sheetFormatPr defaultColWidth="9.1796875" defaultRowHeight="12.5" x14ac:dyDescent="0.25"/>
  <cols>
    <col min="1" max="1" width="16.26953125" style="210" customWidth="1"/>
    <col min="2" max="2" width="17.453125" style="210" customWidth="1"/>
    <col min="3" max="5" width="19.54296875" style="210" customWidth="1"/>
    <col min="6" max="6" width="19.453125" style="210" customWidth="1"/>
    <col min="7" max="7" width="21.81640625" style="210" customWidth="1"/>
    <col min="8" max="8" width="23.26953125" style="210" customWidth="1"/>
    <col min="9" max="10" width="19.1796875" style="210" customWidth="1"/>
    <col min="11" max="11" width="47.26953125" style="210" customWidth="1"/>
    <col min="12" max="12" width="30.26953125" style="210" customWidth="1"/>
    <col min="13" max="13" width="40.1796875" style="210" customWidth="1"/>
    <col min="14" max="14" width="20" style="210" customWidth="1"/>
    <col min="15" max="16384" width="9.1796875" style="210"/>
  </cols>
  <sheetData>
    <row r="1" spans="1:12" x14ac:dyDescent="0.25">
      <c r="B1" s="38"/>
      <c r="C1" s="38"/>
      <c r="D1" s="38"/>
      <c r="E1" s="38"/>
      <c r="F1" s="38"/>
      <c r="G1" s="38"/>
    </row>
    <row r="2" spans="1:12" ht="22" x14ac:dyDescent="0.65">
      <c r="A2" s="815" t="s">
        <v>1027</v>
      </c>
      <c r="B2" s="38"/>
      <c r="C2" s="38"/>
      <c r="D2" s="38"/>
      <c r="E2" s="38"/>
      <c r="F2" s="38"/>
      <c r="G2" s="38"/>
    </row>
    <row r="3" spans="1:12" ht="13" x14ac:dyDescent="0.25">
      <c r="B3" s="41"/>
      <c r="C3" s="41"/>
      <c r="D3" s="41"/>
      <c r="E3" s="41"/>
      <c r="F3" s="41"/>
      <c r="G3" s="44"/>
      <c r="H3" s="211"/>
      <c r="I3" s="211"/>
      <c r="J3" s="211"/>
    </row>
    <row r="4" spans="1:12" ht="13" x14ac:dyDescent="0.25">
      <c r="B4" s="41"/>
      <c r="C4" s="41"/>
      <c r="D4" s="41"/>
      <c r="E4" s="41"/>
      <c r="F4" s="41"/>
      <c r="G4" s="44"/>
      <c r="H4" s="211"/>
      <c r="I4" s="211"/>
      <c r="J4" s="211"/>
    </row>
    <row r="5" spans="1:12" customFormat="1" ht="15.5" x14ac:dyDescent="0.35">
      <c r="C5" s="817" t="s">
        <v>233</v>
      </c>
      <c r="D5" s="817"/>
      <c r="E5" s="817"/>
    </row>
    <row r="6" spans="1:12" customFormat="1" x14ac:dyDescent="0.25"/>
    <row r="7" spans="1:12" customFormat="1" x14ac:dyDescent="0.25"/>
    <row r="8" spans="1:12" customFormat="1" x14ac:dyDescent="0.25"/>
    <row r="9" spans="1:12" customFormat="1" ht="13" x14ac:dyDescent="0.25">
      <c r="A9" s="816" t="str">
        <f>"NOTE: Enter costs in year "&amp;TEXT(BasisYear,"0")&amp;" $ - Do not inflate"</f>
        <v>NOTE: Enter costs in year 2005 $ - Do not inflate</v>
      </c>
    </row>
    <row r="10" spans="1:12" customFormat="1" ht="13" x14ac:dyDescent="0.25">
      <c r="A10" s="816" t="s">
        <v>1028</v>
      </c>
    </row>
    <row r="11" spans="1:12" customFormat="1" x14ac:dyDescent="0.25"/>
    <row r="12" spans="1:12" ht="13.5" thickBot="1" x14ac:dyDescent="0.35">
      <c r="A12" s="212"/>
      <c r="B12" s="212"/>
      <c r="C12" s="212"/>
      <c r="D12" s="212"/>
      <c r="E12" s="212"/>
      <c r="F12" s="212"/>
      <c r="G12" s="212"/>
      <c r="H12" s="213"/>
      <c r="I12" s="213"/>
      <c r="J12" s="213"/>
    </row>
    <row r="13" spans="1:12" ht="14" thickTop="1" thickBot="1" x14ac:dyDescent="0.35">
      <c r="A13" s="337" t="s">
        <v>1029</v>
      </c>
      <c r="B13" s="338"/>
      <c r="C13" s="339"/>
      <c r="D13" s="339"/>
      <c r="E13" s="339"/>
      <c r="F13" s="340"/>
      <c r="G13" s="341"/>
    </row>
    <row r="14" spans="1:12" ht="14" thickTop="1" thickBot="1" x14ac:dyDescent="0.35">
      <c r="A14" s="342"/>
      <c r="B14" s="343"/>
      <c r="C14" s="344" t="s">
        <v>1030</v>
      </c>
      <c r="D14" s="344"/>
      <c r="E14" s="344"/>
      <c r="F14" s="344" t="s">
        <v>1031</v>
      </c>
      <c r="G14" s="345" t="s">
        <v>1032</v>
      </c>
    </row>
    <row r="15" spans="1:12" s="209" customFormat="1" ht="79" thickTop="1" thickBot="1" x14ac:dyDescent="0.35">
      <c r="A15" s="346" t="s">
        <v>183</v>
      </c>
      <c r="B15" s="529">
        <f>replace_factor</f>
        <v>5.0000000000000001E-3</v>
      </c>
      <c r="C15" s="347"/>
      <c r="D15" s="347"/>
      <c r="E15" s="347"/>
      <c r="F15" s="348"/>
      <c r="G15" s="349" t="s">
        <v>1033</v>
      </c>
      <c r="I15" s="221"/>
      <c r="J15" s="210"/>
      <c r="K15" s="214"/>
    </row>
    <row r="16" spans="1:12" ht="53" thickTop="1" thickBot="1" x14ac:dyDescent="0.35">
      <c r="A16" s="350" t="s">
        <v>1034</v>
      </c>
      <c r="B16" s="351" t="s">
        <v>40</v>
      </c>
      <c r="C16" s="352" t="s">
        <v>1035</v>
      </c>
      <c r="D16" s="352" t="s">
        <v>1036</v>
      </c>
      <c r="E16" s="352" t="s">
        <v>1292</v>
      </c>
      <c r="F16" s="352" t="s">
        <v>1036</v>
      </c>
      <c r="G16" s="352" t="s">
        <v>1037</v>
      </c>
      <c r="H16" s="352" t="s">
        <v>1075</v>
      </c>
      <c r="I16" s="352" t="s">
        <v>1076</v>
      </c>
      <c r="J16" s="352" t="s">
        <v>1077</v>
      </c>
      <c r="K16" s="353" t="s">
        <v>1078</v>
      </c>
      <c r="L16" s="354" t="s">
        <v>1079</v>
      </c>
    </row>
    <row r="17" spans="1:12" ht="14" thickTop="1" thickBot="1" x14ac:dyDescent="0.35">
      <c r="A17" s="355"/>
      <c r="B17" s="356"/>
      <c r="C17" s="356"/>
      <c r="D17" s="356" t="str">
        <f>"Year "&amp;TEXT(BasisYear,"0")&amp;" $"</f>
        <v>Year 2005 $</v>
      </c>
      <c r="E17" s="356" t="str">
        <f>"Year "&amp;TEXT(ref_year,"0")&amp;" $"</f>
        <v>Year 2016 $</v>
      </c>
      <c r="F17" s="356" t="str">
        <f>"Year "&amp;TEXT(ref_year,"0")&amp;" $"</f>
        <v>Year 2016 $</v>
      </c>
      <c r="G17" s="356" t="str">
        <f>"Year "&amp;TEXT(ref_year,"0")&amp;" $"</f>
        <v>Year 2016 $</v>
      </c>
      <c r="H17" s="356" t="s">
        <v>1080</v>
      </c>
      <c r="I17" s="356"/>
      <c r="J17" s="356"/>
      <c r="K17" s="357"/>
      <c r="L17" s="358"/>
    </row>
    <row r="18" spans="1:12" ht="13" thickTop="1" x14ac:dyDescent="0.25">
      <c r="A18" s="92">
        <f>IF(C18&lt;&gt;"",'Cash Flow Analysis'!A65,"")</f>
        <v>2037</v>
      </c>
      <c r="B18" s="313">
        <f>construct+1</f>
        <v>4</v>
      </c>
      <c r="C18" s="313">
        <v>1</v>
      </c>
      <c r="D18" s="482"/>
      <c r="E18" s="215">
        <f ca="1">+'Carbon Sequestration'!$C$100*(C18&lt;=anal_period)</f>
        <v>13144261.781462643</v>
      </c>
      <c r="F18" s="215">
        <f t="shared" ref="F18:F57" ca="1" si="0">(D18)*CPIinflator*CEPCIinflator+E18</f>
        <v>13144261.781462643</v>
      </c>
      <c r="G18" s="215">
        <f ca="1">IF(C18&gt;anal_period,0,IF(replace_factor&lt;&gt;"",replace_factor*depr_cap,0))</f>
        <v>2128357.0441717017</v>
      </c>
      <c r="H18" s="216">
        <f ca="1">(F18+G18)*((1+inflation_rate)^(startup_year-ref_year))</f>
        <v>23993517.930796217</v>
      </c>
      <c r="I18" s="359"/>
      <c r="J18" s="360"/>
      <c r="K18" s="361"/>
      <c r="L18" s="362"/>
    </row>
    <row r="19" spans="1:12" x14ac:dyDescent="0.25">
      <c r="A19" s="94">
        <f>IF(C19&lt;&gt;"",'Cash Flow Analysis'!A66,"")</f>
        <v>2038</v>
      </c>
      <c r="B19" s="314">
        <f t="shared" ref="B19:B57" si="1">IF(B18&lt;anal_period+construct,B18+1,"")</f>
        <v>5</v>
      </c>
      <c r="C19" s="314">
        <f t="shared" ref="C19:C57" si="2">IF(B19="","",C18+1)</f>
        <v>2</v>
      </c>
      <c r="D19" s="483"/>
      <c r="E19" s="217">
        <f ca="1">+'Carbon Sequestration'!$C$100*(C19&lt;=anal_period)</f>
        <v>13144261.781462643</v>
      </c>
      <c r="F19" s="217">
        <f t="shared" ca="1" si="0"/>
        <v>13144261.781462643</v>
      </c>
      <c r="G19" s="217">
        <f t="shared" ref="G19:G57" ca="1" si="3">IF(C19&gt;anal_period,0,IF(replace_factor&lt;&gt;"",replace_factor*depr_cap,0))</f>
        <v>2128357.0441717017</v>
      </c>
      <c r="H19" s="218">
        <f t="shared" ref="H19:H57" ca="1" si="4">(F19+G19)*((1+inflation_rate)^(startup_year-ref_year))</f>
        <v>23993517.930796217</v>
      </c>
      <c r="I19" s="363"/>
      <c r="J19" s="364"/>
      <c r="K19" s="365"/>
      <c r="L19" s="366"/>
    </row>
    <row r="20" spans="1:12" x14ac:dyDescent="0.25">
      <c r="A20" s="94">
        <f>IF(C20&lt;&gt;"",'Cash Flow Analysis'!A67,"")</f>
        <v>2039</v>
      </c>
      <c r="B20" s="314">
        <f t="shared" si="1"/>
        <v>6</v>
      </c>
      <c r="C20" s="314">
        <f t="shared" si="2"/>
        <v>3</v>
      </c>
      <c r="D20" s="483"/>
      <c r="E20" s="217">
        <f ca="1">+'Carbon Sequestration'!$C$100*(C20&lt;=anal_period)</f>
        <v>13144261.781462643</v>
      </c>
      <c r="F20" s="217">
        <f t="shared" ca="1" si="0"/>
        <v>13144261.781462643</v>
      </c>
      <c r="G20" s="217">
        <f t="shared" ca="1" si="3"/>
        <v>2128357.0441717017</v>
      </c>
      <c r="H20" s="218">
        <f t="shared" ca="1" si="4"/>
        <v>23993517.930796217</v>
      </c>
      <c r="I20" s="363"/>
      <c r="J20" s="364"/>
      <c r="K20" s="365"/>
      <c r="L20" s="366"/>
    </row>
    <row r="21" spans="1:12" x14ac:dyDescent="0.25">
      <c r="A21" s="94">
        <f>IF(C21&lt;&gt;"",'Cash Flow Analysis'!A68,"")</f>
        <v>2040</v>
      </c>
      <c r="B21" s="314">
        <f t="shared" si="1"/>
        <v>7</v>
      </c>
      <c r="C21" s="314">
        <f t="shared" si="2"/>
        <v>4</v>
      </c>
      <c r="D21" s="483"/>
      <c r="E21" s="217">
        <f ca="1">+'Carbon Sequestration'!$C$100*(C21&lt;=anal_period)</f>
        <v>13144261.781462643</v>
      </c>
      <c r="F21" s="217">
        <f t="shared" ca="1" si="0"/>
        <v>13144261.781462643</v>
      </c>
      <c r="G21" s="217">
        <f t="shared" ca="1" si="3"/>
        <v>2128357.0441717017</v>
      </c>
      <c r="H21" s="218">
        <f t="shared" ca="1" si="4"/>
        <v>23993517.930796217</v>
      </c>
      <c r="I21" s="363"/>
      <c r="J21" s="364"/>
      <c r="K21" s="365"/>
      <c r="L21" s="366"/>
    </row>
    <row r="22" spans="1:12" x14ac:dyDescent="0.25">
      <c r="A22" s="94">
        <f>IF(C22&lt;&gt;"",'Cash Flow Analysis'!A69,"")</f>
        <v>2041</v>
      </c>
      <c r="B22" s="314">
        <f t="shared" si="1"/>
        <v>8</v>
      </c>
      <c r="C22" s="314">
        <f t="shared" si="2"/>
        <v>5</v>
      </c>
      <c r="D22" s="483"/>
      <c r="E22" s="217">
        <f ca="1">+'Carbon Sequestration'!$C$100*(C22&lt;=anal_period)</f>
        <v>13144261.781462643</v>
      </c>
      <c r="F22" s="217">
        <f t="shared" ca="1" si="0"/>
        <v>13144261.781462643</v>
      </c>
      <c r="G22" s="217">
        <f t="shared" ca="1" si="3"/>
        <v>2128357.0441717017</v>
      </c>
      <c r="H22" s="218">
        <f t="shared" ca="1" si="4"/>
        <v>23993517.930796217</v>
      </c>
      <c r="I22" s="363"/>
      <c r="J22" s="364"/>
      <c r="K22" s="903"/>
      <c r="L22" s="904"/>
    </row>
    <row r="23" spans="1:12" x14ac:dyDescent="0.25">
      <c r="A23" s="94">
        <f>IF(C23&lt;&gt;"",'Cash Flow Analysis'!A70,"")</f>
        <v>2042</v>
      </c>
      <c r="B23" s="314">
        <f t="shared" si="1"/>
        <v>9</v>
      </c>
      <c r="C23" s="314">
        <f t="shared" si="2"/>
        <v>6</v>
      </c>
      <c r="D23" s="483"/>
      <c r="E23" s="217">
        <f ca="1">+'Carbon Sequestration'!$C$100*(C23&lt;=anal_period)</f>
        <v>13144261.781462643</v>
      </c>
      <c r="F23" s="217">
        <f t="shared" ca="1" si="0"/>
        <v>13144261.781462643</v>
      </c>
      <c r="G23" s="217">
        <f t="shared" ca="1" si="3"/>
        <v>2128357.0441717017</v>
      </c>
      <c r="H23" s="218">
        <f t="shared" ca="1" si="4"/>
        <v>23993517.930796217</v>
      </c>
      <c r="I23" s="363"/>
      <c r="J23" s="364"/>
      <c r="K23" s="365"/>
      <c r="L23" s="366"/>
    </row>
    <row r="24" spans="1:12" x14ac:dyDescent="0.25">
      <c r="A24" s="94">
        <f>IF(C24&lt;&gt;"",'Cash Flow Analysis'!A71,"")</f>
        <v>2043</v>
      </c>
      <c r="B24" s="314">
        <f t="shared" si="1"/>
        <v>10</v>
      </c>
      <c r="C24" s="314">
        <f t="shared" si="2"/>
        <v>7</v>
      </c>
      <c r="D24" s="483"/>
      <c r="E24" s="217">
        <f ca="1">+'Carbon Sequestration'!$C$100*(C24&lt;=anal_period)</f>
        <v>13144261.781462643</v>
      </c>
      <c r="F24" s="217">
        <f t="shared" ca="1" si="0"/>
        <v>13144261.781462643</v>
      </c>
      <c r="G24" s="217">
        <f t="shared" ca="1" si="3"/>
        <v>2128357.0441717017</v>
      </c>
      <c r="H24" s="218">
        <f t="shared" ca="1" si="4"/>
        <v>23993517.930796217</v>
      </c>
      <c r="I24" s="363"/>
      <c r="J24" s="364"/>
      <c r="K24" s="365"/>
      <c r="L24" s="366"/>
    </row>
    <row r="25" spans="1:12" x14ac:dyDescent="0.25">
      <c r="A25" s="94">
        <f>IF(C25&lt;&gt;"",'Cash Flow Analysis'!A72,"")</f>
        <v>2044</v>
      </c>
      <c r="B25" s="314">
        <f t="shared" si="1"/>
        <v>11</v>
      </c>
      <c r="C25" s="314">
        <f t="shared" si="2"/>
        <v>8</v>
      </c>
      <c r="D25" s="483"/>
      <c r="E25" s="217">
        <f ca="1">+'Carbon Sequestration'!$C$100*(C25&lt;=anal_period)</f>
        <v>13144261.781462643</v>
      </c>
      <c r="F25" s="217">
        <f t="shared" ca="1" si="0"/>
        <v>13144261.781462643</v>
      </c>
      <c r="G25" s="217">
        <f t="shared" ca="1" si="3"/>
        <v>2128357.0441717017</v>
      </c>
      <c r="H25" s="218">
        <f t="shared" ca="1" si="4"/>
        <v>23993517.930796217</v>
      </c>
      <c r="I25" s="363"/>
      <c r="J25" s="364"/>
      <c r="K25" s="365"/>
      <c r="L25" s="366"/>
    </row>
    <row r="26" spans="1:12" x14ac:dyDescent="0.25">
      <c r="A26" s="94">
        <f>IF(C26&lt;&gt;"",'Cash Flow Analysis'!A73,"")</f>
        <v>2045</v>
      </c>
      <c r="B26" s="314">
        <f t="shared" si="1"/>
        <v>12</v>
      </c>
      <c r="C26" s="314">
        <f t="shared" si="2"/>
        <v>9</v>
      </c>
      <c r="D26" s="483"/>
      <c r="E26" s="217">
        <f ca="1">+'Carbon Sequestration'!$C$100*(C26&lt;=anal_period)</f>
        <v>13144261.781462643</v>
      </c>
      <c r="F26" s="217">
        <f t="shared" ca="1" si="0"/>
        <v>13144261.781462643</v>
      </c>
      <c r="G26" s="217">
        <f t="shared" ca="1" si="3"/>
        <v>2128357.0441717017</v>
      </c>
      <c r="H26" s="218">
        <f t="shared" ca="1" si="4"/>
        <v>23993517.930796217</v>
      </c>
      <c r="I26" s="363"/>
      <c r="J26" s="364"/>
      <c r="K26" s="365"/>
      <c r="L26" s="366"/>
    </row>
    <row r="27" spans="1:12" x14ac:dyDescent="0.25">
      <c r="A27" s="94">
        <f>IF(C27&lt;&gt;"",'Cash Flow Analysis'!A74,"")</f>
        <v>2046</v>
      </c>
      <c r="B27" s="314">
        <f t="shared" si="1"/>
        <v>13</v>
      </c>
      <c r="C27" s="314">
        <f t="shared" si="2"/>
        <v>10</v>
      </c>
      <c r="D27" s="483"/>
      <c r="E27" s="217">
        <f ca="1">+'Carbon Sequestration'!$C$100*(C27&lt;=anal_period)</f>
        <v>13144261.781462643</v>
      </c>
      <c r="F27" s="217">
        <f t="shared" ca="1" si="0"/>
        <v>13144261.781462643</v>
      </c>
      <c r="G27" s="217">
        <f t="shared" ca="1" si="3"/>
        <v>2128357.0441717017</v>
      </c>
      <c r="H27" s="218">
        <f t="shared" ca="1" si="4"/>
        <v>23993517.930796217</v>
      </c>
      <c r="I27" s="363"/>
      <c r="J27" s="364"/>
      <c r="K27" s="365"/>
      <c r="L27" s="366"/>
    </row>
    <row r="28" spans="1:12" x14ac:dyDescent="0.25">
      <c r="A28" s="94">
        <f>IF(C28&lt;&gt;"",'Cash Flow Analysis'!A75,"")</f>
        <v>2047</v>
      </c>
      <c r="B28" s="314">
        <f t="shared" si="1"/>
        <v>14</v>
      </c>
      <c r="C28" s="314">
        <f t="shared" si="2"/>
        <v>11</v>
      </c>
      <c r="D28" s="483"/>
      <c r="E28" s="217">
        <f ca="1">+'Carbon Sequestration'!$C$100*(C28&lt;=anal_period)</f>
        <v>13144261.781462643</v>
      </c>
      <c r="F28" s="217">
        <f t="shared" ca="1" si="0"/>
        <v>13144261.781462643</v>
      </c>
      <c r="G28" s="217">
        <f t="shared" ca="1" si="3"/>
        <v>2128357.0441717017</v>
      </c>
      <c r="H28" s="218">
        <f t="shared" ca="1" si="4"/>
        <v>23993517.930796217</v>
      </c>
      <c r="I28" s="363"/>
      <c r="J28" s="364"/>
      <c r="K28" s="365"/>
      <c r="L28" s="366"/>
    </row>
    <row r="29" spans="1:12" x14ac:dyDescent="0.25">
      <c r="A29" s="94">
        <f>IF(C29&lt;&gt;"",'Cash Flow Analysis'!A76,"")</f>
        <v>2048</v>
      </c>
      <c r="B29" s="314">
        <f t="shared" si="1"/>
        <v>15</v>
      </c>
      <c r="C29" s="314">
        <f t="shared" si="2"/>
        <v>12</v>
      </c>
      <c r="D29" s="483"/>
      <c r="E29" s="217">
        <f ca="1">+'Carbon Sequestration'!$C$100*(C29&lt;=anal_period)</f>
        <v>13144261.781462643</v>
      </c>
      <c r="F29" s="217">
        <f t="shared" ca="1" si="0"/>
        <v>13144261.781462643</v>
      </c>
      <c r="G29" s="217">
        <f t="shared" ca="1" si="3"/>
        <v>2128357.0441717017</v>
      </c>
      <c r="H29" s="218">
        <f t="shared" ca="1" si="4"/>
        <v>23993517.930796217</v>
      </c>
      <c r="I29" s="363"/>
      <c r="J29" s="364"/>
      <c r="K29" s="365"/>
      <c r="L29" s="366"/>
    </row>
    <row r="30" spans="1:12" x14ac:dyDescent="0.25">
      <c r="A30" s="94">
        <f>IF(C30&lt;&gt;"",'Cash Flow Analysis'!A77,"")</f>
        <v>2049</v>
      </c>
      <c r="B30" s="314">
        <f t="shared" si="1"/>
        <v>16</v>
      </c>
      <c r="C30" s="314">
        <f t="shared" si="2"/>
        <v>13</v>
      </c>
      <c r="D30" s="483"/>
      <c r="E30" s="217">
        <f ca="1">+'Carbon Sequestration'!$C$100*(C30&lt;=anal_period)</f>
        <v>13144261.781462643</v>
      </c>
      <c r="F30" s="217">
        <f t="shared" ca="1" si="0"/>
        <v>13144261.781462643</v>
      </c>
      <c r="G30" s="217">
        <f t="shared" ca="1" si="3"/>
        <v>2128357.0441717017</v>
      </c>
      <c r="H30" s="218">
        <f t="shared" ca="1" si="4"/>
        <v>23993517.930796217</v>
      </c>
      <c r="I30" s="363"/>
      <c r="J30" s="364"/>
      <c r="K30" s="365"/>
      <c r="L30" s="366"/>
    </row>
    <row r="31" spans="1:12" x14ac:dyDescent="0.25">
      <c r="A31" s="94">
        <f>IF(C31&lt;&gt;"",'Cash Flow Analysis'!A78,"")</f>
        <v>2050</v>
      </c>
      <c r="B31" s="314">
        <f t="shared" si="1"/>
        <v>17</v>
      </c>
      <c r="C31" s="314">
        <f t="shared" si="2"/>
        <v>14</v>
      </c>
      <c r="D31" s="483"/>
      <c r="E31" s="217">
        <f ca="1">+'Carbon Sequestration'!$C$100*(C31&lt;=anal_period)</f>
        <v>13144261.781462643</v>
      </c>
      <c r="F31" s="217">
        <f t="shared" ca="1" si="0"/>
        <v>13144261.781462643</v>
      </c>
      <c r="G31" s="217">
        <f t="shared" ca="1" si="3"/>
        <v>2128357.0441717017</v>
      </c>
      <c r="H31" s="218">
        <f t="shared" ca="1" si="4"/>
        <v>23993517.930796217</v>
      </c>
      <c r="I31" s="363"/>
      <c r="J31" s="364"/>
      <c r="K31" s="365"/>
      <c r="L31" s="366"/>
    </row>
    <row r="32" spans="1:12" x14ac:dyDescent="0.25">
      <c r="A32" s="94">
        <f>IF(C32&lt;&gt;"",'Cash Flow Analysis'!A79,"")</f>
        <v>2051</v>
      </c>
      <c r="B32" s="314">
        <f t="shared" si="1"/>
        <v>18</v>
      </c>
      <c r="C32" s="314">
        <f t="shared" si="2"/>
        <v>15</v>
      </c>
      <c r="D32" s="483"/>
      <c r="E32" s="217">
        <f ca="1">+'Carbon Sequestration'!$C$100*(C32&lt;=anal_period)</f>
        <v>13144261.781462643</v>
      </c>
      <c r="F32" s="217">
        <f t="shared" ca="1" si="0"/>
        <v>13144261.781462643</v>
      </c>
      <c r="G32" s="217">
        <f t="shared" ca="1" si="3"/>
        <v>2128357.0441717017</v>
      </c>
      <c r="H32" s="218">
        <f t="shared" ca="1" si="4"/>
        <v>23993517.930796217</v>
      </c>
      <c r="I32" s="363"/>
      <c r="J32" s="364"/>
      <c r="K32" s="365"/>
      <c r="L32" s="366"/>
    </row>
    <row r="33" spans="1:12" x14ac:dyDescent="0.25">
      <c r="A33" s="94">
        <f>IF(C33&lt;&gt;"",'Cash Flow Analysis'!A80,"")</f>
        <v>2052</v>
      </c>
      <c r="B33" s="314">
        <f t="shared" si="1"/>
        <v>19</v>
      </c>
      <c r="C33" s="314">
        <f t="shared" si="2"/>
        <v>16</v>
      </c>
      <c r="D33" s="483"/>
      <c r="E33" s="217">
        <f ca="1">+'Carbon Sequestration'!$C$100*(C33&lt;=anal_period)</f>
        <v>13144261.781462643</v>
      </c>
      <c r="F33" s="217">
        <f t="shared" ca="1" si="0"/>
        <v>13144261.781462643</v>
      </c>
      <c r="G33" s="217">
        <f t="shared" ca="1" si="3"/>
        <v>2128357.0441717017</v>
      </c>
      <c r="H33" s="218">
        <f t="shared" ca="1" si="4"/>
        <v>23993517.930796217</v>
      </c>
      <c r="I33" s="363"/>
      <c r="J33" s="364"/>
      <c r="K33" s="365"/>
      <c r="L33" s="366"/>
    </row>
    <row r="34" spans="1:12" x14ac:dyDescent="0.25">
      <c r="A34" s="94">
        <f>IF(C34&lt;&gt;"",'Cash Flow Analysis'!A81,"")</f>
        <v>2053</v>
      </c>
      <c r="B34" s="314">
        <f t="shared" si="1"/>
        <v>20</v>
      </c>
      <c r="C34" s="314">
        <f t="shared" si="2"/>
        <v>17</v>
      </c>
      <c r="D34" s="483"/>
      <c r="E34" s="217">
        <f ca="1">+'Carbon Sequestration'!$C$100*(C34&lt;=anal_period)</f>
        <v>13144261.781462643</v>
      </c>
      <c r="F34" s="217">
        <f t="shared" ca="1" si="0"/>
        <v>13144261.781462643</v>
      </c>
      <c r="G34" s="217">
        <f t="shared" ca="1" si="3"/>
        <v>2128357.0441717017</v>
      </c>
      <c r="H34" s="218">
        <f t="shared" ca="1" si="4"/>
        <v>23993517.930796217</v>
      </c>
      <c r="I34" s="363"/>
      <c r="J34" s="364"/>
      <c r="K34" s="365"/>
      <c r="L34" s="366"/>
    </row>
    <row r="35" spans="1:12" x14ac:dyDescent="0.25">
      <c r="A35" s="94">
        <f>IF(C35&lt;&gt;"",'Cash Flow Analysis'!A82,"")</f>
        <v>2054</v>
      </c>
      <c r="B35" s="314">
        <f t="shared" si="1"/>
        <v>21</v>
      </c>
      <c r="C35" s="314">
        <f t="shared" si="2"/>
        <v>18</v>
      </c>
      <c r="D35" s="483"/>
      <c r="E35" s="217">
        <f ca="1">+'Carbon Sequestration'!$C$100*(C35&lt;=anal_period)</f>
        <v>13144261.781462643</v>
      </c>
      <c r="F35" s="217">
        <f t="shared" ca="1" si="0"/>
        <v>13144261.781462643</v>
      </c>
      <c r="G35" s="217">
        <f t="shared" ca="1" si="3"/>
        <v>2128357.0441717017</v>
      </c>
      <c r="H35" s="218">
        <f t="shared" ca="1" si="4"/>
        <v>23993517.930796217</v>
      </c>
      <c r="I35" s="363"/>
      <c r="J35" s="364"/>
      <c r="K35" s="365"/>
      <c r="L35" s="366"/>
    </row>
    <row r="36" spans="1:12" x14ac:dyDescent="0.25">
      <c r="A36" s="94">
        <f>IF(C36&lt;&gt;"",'Cash Flow Analysis'!A83,"")</f>
        <v>2055</v>
      </c>
      <c r="B36" s="314">
        <f t="shared" si="1"/>
        <v>22</v>
      </c>
      <c r="C36" s="314">
        <f t="shared" si="2"/>
        <v>19</v>
      </c>
      <c r="D36" s="483"/>
      <c r="E36" s="217">
        <f ca="1">+'Carbon Sequestration'!$C$100*(C36&lt;=anal_period)</f>
        <v>13144261.781462643</v>
      </c>
      <c r="F36" s="217">
        <f t="shared" ca="1" si="0"/>
        <v>13144261.781462643</v>
      </c>
      <c r="G36" s="217">
        <f t="shared" ca="1" si="3"/>
        <v>2128357.0441717017</v>
      </c>
      <c r="H36" s="218">
        <f t="shared" ca="1" si="4"/>
        <v>23993517.930796217</v>
      </c>
      <c r="I36" s="363"/>
      <c r="J36" s="364"/>
      <c r="K36" s="365"/>
      <c r="L36" s="366"/>
    </row>
    <row r="37" spans="1:12" x14ac:dyDescent="0.25">
      <c r="A37" s="94">
        <f>IF(C37&lt;&gt;"",'Cash Flow Analysis'!A84,"")</f>
        <v>2056</v>
      </c>
      <c r="B37" s="314">
        <f t="shared" si="1"/>
        <v>23</v>
      </c>
      <c r="C37" s="314">
        <f t="shared" si="2"/>
        <v>20</v>
      </c>
      <c r="D37" s="483"/>
      <c r="E37" s="217">
        <f ca="1">+'Carbon Sequestration'!$C$100*(C37&lt;=anal_period)</f>
        <v>13144261.781462643</v>
      </c>
      <c r="F37" s="217">
        <f t="shared" ca="1" si="0"/>
        <v>13144261.781462643</v>
      </c>
      <c r="G37" s="217">
        <f t="shared" ca="1" si="3"/>
        <v>2128357.0441717017</v>
      </c>
      <c r="H37" s="218">
        <f t="shared" ca="1" si="4"/>
        <v>23993517.930796217</v>
      </c>
      <c r="I37" s="363"/>
      <c r="J37" s="364"/>
      <c r="K37" s="365"/>
      <c r="L37" s="366"/>
    </row>
    <row r="38" spans="1:12" x14ac:dyDescent="0.25">
      <c r="A38" s="94">
        <f>IF(C38&lt;&gt;"",'Cash Flow Analysis'!A85,"")</f>
        <v>2057</v>
      </c>
      <c r="B38" s="314">
        <f t="shared" si="1"/>
        <v>24</v>
      </c>
      <c r="C38" s="314">
        <f t="shared" si="2"/>
        <v>21</v>
      </c>
      <c r="D38" s="483"/>
      <c r="E38" s="217">
        <f ca="1">+'Carbon Sequestration'!$C$100*(C38&lt;=anal_period)</f>
        <v>13144261.781462643</v>
      </c>
      <c r="F38" s="217">
        <f t="shared" ca="1" si="0"/>
        <v>13144261.781462643</v>
      </c>
      <c r="G38" s="217">
        <f t="shared" ca="1" si="3"/>
        <v>2128357.0441717017</v>
      </c>
      <c r="H38" s="218">
        <f t="shared" ca="1" si="4"/>
        <v>23993517.930796217</v>
      </c>
      <c r="I38" s="363"/>
      <c r="J38" s="364"/>
      <c r="K38" s="365"/>
      <c r="L38" s="366"/>
    </row>
    <row r="39" spans="1:12" x14ac:dyDescent="0.25">
      <c r="A39" s="94">
        <f>IF(C39&lt;&gt;"",'Cash Flow Analysis'!A86,"")</f>
        <v>2058</v>
      </c>
      <c r="B39" s="314">
        <f t="shared" si="1"/>
        <v>25</v>
      </c>
      <c r="C39" s="314">
        <f t="shared" si="2"/>
        <v>22</v>
      </c>
      <c r="D39" s="483"/>
      <c r="E39" s="217">
        <f ca="1">+'Carbon Sequestration'!$C$100*(C39&lt;=anal_period)</f>
        <v>13144261.781462643</v>
      </c>
      <c r="F39" s="217">
        <f t="shared" ca="1" si="0"/>
        <v>13144261.781462643</v>
      </c>
      <c r="G39" s="217">
        <f t="shared" ca="1" si="3"/>
        <v>2128357.0441717017</v>
      </c>
      <c r="H39" s="218">
        <f t="shared" ca="1" si="4"/>
        <v>23993517.930796217</v>
      </c>
      <c r="I39" s="363"/>
      <c r="J39" s="364"/>
      <c r="K39" s="365"/>
      <c r="L39" s="366"/>
    </row>
    <row r="40" spans="1:12" x14ac:dyDescent="0.25">
      <c r="A40" s="94">
        <f>IF(C40&lt;&gt;"",'Cash Flow Analysis'!A87,"")</f>
        <v>2059</v>
      </c>
      <c r="B40" s="314">
        <f t="shared" si="1"/>
        <v>26</v>
      </c>
      <c r="C40" s="314">
        <f t="shared" si="2"/>
        <v>23</v>
      </c>
      <c r="D40" s="483"/>
      <c r="E40" s="217">
        <f ca="1">+'Carbon Sequestration'!$C$100*(C40&lt;=anal_period)</f>
        <v>13144261.781462643</v>
      </c>
      <c r="F40" s="217">
        <f t="shared" ca="1" si="0"/>
        <v>13144261.781462643</v>
      </c>
      <c r="G40" s="217">
        <f t="shared" ca="1" si="3"/>
        <v>2128357.0441717017</v>
      </c>
      <c r="H40" s="218">
        <f t="shared" ca="1" si="4"/>
        <v>23993517.930796217</v>
      </c>
      <c r="I40" s="363"/>
      <c r="J40" s="364"/>
      <c r="K40" s="365"/>
      <c r="L40" s="366"/>
    </row>
    <row r="41" spans="1:12" x14ac:dyDescent="0.25">
      <c r="A41" s="94">
        <f>IF(C41&lt;&gt;"",'Cash Flow Analysis'!A88,"")</f>
        <v>2060</v>
      </c>
      <c r="B41" s="314">
        <f t="shared" si="1"/>
        <v>27</v>
      </c>
      <c r="C41" s="314">
        <f t="shared" si="2"/>
        <v>24</v>
      </c>
      <c r="D41" s="483"/>
      <c r="E41" s="217">
        <f ca="1">+'Carbon Sequestration'!$C$100*(C41&lt;=anal_period)</f>
        <v>13144261.781462643</v>
      </c>
      <c r="F41" s="217">
        <f t="shared" ca="1" si="0"/>
        <v>13144261.781462643</v>
      </c>
      <c r="G41" s="217">
        <f t="shared" ca="1" si="3"/>
        <v>2128357.0441717017</v>
      </c>
      <c r="H41" s="218">
        <f t="shared" ca="1" si="4"/>
        <v>23993517.930796217</v>
      </c>
      <c r="I41" s="363"/>
      <c r="J41" s="364"/>
      <c r="K41" s="365"/>
      <c r="L41" s="366"/>
    </row>
    <row r="42" spans="1:12" x14ac:dyDescent="0.25">
      <c r="A42" s="94">
        <f>IF(C42&lt;&gt;"",'Cash Flow Analysis'!A89,"")</f>
        <v>2061</v>
      </c>
      <c r="B42" s="314">
        <f t="shared" si="1"/>
        <v>28</v>
      </c>
      <c r="C42" s="314">
        <f t="shared" si="2"/>
        <v>25</v>
      </c>
      <c r="D42" s="483"/>
      <c r="E42" s="217">
        <f ca="1">+'Carbon Sequestration'!$C$100*(C42&lt;=anal_period)</f>
        <v>13144261.781462643</v>
      </c>
      <c r="F42" s="217">
        <f t="shared" ca="1" si="0"/>
        <v>13144261.781462643</v>
      </c>
      <c r="G42" s="217">
        <f t="shared" ca="1" si="3"/>
        <v>2128357.0441717017</v>
      </c>
      <c r="H42" s="218">
        <f t="shared" ca="1" si="4"/>
        <v>23993517.930796217</v>
      </c>
      <c r="I42" s="363"/>
      <c r="J42" s="364"/>
      <c r="K42" s="365"/>
      <c r="L42" s="366"/>
    </row>
    <row r="43" spans="1:12" x14ac:dyDescent="0.25">
      <c r="A43" s="94">
        <f>IF(C43&lt;&gt;"",'Cash Flow Analysis'!A90,"")</f>
        <v>2062</v>
      </c>
      <c r="B43" s="314">
        <f t="shared" si="1"/>
        <v>29</v>
      </c>
      <c r="C43" s="314">
        <f t="shared" si="2"/>
        <v>26</v>
      </c>
      <c r="D43" s="483"/>
      <c r="E43" s="217">
        <f ca="1">+'Carbon Sequestration'!$C$100*(C43&lt;=anal_period)</f>
        <v>13144261.781462643</v>
      </c>
      <c r="F43" s="217">
        <f t="shared" ca="1" si="0"/>
        <v>13144261.781462643</v>
      </c>
      <c r="G43" s="217">
        <f t="shared" ca="1" si="3"/>
        <v>2128357.0441717017</v>
      </c>
      <c r="H43" s="218">
        <f t="shared" ca="1" si="4"/>
        <v>23993517.930796217</v>
      </c>
      <c r="I43" s="363"/>
      <c r="J43" s="364"/>
      <c r="K43" s="365"/>
      <c r="L43" s="366"/>
    </row>
    <row r="44" spans="1:12" x14ac:dyDescent="0.25">
      <c r="A44" s="94">
        <f>IF(C44&lt;&gt;"",'Cash Flow Analysis'!A91,"")</f>
        <v>2063</v>
      </c>
      <c r="B44" s="314">
        <f t="shared" si="1"/>
        <v>30</v>
      </c>
      <c r="C44" s="314">
        <f t="shared" si="2"/>
        <v>27</v>
      </c>
      <c r="D44" s="483"/>
      <c r="E44" s="217">
        <f ca="1">+'Carbon Sequestration'!$C$100*(C44&lt;=anal_period)</f>
        <v>13144261.781462643</v>
      </c>
      <c r="F44" s="217">
        <f t="shared" ca="1" si="0"/>
        <v>13144261.781462643</v>
      </c>
      <c r="G44" s="217">
        <f t="shared" ca="1" si="3"/>
        <v>2128357.0441717017</v>
      </c>
      <c r="H44" s="218">
        <f t="shared" ca="1" si="4"/>
        <v>23993517.930796217</v>
      </c>
      <c r="I44" s="363"/>
      <c r="J44" s="364"/>
      <c r="K44" s="365"/>
      <c r="L44" s="366"/>
    </row>
    <row r="45" spans="1:12" x14ac:dyDescent="0.25">
      <c r="A45" s="94">
        <f>IF(C45&lt;&gt;"",'Cash Flow Analysis'!A92,"")</f>
        <v>2064</v>
      </c>
      <c r="B45" s="314">
        <f t="shared" si="1"/>
        <v>31</v>
      </c>
      <c r="C45" s="314">
        <f t="shared" si="2"/>
        <v>28</v>
      </c>
      <c r="D45" s="483"/>
      <c r="E45" s="217">
        <f ca="1">+'Carbon Sequestration'!$C$100*(C45&lt;=anal_period)</f>
        <v>13144261.781462643</v>
      </c>
      <c r="F45" s="217">
        <f t="shared" ca="1" si="0"/>
        <v>13144261.781462643</v>
      </c>
      <c r="G45" s="217">
        <f t="shared" ca="1" si="3"/>
        <v>2128357.0441717017</v>
      </c>
      <c r="H45" s="218">
        <f t="shared" ca="1" si="4"/>
        <v>23993517.930796217</v>
      </c>
      <c r="I45" s="363"/>
      <c r="J45" s="364"/>
      <c r="K45" s="365"/>
      <c r="L45" s="366"/>
    </row>
    <row r="46" spans="1:12" x14ac:dyDescent="0.25">
      <c r="A46" s="94">
        <f>IF(C46&lt;&gt;"",'Cash Flow Analysis'!A93,"")</f>
        <v>2065</v>
      </c>
      <c r="B46" s="314">
        <f t="shared" si="1"/>
        <v>32</v>
      </c>
      <c r="C46" s="314">
        <f t="shared" si="2"/>
        <v>29</v>
      </c>
      <c r="D46" s="483"/>
      <c r="E46" s="217">
        <f ca="1">+'Carbon Sequestration'!$C$100*(C46&lt;=anal_period)</f>
        <v>13144261.781462643</v>
      </c>
      <c r="F46" s="217">
        <f t="shared" ca="1" si="0"/>
        <v>13144261.781462643</v>
      </c>
      <c r="G46" s="217">
        <f t="shared" ca="1" si="3"/>
        <v>2128357.0441717017</v>
      </c>
      <c r="H46" s="218">
        <f t="shared" ca="1" si="4"/>
        <v>23993517.930796217</v>
      </c>
      <c r="I46" s="363"/>
      <c r="J46" s="364"/>
      <c r="K46" s="365"/>
      <c r="L46" s="366"/>
    </row>
    <row r="47" spans="1:12" x14ac:dyDescent="0.25">
      <c r="A47" s="94">
        <f>IF(C47&lt;&gt;"",'Cash Flow Analysis'!A94,"")</f>
        <v>2066</v>
      </c>
      <c r="B47" s="314">
        <f t="shared" si="1"/>
        <v>33</v>
      </c>
      <c r="C47" s="314">
        <f t="shared" si="2"/>
        <v>30</v>
      </c>
      <c r="D47" s="483"/>
      <c r="E47" s="217">
        <f ca="1">+'Carbon Sequestration'!$C$100*(C47&lt;=anal_period)</f>
        <v>13144261.781462643</v>
      </c>
      <c r="F47" s="217">
        <f t="shared" ca="1" si="0"/>
        <v>13144261.781462643</v>
      </c>
      <c r="G47" s="217">
        <f t="shared" ca="1" si="3"/>
        <v>2128357.0441717017</v>
      </c>
      <c r="H47" s="218">
        <f t="shared" ca="1" si="4"/>
        <v>23993517.930796217</v>
      </c>
      <c r="I47" s="363"/>
      <c r="J47" s="364"/>
      <c r="K47" s="365"/>
      <c r="L47" s="366"/>
    </row>
    <row r="48" spans="1:12" x14ac:dyDescent="0.25">
      <c r="A48" s="94">
        <f>IF(C48&lt;&gt;"",'Cash Flow Analysis'!A95,"")</f>
        <v>2067</v>
      </c>
      <c r="B48" s="314">
        <f t="shared" si="1"/>
        <v>34</v>
      </c>
      <c r="C48" s="314">
        <f t="shared" si="2"/>
        <v>31</v>
      </c>
      <c r="D48" s="483"/>
      <c r="E48" s="217">
        <f ca="1">+'Carbon Sequestration'!$C$100*(C48&lt;=anal_period)</f>
        <v>13144261.781462643</v>
      </c>
      <c r="F48" s="217">
        <f t="shared" ca="1" si="0"/>
        <v>13144261.781462643</v>
      </c>
      <c r="G48" s="217">
        <f t="shared" ca="1" si="3"/>
        <v>2128357.0441717017</v>
      </c>
      <c r="H48" s="218">
        <f t="shared" ca="1" si="4"/>
        <v>23993517.930796217</v>
      </c>
      <c r="I48" s="363"/>
      <c r="J48" s="364"/>
      <c r="K48" s="365"/>
      <c r="L48" s="366"/>
    </row>
    <row r="49" spans="1:12" x14ac:dyDescent="0.25">
      <c r="A49" s="94">
        <f>IF(C49&lt;&gt;"",'Cash Flow Analysis'!A96,"")</f>
        <v>2068</v>
      </c>
      <c r="B49" s="314">
        <f t="shared" si="1"/>
        <v>35</v>
      </c>
      <c r="C49" s="314">
        <f t="shared" si="2"/>
        <v>32</v>
      </c>
      <c r="D49" s="483"/>
      <c r="E49" s="217">
        <f ca="1">+'Carbon Sequestration'!$C$100*(C49&lt;=anal_period)</f>
        <v>13144261.781462643</v>
      </c>
      <c r="F49" s="217">
        <f t="shared" ca="1" si="0"/>
        <v>13144261.781462643</v>
      </c>
      <c r="G49" s="217">
        <f t="shared" ca="1" si="3"/>
        <v>2128357.0441717017</v>
      </c>
      <c r="H49" s="218">
        <f t="shared" ca="1" si="4"/>
        <v>23993517.930796217</v>
      </c>
      <c r="I49" s="363"/>
      <c r="J49" s="364"/>
      <c r="K49" s="365"/>
      <c r="L49" s="366"/>
    </row>
    <row r="50" spans="1:12" x14ac:dyDescent="0.25">
      <c r="A50" s="94">
        <f>IF(C50&lt;&gt;"",'Cash Flow Analysis'!A97,"")</f>
        <v>2069</v>
      </c>
      <c r="B50" s="314">
        <f t="shared" si="1"/>
        <v>36</v>
      </c>
      <c r="C50" s="314">
        <f t="shared" si="2"/>
        <v>33</v>
      </c>
      <c r="D50" s="483"/>
      <c r="E50" s="217">
        <f ca="1">+'Carbon Sequestration'!$C$100*(C50&lt;=anal_period)</f>
        <v>13144261.781462643</v>
      </c>
      <c r="F50" s="217">
        <f t="shared" ca="1" si="0"/>
        <v>13144261.781462643</v>
      </c>
      <c r="G50" s="217">
        <f t="shared" ca="1" si="3"/>
        <v>2128357.0441717017</v>
      </c>
      <c r="H50" s="218">
        <f t="shared" ca="1" si="4"/>
        <v>23993517.930796217</v>
      </c>
      <c r="I50" s="363"/>
      <c r="J50" s="364"/>
      <c r="K50" s="365"/>
      <c r="L50" s="366"/>
    </row>
    <row r="51" spans="1:12" x14ac:dyDescent="0.25">
      <c r="A51" s="94">
        <f>IF(C51&lt;&gt;"",'Cash Flow Analysis'!A98,"")</f>
        <v>2070</v>
      </c>
      <c r="B51" s="314">
        <f t="shared" si="1"/>
        <v>37</v>
      </c>
      <c r="C51" s="314">
        <f t="shared" si="2"/>
        <v>34</v>
      </c>
      <c r="D51" s="483"/>
      <c r="E51" s="217">
        <f ca="1">+'Carbon Sequestration'!$C$100*(C51&lt;=anal_period)</f>
        <v>13144261.781462643</v>
      </c>
      <c r="F51" s="217">
        <f t="shared" ca="1" si="0"/>
        <v>13144261.781462643</v>
      </c>
      <c r="G51" s="217">
        <f t="shared" ca="1" si="3"/>
        <v>2128357.0441717017</v>
      </c>
      <c r="H51" s="218">
        <f t="shared" ca="1" si="4"/>
        <v>23993517.930796217</v>
      </c>
      <c r="I51" s="363"/>
      <c r="J51" s="364"/>
      <c r="K51" s="365"/>
      <c r="L51" s="366"/>
    </row>
    <row r="52" spans="1:12" x14ac:dyDescent="0.25">
      <c r="A52" s="94">
        <f>IF(C52&lt;&gt;"",'Cash Flow Analysis'!A99,"")</f>
        <v>2071</v>
      </c>
      <c r="B52" s="314">
        <f t="shared" si="1"/>
        <v>38</v>
      </c>
      <c r="C52" s="314">
        <f t="shared" si="2"/>
        <v>35</v>
      </c>
      <c r="D52" s="483"/>
      <c r="E52" s="217">
        <f ca="1">+'Carbon Sequestration'!$C$100*(C52&lt;=anal_period)</f>
        <v>13144261.781462643</v>
      </c>
      <c r="F52" s="217">
        <f t="shared" ca="1" si="0"/>
        <v>13144261.781462643</v>
      </c>
      <c r="G52" s="217">
        <f t="shared" ca="1" si="3"/>
        <v>2128357.0441717017</v>
      </c>
      <c r="H52" s="218">
        <f t="shared" ca="1" si="4"/>
        <v>23993517.930796217</v>
      </c>
      <c r="I52" s="363"/>
      <c r="J52" s="364"/>
      <c r="K52" s="365"/>
      <c r="L52" s="366"/>
    </row>
    <row r="53" spans="1:12" x14ac:dyDescent="0.25">
      <c r="A53" s="94">
        <f>IF(C53&lt;&gt;"",'Cash Flow Analysis'!A100,"")</f>
        <v>2072</v>
      </c>
      <c r="B53" s="314">
        <f t="shared" si="1"/>
        <v>39</v>
      </c>
      <c r="C53" s="314">
        <f t="shared" si="2"/>
        <v>36</v>
      </c>
      <c r="D53" s="483"/>
      <c r="E53" s="217">
        <f ca="1">+'Carbon Sequestration'!$C$100*(C53&lt;=anal_period)</f>
        <v>13144261.781462643</v>
      </c>
      <c r="F53" s="217">
        <f t="shared" ca="1" si="0"/>
        <v>13144261.781462643</v>
      </c>
      <c r="G53" s="217">
        <f t="shared" ca="1" si="3"/>
        <v>2128357.0441717017</v>
      </c>
      <c r="H53" s="218">
        <f t="shared" ca="1" si="4"/>
        <v>23993517.930796217</v>
      </c>
      <c r="I53" s="363"/>
      <c r="J53" s="364"/>
      <c r="K53" s="365"/>
      <c r="L53" s="366"/>
    </row>
    <row r="54" spans="1:12" x14ac:dyDescent="0.25">
      <c r="A54" s="94">
        <f>IF(C54&lt;&gt;"",'Cash Flow Analysis'!A101,"")</f>
        <v>2073</v>
      </c>
      <c r="B54" s="314">
        <f t="shared" si="1"/>
        <v>40</v>
      </c>
      <c r="C54" s="314">
        <f t="shared" si="2"/>
        <v>37</v>
      </c>
      <c r="D54" s="483"/>
      <c r="E54" s="217">
        <f ca="1">+'Carbon Sequestration'!$C$100*(C54&lt;=anal_period)</f>
        <v>13144261.781462643</v>
      </c>
      <c r="F54" s="217">
        <f t="shared" ca="1" si="0"/>
        <v>13144261.781462643</v>
      </c>
      <c r="G54" s="217">
        <f t="shared" ca="1" si="3"/>
        <v>2128357.0441717017</v>
      </c>
      <c r="H54" s="218">
        <f t="shared" ca="1" si="4"/>
        <v>23993517.930796217</v>
      </c>
      <c r="I54" s="363"/>
      <c r="J54" s="364"/>
      <c r="K54" s="365"/>
      <c r="L54" s="366"/>
    </row>
    <row r="55" spans="1:12" x14ac:dyDescent="0.25">
      <c r="A55" s="94">
        <f>IF(C55&lt;&gt;"",'Cash Flow Analysis'!A102,"")</f>
        <v>2074</v>
      </c>
      <c r="B55" s="314">
        <f t="shared" si="1"/>
        <v>41</v>
      </c>
      <c r="C55" s="314">
        <f t="shared" si="2"/>
        <v>38</v>
      </c>
      <c r="D55" s="483"/>
      <c r="E55" s="217">
        <f ca="1">+'Carbon Sequestration'!$C$100*(C55&lt;=anal_period)</f>
        <v>13144261.781462643</v>
      </c>
      <c r="F55" s="217">
        <f t="shared" ca="1" si="0"/>
        <v>13144261.781462643</v>
      </c>
      <c r="G55" s="217">
        <f t="shared" ca="1" si="3"/>
        <v>2128357.0441717017</v>
      </c>
      <c r="H55" s="218">
        <f t="shared" ca="1" si="4"/>
        <v>23993517.930796217</v>
      </c>
      <c r="I55" s="363"/>
      <c r="J55" s="364"/>
      <c r="K55" s="365"/>
      <c r="L55" s="366"/>
    </row>
    <row r="56" spans="1:12" x14ac:dyDescent="0.25">
      <c r="A56" s="94">
        <f>IF(C56&lt;&gt;"",'Cash Flow Analysis'!A103,"")</f>
        <v>2075</v>
      </c>
      <c r="B56" s="314">
        <f t="shared" si="1"/>
        <v>42</v>
      </c>
      <c r="C56" s="314">
        <f t="shared" si="2"/>
        <v>39</v>
      </c>
      <c r="D56" s="483"/>
      <c r="E56" s="217">
        <f ca="1">+'Carbon Sequestration'!$C$100*(C56&lt;=anal_period)</f>
        <v>13144261.781462643</v>
      </c>
      <c r="F56" s="217">
        <f t="shared" ca="1" si="0"/>
        <v>13144261.781462643</v>
      </c>
      <c r="G56" s="217">
        <f t="shared" ca="1" si="3"/>
        <v>2128357.0441717017</v>
      </c>
      <c r="H56" s="218">
        <f t="shared" ca="1" si="4"/>
        <v>23993517.930796217</v>
      </c>
      <c r="I56" s="363"/>
      <c r="J56" s="364"/>
      <c r="K56" s="365"/>
      <c r="L56" s="366"/>
    </row>
    <row r="57" spans="1:12" ht="13" thickBot="1" x14ac:dyDescent="0.3">
      <c r="A57" s="96">
        <f>IF(C57&lt;&gt;"",'Cash Flow Analysis'!A104,"")</f>
        <v>2076</v>
      </c>
      <c r="B57" s="315">
        <f t="shared" si="1"/>
        <v>43</v>
      </c>
      <c r="C57" s="315">
        <f t="shared" si="2"/>
        <v>40</v>
      </c>
      <c r="D57" s="484"/>
      <c r="E57" s="219">
        <f ca="1">+'Carbon Sequestration'!$C$100*(C57&lt;=anal_period)</f>
        <v>13144261.781462643</v>
      </c>
      <c r="F57" s="219">
        <f t="shared" ca="1" si="0"/>
        <v>13144261.781462643</v>
      </c>
      <c r="G57" s="219">
        <f t="shared" ca="1" si="3"/>
        <v>2128357.0441717017</v>
      </c>
      <c r="H57" s="220">
        <f t="shared" ca="1" si="4"/>
        <v>23993517.930796217</v>
      </c>
      <c r="I57" s="367"/>
      <c r="J57" s="368"/>
      <c r="K57" s="369"/>
      <c r="L57" s="370"/>
    </row>
    <row r="58" spans="1:12" ht="13" thickTop="1" x14ac:dyDescent="0.25"/>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37"/>
  <sheetViews>
    <sheetView workbookViewId="0">
      <selection activeCell="C10" sqref="C10"/>
    </sheetView>
  </sheetViews>
  <sheetFormatPr defaultRowHeight="12.5" x14ac:dyDescent="0.25"/>
  <cols>
    <col min="2" max="2" width="35" customWidth="1"/>
    <col min="3" max="3" width="19.7265625" customWidth="1"/>
    <col min="4" max="5" width="18.7265625" customWidth="1"/>
    <col min="6" max="6" width="22.54296875" customWidth="1"/>
    <col min="7" max="7" width="51.1796875" customWidth="1"/>
    <col min="8" max="8" width="27.1796875" customWidth="1"/>
  </cols>
  <sheetData>
    <row r="2" spans="2:8" ht="22.5" customHeight="1" x14ac:dyDescent="0.65">
      <c r="B2" s="818" t="s">
        <v>83</v>
      </c>
      <c r="F2" s="1550"/>
      <c r="G2" s="1550"/>
      <c r="H2" s="1550"/>
    </row>
    <row r="3" spans="2:8" x14ac:dyDescent="0.25">
      <c r="F3" s="1550"/>
      <c r="G3" s="1550"/>
      <c r="H3" s="1550"/>
    </row>
    <row r="4" spans="2:8" ht="15.5" x14ac:dyDescent="0.35">
      <c r="C4" s="817" t="s">
        <v>233</v>
      </c>
      <c r="F4" s="1550"/>
      <c r="G4" s="1550"/>
      <c r="H4" s="1550"/>
    </row>
    <row r="5" spans="2:8" ht="15.5" x14ac:dyDescent="0.35">
      <c r="C5" s="817"/>
    </row>
    <row r="6" spans="2:8" ht="16" thickBot="1" x14ac:dyDescent="0.4">
      <c r="C6" s="817"/>
    </row>
    <row r="7" spans="2:8" ht="26.5" thickBot="1" x14ac:dyDescent="0.35">
      <c r="B7" s="987" t="s">
        <v>827</v>
      </c>
      <c r="C7" s="988">
        <v>379387</v>
      </c>
      <c r="D7" s="1551" t="s">
        <v>828</v>
      </c>
      <c r="E7" s="1552"/>
      <c r="F7" s="1552"/>
      <c r="G7" s="1552"/>
      <c r="H7" s="1553"/>
    </row>
    <row r="8" spans="2:8" ht="13.5" thickBot="1" x14ac:dyDescent="0.35">
      <c r="D8" s="1549" t="s">
        <v>1030</v>
      </c>
      <c r="E8" s="1547"/>
      <c r="F8" s="1547"/>
      <c r="G8" s="1547"/>
      <c r="H8" s="1547"/>
    </row>
    <row r="9" spans="2:8" ht="13" x14ac:dyDescent="0.3">
      <c r="B9" s="1" t="s">
        <v>842</v>
      </c>
      <c r="C9" s="1010">
        <f>BasisYear</f>
        <v>2005</v>
      </c>
      <c r="D9" s="1554"/>
      <c r="E9" s="1555"/>
      <c r="F9" s="1555"/>
      <c r="G9" s="1555"/>
      <c r="H9" s="1556"/>
    </row>
    <row r="10" spans="2:8" ht="13" x14ac:dyDescent="0.3">
      <c r="B10" s="1" t="s">
        <v>773</v>
      </c>
      <c r="C10" s="985">
        <v>2010</v>
      </c>
      <c r="D10" s="1543"/>
      <c r="E10" s="1544"/>
      <c r="F10" s="1544"/>
      <c r="G10" s="1544"/>
      <c r="H10" s="1545"/>
    </row>
    <row r="11" spans="2:8" ht="13" x14ac:dyDescent="0.3">
      <c r="B11" s="1" t="str">
        <f>"CEPCI Inflator ("&amp;BasisYear&amp;" to "&amp;CurrentYear&amp;")"</f>
        <v>CEPCI Inflator (2005 to 2010)</v>
      </c>
      <c r="C11" s="1008">
        <f>VLOOKUP(CurrentYear,Tbl_PlantCostIndexes,2,FALSE)/VLOOKUP(BasisYear,Tbl_PlantCostIndexes,2,FALSE)</f>
        <v>1.176420333190944</v>
      </c>
      <c r="D11" s="1543" t="s">
        <v>820</v>
      </c>
      <c r="E11" s="1544"/>
      <c r="F11" s="1544"/>
      <c r="G11" s="1544"/>
      <c r="H11" s="1545"/>
    </row>
    <row r="12" spans="2:8" ht="13.5" thickBot="1" x14ac:dyDescent="0.35">
      <c r="B12" s="1" t="str">
        <f>"Consumer Price Inflator ("&amp;CurrentYear&amp;" to "&amp;ref_year&amp;")"</f>
        <v>Consumer Price Inflator (2010 to 2016)</v>
      </c>
      <c r="C12" s="1009">
        <f>VLOOKUP(ref_year,DeflatorTable,2,FALSE)/VLOOKUP(CurrentYear,DeflatorTable,2,FALSE)</f>
        <v>1.100724186648488</v>
      </c>
      <c r="D12" s="1546" t="s">
        <v>821</v>
      </c>
      <c r="E12" s="1547"/>
      <c r="F12" s="1547"/>
      <c r="G12" s="1547"/>
      <c r="H12" s="1548"/>
    </row>
    <row r="13" spans="2:8" ht="13" thickBot="1" x14ac:dyDescent="0.3"/>
    <row r="14" spans="2:8" ht="16.5" thickTop="1" thickBot="1" x14ac:dyDescent="0.4">
      <c r="B14" s="971" t="str">
        <f xml:space="preserve"> "CAPITAL INVESTMENT (Inputs REQUIRED in Basis Year, (" &amp; BasisYear &amp; ") $)"</f>
        <v>CAPITAL INVESTMENT (Inputs REQUIRED in Basis Year, (2005) $)</v>
      </c>
      <c r="C14" s="972"/>
      <c r="D14" s="972"/>
      <c r="E14" s="972"/>
      <c r="F14" s="972"/>
      <c r="G14" s="972"/>
      <c r="H14" s="973"/>
    </row>
    <row r="15" spans="2:8" ht="32" thickTop="1" thickBot="1" x14ac:dyDescent="0.4">
      <c r="B15" s="513" t="s">
        <v>667</v>
      </c>
      <c r="C15" s="514" t="str">
        <f>"Baseline Uninstalled Costs $"&amp;BasisYear&amp;" Dollars"</f>
        <v>Baseline Uninstalled Costs $2005 Dollars</v>
      </c>
      <c r="D15" s="514" t="str">
        <f>"Baseline Uninstalled Costs $"&amp;ref_year&amp;" Dollars"</f>
        <v>Baseline Uninstalled Costs $2016 Dollars</v>
      </c>
      <c r="E15" s="514" t="s">
        <v>668</v>
      </c>
      <c r="F15" s="489" t="s">
        <v>1060</v>
      </c>
      <c r="G15" s="514" t="s">
        <v>1030</v>
      </c>
      <c r="H15" s="519" t="s">
        <v>670</v>
      </c>
    </row>
    <row r="16" spans="2:8" x14ac:dyDescent="0.25">
      <c r="B16" s="1271" t="s">
        <v>1408</v>
      </c>
      <c r="C16" s="1469">
        <v>39975830</v>
      </c>
      <c r="D16" s="517">
        <f>C16*CEPCIinflator*CPIinflator</f>
        <v>51765274.497354552</v>
      </c>
      <c r="E16" s="1273">
        <v>1.92</v>
      </c>
      <c r="F16" s="517">
        <f>D16*E16</f>
        <v>99389327.034920737</v>
      </c>
      <c r="G16" s="526"/>
      <c r="H16" s="736"/>
    </row>
    <row r="17" spans="2:8" x14ac:dyDescent="0.25">
      <c r="B17" s="1272" t="s">
        <v>1398</v>
      </c>
      <c r="C17" s="1470">
        <v>15971721</v>
      </c>
      <c r="D17" s="517">
        <f t="shared" ref="D17:D35" si="0">C17*CEPCIinflator*CPIinflator</f>
        <v>20682010.148636367</v>
      </c>
      <c r="E17" s="1274">
        <v>1.92</v>
      </c>
      <c r="F17" s="517">
        <f t="shared" ref="F17:F35" si="1">D17*E17</f>
        <v>39709459.485381827</v>
      </c>
      <c r="G17" s="527"/>
      <c r="H17" s="737"/>
    </row>
    <row r="18" spans="2:8" x14ac:dyDescent="0.25">
      <c r="B18" s="1272" t="s">
        <v>1409</v>
      </c>
      <c r="C18" s="1470">
        <v>4857952</v>
      </c>
      <c r="D18" s="517">
        <f t="shared" si="0"/>
        <v>6290631.5835086489</v>
      </c>
      <c r="E18" s="1274">
        <v>1.92</v>
      </c>
      <c r="F18" s="517">
        <f t="shared" si="1"/>
        <v>12078012.640336605</v>
      </c>
      <c r="G18" s="527"/>
      <c r="H18" s="737"/>
    </row>
    <row r="19" spans="2:8" x14ac:dyDescent="0.25">
      <c r="B19" s="1272" t="s">
        <v>1410</v>
      </c>
      <c r="C19" s="1470">
        <v>4271770</v>
      </c>
      <c r="D19" s="517">
        <f t="shared" si="0"/>
        <v>5531576.1208601361</v>
      </c>
      <c r="E19" s="1274">
        <v>1.92</v>
      </c>
      <c r="F19" s="517">
        <f t="shared" si="1"/>
        <v>10620626.152051462</v>
      </c>
      <c r="G19" s="527"/>
      <c r="H19" s="737"/>
    </row>
    <row r="20" spans="2:8" x14ac:dyDescent="0.25">
      <c r="B20" s="1272"/>
      <c r="C20" s="1470"/>
      <c r="D20" s="517">
        <f t="shared" si="0"/>
        <v>0</v>
      </c>
      <c r="E20" s="1274"/>
      <c r="F20" s="517">
        <f t="shared" si="1"/>
        <v>0</v>
      </c>
      <c r="G20" s="527"/>
      <c r="H20" s="737"/>
    </row>
    <row r="21" spans="2:8" x14ac:dyDescent="0.25">
      <c r="B21" s="1272"/>
      <c r="C21" s="1470"/>
      <c r="D21" s="517">
        <f t="shared" si="0"/>
        <v>0</v>
      </c>
      <c r="E21" s="1274"/>
      <c r="F21" s="517">
        <f t="shared" si="1"/>
        <v>0</v>
      </c>
      <c r="G21" s="527"/>
      <c r="H21" s="737"/>
    </row>
    <row r="22" spans="2:8" ht="13" x14ac:dyDescent="0.3">
      <c r="B22" s="1472"/>
      <c r="C22" s="1470"/>
      <c r="D22" s="517">
        <f t="shared" si="0"/>
        <v>0</v>
      </c>
      <c r="E22" s="1274"/>
      <c r="F22" s="517">
        <f t="shared" si="1"/>
        <v>0</v>
      </c>
      <c r="G22" s="527"/>
      <c r="H22" s="737"/>
    </row>
    <row r="23" spans="2:8" x14ac:dyDescent="0.25">
      <c r="B23" s="1272"/>
      <c r="C23" s="1470"/>
      <c r="D23" s="517">
        <f t="shared" si="0"/>
        <v>0</v>
      </c>
      <c r="E23" s="1274"/>
      <c r="F23" s="517">
        <f t="shared" si="1"/>
        <v>0</v>
      </c>
      <c r="G23" s="527"/>
      <c r="H23" s="737"/>
    </row>
    <row r="24" spans="2:8" x14ac:dyDescent="0.25">
      <c r="B24" s="1272"/>
      <c r="C24" s="1470"/>
      <c r="D24" s="517">
        <f t="shared" si="0"/>
        <v>0</v>
      </c>
      <c r="E24" s="1274"/>
      <c r="F24" s="517">
        <f t="shared" si="1"/>
        <v>0</v>
      </c>
      <c r="G24" s="527"/>
      <c r="H24" s="737"/>
    </row>
    <row r="25" spans="2:8" x14ac:dyDescent="0.25">
      <c r="B25" s="1272"/>
      <c r="C25" s="1470"/>
      <c r="D25" s="517">
        <f t="shared" si="0"/>
        <v>0</v>
      </c>
      <c r="E25" s="1274"/>
      <c r="F25" s="517">
        <f t="shared" si="1"/>
        <v>0</v>
      </c>
      <c r="G25" s="527"/>
      <c r="H25" s="737"/>
    </row>
    <row r="26" spans="2:8" x14ac:dyDescent="0.25">
      <c r="B26" s="1272"/>
      <c r="C26" s="1470"/>
      <c r="D26" s="517">
        <f t="shared" si="0"/>
        <v>0</v>
      </c>
      <c r="E26" s="1274"/>
      <c r="F26" s="517">
        <f t="shared" si="1"/>
        <v>0</v>
      </c>
      <c r="G26" s="527"/>
      <c r="H26" s="737"/>
    </row>
    <row r="27" spans="2:8" x14ac:dyDescent="0.25">
      <c r="B27" s="1272"/>
      <c r="C27" s="1473"/>
      <c r="D27" s="517">
        <f t="shared" si="0"/>
        <v>0</v>
      </c>
      <c r="E27" s="1274"/>
      <c r="F27" s="517">
        <f t="shared" si="1"/>
        <v>0</v>
      </c>
      <c r="G27" s="527"/>
      <c r="H27" s="737"/>
    </row>
    <row r="28" spans="2:8" x14ac:dyDescent="0.25">
      <c r="B28" s="1272"/>
      <c r="C28" s="1473"/>
      <c r="D28" s="517">
        <f t="shared" si="0"/>
        <v>0</v>
      </c>
      <c r="E28" s="980"/>
      <c r="F28" s="517">
        <f t="shared" si="1"/>
        <v>0</v>
      </c>
      <c r="G28" s="527"/>
      <c r="H28" s="737"/>
    </row>
    <row r="29" spans="2:8" x14ac:dyDescent="0.25">
      <c r="B29" s="1272"/>
      <c r="C29" s="1473"/>
      <c r="D29" s="517">
        <f t="shared" si="0"/>
        <v>0</v>
      </c>
      <c r="E29" s="980"/>
      <c r="F29" s="517">
        <f t="shared" si="1"/>
        <v>0</v>
      </c>
      <c r="G29" s="527"/>
      <c r="H29" s="737"/>
    </row>
    <row r="30" spans="2:8" x14ac:dyDescent="0.25">
      <c r="B30" s="898"/>
      <c r="C30" s="982"/>
      <c r="D30" s="517">
        <f t="shared" si="0"/>
        <v>0</v>
      </c>
      <c r="E30" s="979"/>
      <c r="F30" s="517">
        <f t="shared" si="1"/>
        <v>0</v>
      </c>
      <c r="G30" s="527"/>
      <c r="H30" s="737"/>
    </row>
    <row r="31" spans="2:8" x14ac:dyDescent="0.25">
      <c r="B31" s="898"/>
      <c r="C31" s="982"/>
      <c r="D31" s="517">
        <f t="shared" si="0"/>
        <v>0</v>
      </c>
      <c r="E31" s="979"/>
      <c r="F31" s="517">
        <f t="shared" si="1"/>
        <v>0</v>
      </c>
      <c r="G31" s="527"/>
      <c r="H31" s="737"/>
    </row>
    <row r="32" spans="2:8" x14ac:dyDescent="0.25">
      <c r="B32" s="898"/>
      <c r="C32" s="982"/>
      <c r="D32" s="517">
        <f t="shared" si="0"/>
        <v>0</v>
      </c>
      <c r="E32" s="979"/>
      <c r="F32" s="517">
        <f t="shared" si="1"/>
        <v>0</v>
      </c>
      <c r="G32" s="527"/>
      <c r="H32" s="737"/>
    </row>
    <row r="33" spans="2:8" x14ac:dyDescent="0.25">
      <c r="B33" s="898"/>
      <c r="C33" s="982"/>
      <c r="D33" s="517">
        <f t="shared" si="0"/>
        <v>0</v>
      </c>
      <c r="E33" s="979"/>
      <c r="F33" s="517">
        <f t="shared" si="1"/>
        <v>0</v>
      </c>
      <c r="G33" s="527"/>
      <c r="H33" s="737"/>
    </row>
    <row r="34" spans="2:8" x14ac:dyDescent="0.25">
      <c r="B34" s="898"/>
      <c r="C34" s="982"/>
      <c r="D34" s="517">
        <f t="shared" si="0"/>
        <v>0</v>
      </c>
      <c r="E34" s="979"/>
      <c r="F34" s="517">
        <f t="shared" si="1"/>
        <v>0</v>
      </c>
      <c r="G34" s="527"/>
      <c r="H34" s="737"/>
    </row>
    <row r="35" spans="2:8" ht="13" thickBot="1" x14ac:dyDescent="0.3">
      <c r="B35" s="899"/>
      <c r="C35" s="983"/>
      <c r="D35" s="517">
        <f t="shared" si="0"/>
        <v>0</v>
      </c>
      <c r="E35" s="981"/>
      <c r="F35" s="517">
        <f t="shared" si="1"/>
        <v>0</v>
      </c>
      <c r="G35" s="528"/>
      <c r="H35" s="738"/>
    </row>
    <row r="36" spans="2:8" ht="13" thickBot="1" x14ac:dyDescent="0.3">
      <c r="B36" s="515"/>
      <c r="C36" s="896">
        <f>SUM(C16:C35)</f>
        <v>65077273</v>
      </c>
      <c r="D36" s="469">
        <f>SUM(D16:D35)</f>
        <v>84269492.350359708</v>
      </c>
      <c r="E36" s="518"/>
      <c r="F36" s="469">
        <f>SUM(F16:F35)</f>
        <v>161797425.31269062</v>
      </c>
      <c r="G36" s="348"/>
      <c r="H36" s="521"/>
    </row>
    <row r="37" spans="2:8" ht="13" thickTop="1" x14ac:dyDescent="0.25">
      <c r="C37" s="897"/>
    </row>
  </sheetData>
  <mergeCells count="7">
    <mergeCell ref="D11:H11"/>
    <mergeCell ref="D12:H12"/>
    <mergeCell ref="D8:H8"/>
    <mergeCell ref="F2:H4"/>
    <mergeCell ref="D7:H7"/>
    <mergeCell ref="D9:H9"/>
    <mergeCell ref="D10:H10"/>
  </mergeCells>
  <phoneticPr fontId="2" type="noConversion"/>
  <dataValidations count="1">
    <dataValidation type="whole" allowBlank="1" showInputMessage="1" showErrorMessage="1" sqref="C10" xr:uid="{00000000-0002-0000-0500-000000000000}">
      <formula1>1992</formula1>
      <formula2>2016</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workbookViewId="0">
      <selection activeCell="I52" sqref="I52"/>
    </sheetView>
  </sheetViews>
  <sheetFormatPr defaultColWidth="9.1796875" defaultRowHeight="12.5" x14ac:dyDescent="0.25"/>
  <cols>
    <col min="1" max="1" width="9.1796875" style="210"/>
    <col min="2" max="2" width="50.7265625" style="210" customWidth="1"/>
    <col min="3" max="3" width="19.7265625" style="210" customWidth="1"/>
    <col min="4" max="4" width="17" style="210" customWidth="1"/>
    <col min="5" max="7" width="18.7265625" style="210" customWidth="1"/>
    <col min="8" max="8" width="16.453125" style="210" customWidth="1"/>
    <col min="9" max="9" width="38" style="210" customWidth="1"/>
    <col min="10" max="10" width="40.1796875" style="210" customWidth="1"/>
    <col min="11" max="11" width="27.1796875" style="210" customWidth="1"/>
    <col min="12" max="16384" width="9.1796875" style="210"/>
  </cols>
  <sheetData>
    <row r="1" spans="2:11" ht="13" thickBot="1" x14ac:dyDescent="0.3">
      <c r="B1" s="210" t="s">
        <v>321</v>
      </c>
    </row>
    <row r="2" spans="2:11" ht="19" thickTop="1" thickBot="1" x14ac:dyDescent="0.45">
      <c r="B2" s="758" t="s">
        <v>849</v>
      </c>
      <c r="C2" s="759"/>
      <c r="D2" s="759"/>
      <c r="E2" s="759"/>
      <c r="F2" s="759"/>
      <c r="G2" s="759"/>
      <c r="H2" s="759"/>
      <c r="I2" s="759"/>
      <c r="J2" s="759"/>
      <c r="K2" s="760"/>
    </row>
    <row r="3" spans="2:11" ht="24" customHeight="1" thickBot="1" x14ac:dyDescent="0.3">
      <c r="B3" s="761" t="s">
        <v>673</v>
      </c>
      <c r="C3" s="762">
        <f>Baseline_Design_Capacity</f>
        <v>379387</v>
      </c>
      <c r="D3" s="1559" t="s">
        <v>829</v>
      </c>
      <c r="E3" s="1559"/>
      <c r="F3" s="1559"/>
      <c r="G3" s="763"/>
      <c r="H3" s="763"/>
      <c r="I3" s="763"/>
      <c r="J3" s="763"/>
      <c r="K3" s="764"/>
    </row>
    <row r="4" spans="2:11" ht="29.25" customHeight="1" thickBot="1" x14ac:dyDescent="0.3">
      <c r="B4" s="761" t="s">
        <v>671</v>
      </c>
      <c r="C4" s="765">
        <f ca="1">design_cap/Baseline_Design_Capacity</f>
        <v>1</v>
      </c>
      <c r="D4" s="1560" t="s">
        <v>677</v>
      </c>
      <c r="E4" s="1560"/>
      <c r="F4" s="1560"/>
      <c r="G4" s="763"/>
      <c r="H4" s="763"/>
      <c r="I4" s="763"/>
      <c r="J4" s="763"/>
      <c r="K4" s="764"/>
    </row>
    <row r="5" spans="2:11" ht="29.25" customHeight="1" thickBot="1" x14ac:dyDescent="0.3">
      <c r="B5" s="761" t="s">
        <v>846</v>
      </c>
      <c r="C5" s="765">
        <f ca="1">$G$27/Det_direct_cap</f>
        <v>1</v>
      </c>
      <c r="D5" s="1560" t="s">
        <v>848</v>
      </c>
      <c r="E5" s="1560"/>
      <c r="F5" s="1560"/>
      <c r="G5" s="763"/>
      <c r="H5" s="763"/>
      <c r="I5" s="763"/>
      <c r="J5" s="763"/>
      <c r="K5" s="764"/>
    </row>
    <row r="6" spans="2:11" ht="29.25" customHeight="1" thickBot="1" x14ac:dyDescent="0.3">
      <c r="B6" s="761" t="s">
        <v>1064</v>
      </c>
      <c r="C6" s="767">
        <v>0.6</v>
      </c>
      <c r="D6" s="1560" t="s">
        <v>845</v>
      </c>
      <c r="E6" s="1560"/>
      <c r="F6" s="1560"/>
      <c r="G6" s="763"/>
      <c r="H6" s="763"/>
      <c r="I6" s="763"/>
      <c r="J6" s="763"/>
      <c r="K6" s="764"/>
    </row>
    <row r="7" spans="2:11" ht="41.25" customHeight="1" thickBot="1" x14ac:dyDescent="0.3">
      <c r="B7" s="761" t="s">
        <v>946</v>
      </c>
      <c r="C7" s="768">
        <v>235000</v>
      </c>
      <c r="D7" s="1561" t="s">
        <v>922</v>
      </c>
      <c r="E7" s="1562"/>
      <c r="F7" s="1562"/>
      <c r="G7" s="763"/>
      <c r="H7" s="763"/>
      <c r="I7" s="763"/>
      <c r="J7" s="763"/>
      <c r="K7" s="764"/>
    </row>
    <row r="8" spans="2:11" ht="42.75" customHeight="1" thickBot="1" x14ac:dyDescent="0.3">
      <c r="B8" s="761" t="s">
        <v>947</v>
      </c>
      <c r="C8" s="768">
        <v>425000</v>
      </c>
      <c r="D8" s="1557" t="s">
        <v>921</v>
      </c>
      <c r="E8" s="1558"/>
      <c r="F8" s="1558"/>
      <c r="G8" s="763"/>
      <c r="H8" s="763"/>
      <c r="I8" s="763"/>
      <c r="J8" s="763"/>
      <c r="K8" s="764"/>
    </row>
    <row r="9" spans="2:11" ht="15" customHeight="1" x14ac:dyDescent="0.25">
      <c r="B9" s="761"/>
      <c r="C9" s="769"/>
      <c r="D9" s="766"/>
      <c r="E9" s="766"/>
      <c r="F9" s="766"/>
      <c r="G9" s="763"/>
      <c r="H9" s="763"/>
      <c r="I9" s="763"/>
      <c r="J9" s="763"/>
      <c r="K9" s="764"/>
    </row>
    <row r="10" spans="2:11" x14ac:dyDescent="0.25">
      <c r="B10" s="770"/>
      <c r="C10" s="763"/>
      <c r="D10" s="763"/>
      <c r="E10" s="763"/>
      <c r="F10" s="763"/>
      <c r="G10" s="763"/>
      <c r="H10" s="763"/>
      <c r="I10" s="763"/>
      <c r="J10" s="763"/>
      <c r="K10" s="764"/>
    </row>
    <row r="11" spans="2:11" ht="16" thickBot="1" x14ac:dyDescent="0.4">
      <c r="B11" s="485" t="str">
        <f xml:space="preserve"> "CAPITAL INVESTMENT (Inputs REQUIRED in Reference Year, (" &amp; ref_year &amp; ") $)"</f>
        <v>CAPITAL INVESTMENT (Inputs REQUIRED in Reference Year, (2016) $)</v>
      </c>
      <c r="C11" s="486"/>
      <c r="D11" s="486"/>
      <c r="E11" s="486"/>
      <c r="F11" s="486"/>
      <c r="G11" s="487"/>
      <c r="H11" s="487"/>
      <c r="I11" s="487"/>
      <c r="J11" s="488"/>
      <c r="K11" s="771"/>
    </row>
    <row r="12" spans="2:11" ht="27.5" thickTop="1" thickBot="1" x14ac:dyDescent="0.4">
      <c r="B12" s="513" t="s">
        <v>667</v>
      </c>
      <c r="C12" s="514" t="s">
        <v>675</v>
      </c>
      <c r="D12" s="514" t="s">
        <v>669</v>
      </c>
      <c r="E12" s="514" t="s">
        <v>676</v>
      </c>
      <c r="F12" s="514" t="s">
        <v>668</v>
      </c>
      <c r="G12" s="514" t="s">
        <v>847</v>
      </c>
      <c r="H12" s="514" t="s">
        <v>1063</v>
      </c>
      <c r="I12" s="514" t="s">
        <v>1030</v>
      </c>
      <c r="J12" s="519" t="s">
        <v>670</v>
      </c>
    </row>
    <row r="13" spans="2:11" x14ac:dyDescent="0.25">
      <c r="B13" s="753" t="str">
        <f>'Capital Costs'!B16</f>
        <v>Process Plant Equipment (Reformer)</v>
      </c>
      <c r="C13" s="741">
        <f>'Capital Costs'!D16</f>
        <v>51765274.497354552</v>
      </c>
      <c r="D13" s="740"/>
      <c r="E13" s="741">
        <f ca="1">IF($D13="",$C13*Scale_Ratio^Scaling_Factor_Exponent,$C13*Scale_Ratio^$D13)</f>
        <v>51765274.497354552</v>
      </c>
      <c r="F13" s="755">
        <f>'Capital Costs'!E16</f>
        <v>1.92</v>
      </c>
      <c r="G13" s="742">
        <f ca="1">$E13*$F13</f>
        <v>99389327.034920737</v>
      </c>
      <c r="H13" s="741">
        <f>C13*F13</f>
        <v>99389327.034920737</v>
      </c>
      <c r="I13" s="743"/>
      <c r="J13" s="522"/>
    </row>
    <row r="14" spans="2:11" x14ac:dyDescent="0.25">
      <c r="B14" s="754" t="str">
        <f>'Capital Costs'!B17</f>
        <v>Balance of Plant and Offsites</v>
      </c>
      <c r="C14" s="745">
        <f>'Capital Costs'!D17</f>
        <v>20682010.148636367</v>
      </c>
      <c r="D14" s="744"/>
      <c r="E14" s="745">
        <f t="shared" ref="E14:E26" ca="1" si="0">IF($D14="",$C14*Scale_Ratio^Scaling_Factor_Exponent,$C14*Scale_Ratio^$D14)</f>
        <v>20682010.148636367</v>
      </c>
      <c r="F14" s="756">
        <f>'Capital Costs'!E17</f>
        <v>1.92</v>
      </c>
      <c r="G14" s="746">
        <f t="shared" ref="G14:G26" ca="1" si="1">$E14*$F14</f>
        <v>39709459.485381827</v>
      </c>
      <c r="H14" s="745">
        <f t="shared" ref="H14:H26" si="2">C14*F14</f>
        <v>39709459.485381827</v>
      </c>
      <c r="I14" s="747"/>
      <c r="J14" s="523"/>
    </row>
    <row r="15" spans="2:11" x14ac:dyDescent="0.25">
      <c r="B15" s="754" t="str">
        <f>'Capital Costs'!B18</f>
        <v>Process CO2 Removal</v>
      </c>
      <c r="C15" s="745">
        <f>'Capital Costs'!D18</f>
        <v>6290631.5835086489</v>
      </c>
      <c r="D15" s="744"/>
      <c r="E15" s="745">
        <f t="shared" ca="1" si="0"/>
        <v>6290631.5835086489</v>
      </c>
      <c r="F15" s="756">
        <f>'Capital Costs'!E18</f>
        <v>1.92</v>
      </c>
      <c r="G15" s="746">
        <f t="shared" ca="1" si="1"/>
        <v>12078012.640336605</v>
      </c>
      <c r="H15" s="745">
        <f t="shared" si="2"/>
        <v>12078012.640336605</v>
      </c>
      <c r="I15" s="747"/>
      <c r="J15" s="523"/>
    </row>
    <row r="16" spans="2:11" x14ac:dyDescent="0.25">
      <c r="B16" s="754" t="str">
        <f>'Capital Costs'!B19</f>
        <v>Stack CO2 Removal</v>
      </c>
      <c r="C16" s="745">
        <f>'Capital Costs'!D19</f>
        <v>5531576.1208601361</v>
      </c>
      <c r="D16" s="744"/>
      <c r="E16" s="745">
        <f t="shared" ca="1" si="0"/>
        <v>5531576.1208601361</v>
      </c>
      <c r="F16" s="756">
        <f>'Capital Costs'!E19</f>
        <v>1.92</v>
      </c>
      <c r="G16" s="746">
        <f t="shared" ca="1" si="1"/>
        <v>10620626.152051462</v>
      </c>
      <c r="H16" s="745">
        <f t="shared" si="2"/>
        <v>10620626.152051462</v>
      </c>
      <c r="I16" s="747"/>
      <c r="J16" s="523"/>
    </row>
    <row r="17" spans="2:10" x14ac:dyDescent="0.25">
      <c r="B17" s="754">
        <f>'Capital Costs'!B20</f>
        <v>0</v>
      </c>
      <c r="C17" s="745">
        <f>'Capital Costs'!D20</f>
        <v>0</v>
      </c>
      <c r="D17" s="744"/>
      <c r="E17" s="745">
        <f t="shared" ca="1" si="0"/>
        <v>0</v>
      </c>
      <c r="F17" s="756">
        <f>'Capital Costs'!E20</f>
        <v>0</v>
      </c>
      <c r="G17" s="746">
        <f t="shared" ca="1" si="1"/>
        <v>0</v>
      </c>
      <c r="H17" s="745">
        <f t="shared" si="2"/>
        <v>0</v>
      </c>
      <c r="I17" s="747"/>
      <c r="J17" s="523"/>
    </row>
    <row r="18" spans="2:10" x14ac:dyDescent="0.25">
      <c r="B18" s="754">
        <f>'Capital Costs'!B21</f>
        <v>0</v>
      </c>
      <c r="C18" s="745">
        <f>'Capital Costs'!D21</f>
        <v>0</v>
      </c>
      <c r="D18" s="744"/>
      <c r="E18" s="745">
        <f t="shared" ca="1" si="0"/>
        <v>0</v>
      </c>
      <c r="F18" s="756">
        <f>'Capital Costs'!E21</f>
        <v>0</v>
      </c>
      <c r="G18" s="746">
        <f t="shared" ca="1" si="1"/>
        <v>0</v>
      </c>
      <c r="H18" s="745">
        <f t="shared" si="2"/>
        <v>0</v>
      </c>
      <c r="I18" s="747"/>
      <c r="J18" s="523"/>
    </row>
    <row r="19" spans="2:10" x14ac:dyDescent="0.25">
      <c r="B19" s="754">
        <f>'Capital Costs'!B22</f>
        <v>0</v>
      </c>
      <c r="C19" s="745">
        <f>'Capital Costs'!D22</f>
        <v>0</v>
      </c>
      <c r="D19" s="744"/>
      <c r="E19" s="745">
        <f t="shared" ca="1" si="0"/>
        <v>0</v>
      </c>
      <c r="F19" s="756">
        <f>'Capital Costs'!E22</f>
        <v>0</v>
      </c>
      <c r="G19" s="746">
        <f t="shared" ca="1" si="1"/>
        <v>0</v>
      </c>
      <c r="H19" s="745">
        <f t="shared" si="2"/>
        <v>0</v>
      </c>
      <c r="I19" s="747"/>
      <c r="J19" s="523"/>
    </row>
    <row r="20" spans="2:10" x14ac:dyDescent="0.25">
      <c r="B20" s="754">
        <f>'Capital Costs'!B23</f>
        <v>0</v>
      </c>
      <c r="C20" s="745">
        <f>'Capital Costs'!D23</f>
        <v>0</v>
      </c>
      <c r="D20" s="744"/>
      <c r="E20" s="745">
        <f t="shared" ca="1" si="0"/>
        <v>0</v>
      </c>
      <c r="F20" s="756">
        <f>'Capital Costs'!E23</f>
        <v>0</v>
      </c>
      <c r="G20" s="746">
        <f t="shared" ca="1" si="1"/>
        <v>0</v>
      </c>
      <c r="H20" s="745">
        <f t="shared" si="2"/>
        <v>0</v>
      </c>
      <c r="I20" s="747"/>
      <c r="J20" s="523"/>
    </row>
    <row r="21" spans="2:10" x14ac:dyDescent="0.25">
      <c r="B21" s="754">
        <f>'Capital Costs'!B24</f>
        <v>0</v>
      </c>
      <c r="C21" s="745">
        <f>'Capital Costs'!D24</f>
        <v>0</v>
      </c>
      <c r="D21" s="744"/>
      <c r="E21" s="745">
        <f t="shared" ca="1" si="0"/>
        <v>0</v>
      </c>
      <c r="F21" s="756">
        <f>'Capital Costs'!E24</f>
        <v>0</v>
      </c>
      <c r="G21" s="746">
        <f t="shared" ca="1" si="1"/>
        <v>0</v>
      </c>
      <c r="H21" s="745">
        <f t="shared" si="2"/>
        <v>0</v>
      </c>
      <c r="I21" s="747"/>
      <c r="J21" s="523"/>
    </row>
    <row r="22" spans="2:10" x14ac:dyDescent="0.25">
      <c r="B22" s="754">
        <f>'Capital Costs'!B25</f>
        <v>0</v>
      </c>
      <c r="C22" s="745">
        <f>'Capital Costs'!D25</f>
        <v>0</v>
      </c>
      <c r="D22" s="744"/>
      <c r="E22" s="745">
        <f t="shared" ca="1" si="0"/>
        <v>0</v>
      </c>
      <c r="F22" s="756">
        <f>'Capital Costs'!E25</f>
        <v>0</v>
      </c>
      <c r="G22" s="746">
        <f t="shared" ca="1" si="1"/>
        <v>0</v>
      </c>
      <c r="H22" s="745">
        <f t="shared" si="2"/>
        <v>0</v>
      </c>
      <c r="I22" s="747"/>
      <c r="J22" s="523"/>
    </row>
    <row r="23" spans="2:10" x14ac:dyDescent="0.25">
      <c r="B23" s="754">
        <f>'Capital Costs'!B26</f>
        <v>0</v>
      </c>
      <c r="C23" s="745">
        <f>'Capital Costs'!D26</f>
        <v>0</v>
      </c>
      <c r="D23" s="744"/>
      <c r="E23" s="745">
        <f t="shared" ca="1" si="0"/>
        <v>0</v>
      </c>
      <c r="F23" s="756">
        <f>'Capital Costs'!E26</f>
        <v>0</v>
      </c>
      <c r="G23" s="746">
        <f t="shared" ca="1" si="1"/>
        <v>0</v>
      </c>
      <c r="H23" s="745">
        <f t="shared" si="2"/>
        <v>0</v>
      </c>
      <c r="I23" s="747"/>
      <c r="J23" s="523"/>
    </row>
    <row r="24" spans="2:10" ht="13" x14ac:dyDescent="0.3">
      <c r="B24" s="754">
        <f>'Capital Costs'!B27</f>
        <v>0</v>
      </c>
      <c r="C24" s="745">
        <f>'Capital Costs'!D27</f>
        <v>0</v>
      </c>
      <c r="D24" s="748"/>
      <c r="E24" s="745">
        <f t="shared" ca="1" si="0"/>
        <v>0</v>
      </c>
      <c r="F24" s="756">
        <f>'Capital Costs'!E27</f>
        <v>0</v>
      </c>
      <c r="G24" s="746">
        <f t="shared" ca="1" si="1"/>
        <v>0</v>
      </c>
      <c r="H24" s="745">
        <f t="shared" si="2"/>
        <v>0</v>
      </c>
      <c r="I24" s="747"/>
      <c r="J24" s="523"/>
    </row>
    <row r="25" spans="2:10" ht="13" x14ac:dyDescent="0.3">
      <c r="B25" s="754">
        <f>'Capital Costs'!B28</f>
        <v>0</v>
      </c>
      <c r="C25" s="745">
        <f>'Capital Costs'!D28</f>
        <v>0</v>
      </c>
      <c r="D25" s="748"/>
      <c r="E25" s="745">
        <f t="shared" ca="1" si="0"/>
        <v>0</v>
      </c>
      <c r="F25" s="756">
        <f>'Capital Costs'!E28</f>
        <v>0</v>
      </c>
      <c r="G25" s="746">
        <f t="shared" ca="1" si="1"/>
        <v>0</v>
      </c>
      <c r="H25" s="745">
        <f t="shared" si="2"/>
        <v>0</v>
      </c>
      <c r="I25" s="747"/>
      <c r="J25" s="523"/>
    </row>
    <row r="26" spans="2:10" ht="13.5" thickBot="1" x14ac:dyDescent="0.35">
      <c r="B26" s="754">
        <f>'Capital Costs'!B29</f>
        <v>0</v>
      </c>
      <c r="C26" s="745">
        <f>'Capital Costs'!D29</f>
        <v>0</v>
      </c>
      <c r="D26" s="749"/>
      <c r="E26" s="750">
        <f t="shared" ca="1" si="0"/>
        <v>0</v>
      </c>
      <c r="F26" s="756">
        <f>'Capital Costs'!E29</f>
        <v>0</v>
      </c>
      <c r="G26" s="751">
        <f t="shared" ca="1" si="1"/>
        <v>0</v>
      </c>
      <c r="H26" s="750">
        <f t="shared" si="2"/>
        <v>0</v>
      </c>
      <c r="I26" s="752"/>
      <c r="J26" s="524"/>
    </row>
    <row r="27" spans="2:10" ht="13.5" thickBot="1" x14ac:dyDescent="0.35">
      <c r="B27" s="515" t="s">
        <v>672</v>
      </c>
      <c r="C27" s="516">
        <f>SUM(C13:C26)</f>
        <v>84269492.350359708</v>
      </c>
      <c r="D27" s="520"/>
      <c r="E27" s="516">
        <f ca="1">SUM(E13:E26)</f>
        <v>84269492.350359708</v>
      </c>
      <c r="F27" s="518"/>
      <c r="G27" s="739">
        <f ca="1">SUM(G13:G26)</f>
        <v>161797425.31269062</v>
      </c>
      <c r="H27" s="757">
        <f>SUM(H13:H26)</f>
        <v>161797425.31269062</v>
      </c>
      <c r="I27" s="348"/>
      <c r="J27" s="521"/>
    </row>
    <row r="28" spans="2:10" ht="13" thickTop="1" x14ac:dyDescent="0.25"/>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topLeftCell="A19" workbookViewId="0">
      <selection activeCell="J28" sqref="J28"/>
    </sheetView>
  </sheetViews>
  <sheetFormatPr defaultColWidth="9.1796875" defaultRowHeight="12.5" x14ac:dyDescent="0.25"/>
  <cols>
    <col min="1" max="1" width="7.54296875" style="29" customWidth="1"/>
    <col min="2" max="2" width="72.26953125" style="29" customWidth="1"/>
    <col min="3" max="3" width="15.81640625" style="29" customWidth="1"/>
    <col min="4" max="4" width="19.453125" style="29" customWidth="1"/>
    <col min="5" max="5" width="12.1796875" style="29" customWidth="1"/>
    <col min="6" max="6" width="15.81640625" style="29" customWidth="1"/>
    <col min="7" max="7" width="14.7265625" style="29" customWidth="1"/>
    <col min="8" max="8" width="17" style="29" customWidth="1"/>
    <col min="9" max="9" width="17.26953125" style="29" customWidth="1"/>
    <col min="10" max="10" width="23.453125" style="29" customWidth="1"/>
    <col min="11" max="11" width="16.1796875" style="29" customWidth="1"/>
    <col min="12" max="12" width="11.54296875" style="29" bestFit="1" customWidth="1"/>
    <col min="13" max="13" width="12.7265625" style="29" bestFit="1" customWidth="1"/>
    <col min="14" max="14" width="11.54296875" style="29" bestFit="1" customWidth="1"/>
    <col min="15" max="16384" width="9.1796875" style="29"/>
  </cols>
  <sheetData>
    <row r="1" spans="1:10" x14ac:dyDescent="0.25">
      <c r="A1" s="1293" t="s">
        <v>1288</v>
      </c>
    </row>
    <row r="2" spans="1:10" ht="22" x14ac:dyDescent="0.25">
      <c r="B2" s="819" t="s">
        <v>400</v>
      </c>
    </row>
    <row r="4" spans="1:10" ht="14" x14ac:dyDescent="0.25">
      <c r="B4" s="1581" t="s">
        <v>390</v>
      </c>
      <c r="C4" s="1581"/>
      <c r="D4" s="1581"/>
      <c r="E4" s="1581"/>
      <c r="F4" s="1581"/>
      <c r="G4" s="1581"/>
      <c r="H4" s="1581"/>
      <c r="I4" s="1581"/>
      <c r="J4" s="1581"/>
    </row>
    <row r="5" spans="1:10" ht="67.5" customHeight="1" x14ac:dyDescent="0.25">
      <c r="B5" s="1582" t="s">
        <v>410</v>
      </c>
      <c r="C5" s="1583"/>
      <c r="D5" s="1583"/>
      <c r="E5" s="1583"/>
      <c r="F5" s="1583"/>
      <c r="G5" s="1583"/>
      <c r="H5" s="1583"/>
      <c r="I5" s="1583"/>
      <c r="J5" s="1583"/>
    </row>
    <row r="6" spans="1:10" x14ac:dyDescent="0.25">
      <c r="B6" s="773"/>
      <c r="C6" s="773"/>
      <c r="D6" s="773"/>
      <c r="E6" s="773"/>
      <c r="F6" s="773"/>
      <c r="G6" s="773"/>
      <c r="H6" s="773"/>
      <c r="I6" s="773"/>
      <c r="J6" s="773"/>
    </row>
    <row r="7" spans="1:10" ht="22" x14ac:dyDescent="0.25">
      <c r="B7" s="820" t="s">
        <v>1067</v>
      </c>
      <c r="C7" s="773"/>
      <c r="D7" s="773"/>
      <c r="E7" s="773"/>
      <c r="F7" s="773"/>
      <c r="G7" s="773"/>
      <c r="H7" s="773"/>
      <c r="I7" s="773"/>
      <c r="J7" s="773"/>
    </row>
    <row r="8" spans="1:10" ht="15.5" x14ac:dyDescent="0.25">
      <c r="B8" s="821" t="s">
        <v>233</v>
      </c>
      <c r="C8" s="773"/>
      <c r="D8" s="773"/>
      <c r="E8" s="773"/>
      <c r="F8" s="773"/>
      <c r="G8" s="773"/>
      <c r="H8" s="773"/>
      <c r="I8" s="773"/>
      <c r="J8" s="773"/>
    </row>
    <row r="9" spans="1:10" x14ac:dyDescent="0.25">
      <c r="B9" s="773"/>
      <c r="C9" s="773"/>
      <c r="D9" s="773"/>
      <c r="E9" s="773"/>
      <c r="F9" s="773"/>
      <c r="G9" s="773"/>
      <c r="H9" s="773"/>
      <c r="I9" s="773"/>
      <c r="J9" s="773"/>
    </row>
    <row r="10" spans="1:10" x14ac:dyDescent="0.25">
      <c r="B10" s="773"/>
      <c r="C10" s="773"/>
      <c r="D10" s="773"/>
      <c r="E10" s="773"/>
      <c r="F10" s="773"/>
      <c r="G10" s="773"/>
      <c r="H10" s="773"/>
      <c r="I10" s="773"/>
      <c r="J10" s="773"/>
    </row>
    <row r="11" spans="1:10" ht="15.5" x14ac:dyDescent="0.25">
      <c r="B11" s="821" t="s">
        <v>234</v>
      </c>
      <c r="C11" s="773"/>
      <c r="D11" s="773"/>
      <c r="E11" s="773"/>
      <c r="F11" s="773"/>
      <c r="G11" s="773"/>
      <c r="H11" s="773"/>
      <c r="I11" s="773"/>
      <c r="J11" s="773"/>
    </row>
    <row r="12" spans="1:10" x14ac:dyDescent="0.25">
      <c r="B12" s="773"/>
      <c r="C12" s="773"/>
      <c r="D12" s="773"/>
      <c r="E12" s="773"/>
      <c r="F12" s="773"/>
      <c r="G12" s="773"/>
      <c r="H12" s="773"/>
      <c r="I12" s="773"/>
      <c r="J12" s="773"/>
    </row>
    <row r="13" spans="1:10" x14ac:dyDescent="0.25">
      <c r="B13" s="773"/>
      <c r="C13" s="773"/>
      <c r="D13" s="773"/>
      <c r="E13" s="773"/>
      <c r="F13" s="773"/>
      <c r="G13" s="773"/>
      <c r="H13" s="773"/>
      <c r="I13" s="773"/>
      <c r="J13" s="773"/>
    </row>
    <row r="14" spans="1:10" x14ac:dyDescent="0.25">
      <c r="B14" s="773"/>
      <c r="C14" s="773"/>
      <c r="D14" s="773"/>
      <c r="E14" s="773"/>
      <c r="F14" s="773"/>
      <c r="G14" s="773"/>
      <c r="H14" s="773"/>
      <c r="I14" s="773"/>
      <c r="J14" s="773"/>
    </row>
    <row r="15" spans="1:10" ht="14" x14ac:dyDescent="0.25">
      <c r="B15" s="823" t="s">
        <v>412</v>
      </c>
      <c r="C15" s="773"/>
      <c r="D15" s="773"/>
      <c r="E15" s="773"/>
      <c r="F15" s="773"/>
      <c r="G15" s="773"/>
      <c r="H15" s="773"/>
      <c r="I15" s="773"/>
      <c r="J15" s="773"/>
    </row>
    <row r="16" spans="1:10" ht="14" x14ac:dyDescent="0.25">
      <c r="B16" s="823" t="s">
        <v>425</v>
      </c>
      <c r="C16" s="773"/>
      <c r="D16" s="773"/>
      <c r="E16" s="773"/>
      <c r="F16" s="773"/>
      <c r="G16" s="773"/>
      <c r="H16" s="773"/>
      <c r="I16" s="773"/>
      <c r="J16" s="773"/>
    </row>
    <row r="17" spans="2:14" ht="14" x14ac:dyDescent="0.25">
      <c r="B17" s="823" t="s">
        <v>433</v>
      </c>
      <c r="C17" s="773"/>
      <c r="D17" s="773"/>
      <c r="E17" s="773"/>
      <c r="F17" s="773"/>
      <c r="G17" s="773"/>
      <c r="H17" s="773"/>
      <c r="I17" s="773"/>
      <c r="J17" s="773"/>
    </row>
    <row r="18" spans="2:14" ht="15.5" x14ac:dyDescent="0.25">
      <c r="B18" s="822"/>
    </row>
    <row r="19" spans="2:14" ht="13" thickBot="1" x14ac:dyDescent="0.3"/>
    <row r="20" spans="2:14" ht="44.25" customHeight="1" thickTop="1" x14ac:dyDescent="0.25">
      <c r="B20" s="1345" t="s">
        <v>411</v>
      </c>
      <c r="C20" s="1346"/>
      <c r="D20" s="1347"/>
      <c r="E20" s="1347"/>
      <c r="F20" s="1348"/>
      <c r="H20" s="1586" t="s">
        <v>819</v>
      </c>
      <c r="I20" s="1587"/>
      <c r="J20" s="1587"/>
      <c r="K20" s="1588"/>
    </row>
    <row r="21" spans="2:14" ht="39" customHeight="1" x14ac:dyDescent="0.25">
      <c r="B21" s="555" t="s">
        <v>955</v>
      </c>
      <c r="C21" s="560">
        <f ca="1">Feed_CO2_MTpY</f>
        <v>1153600</v>
      </c>
      <c r="D21" s="1589" t="s">
        <v>413</v>
      </c>
      <c r="E21" s="1589"/>
      <c r="F21" s="1590"/>
      <c r="H21" s="1577" t="s">
        <v>83</v>
      </c>
      <c r="I21" s="1578"/>
      <c r="J21" s="1349"/>
      <c r="K21" s="1350"/>
    </row>
    <row r="22" spans="2:14" ht="14.25" customHeight="1" x14ac:dyDescent="0.25">
      <c r="B22" s="555" t="s">
        <v>954</v>
      </c>
      <c r="C22" s="561">
        <f ca="1">Feed_CO2_kgpkgH2</f>
        <v>9.2564958969142097</v>
      </c>
      <c r="D22" s="557"/>
      <c r="E22" s="557"/>
      <c r="F22" s="558"/>
      <c r="H22" s="1563" t="s">
        <v>428</v>
      </c>
      <c r="I22" s="1564"/>
      <c r="J22" s="1370">
        <f ca="1">SUM(C54:C57)</f>
        <v>50405887.856063202</v>
      </c>
      <c r="K22" s="1350"/>
    </row>
    <row r="23" spans="2:14" ht="14.25" customHeight="1" x14ac:dyDescent="0.25">
      <c r="B23" s="555" t="s">
        <v>429</v>
      </c>
      <c r="C23" s="1310">
        <f ca="1">Feed_CO2_MTpY/365*CO2_Capture_Efficiency</f>
        <v>2844.4931506849316</v>
      </c>
      <c r="D23" s="557"/>
      <c r="E23" s="557"/>
      <c r="F23" s="558"/>
      <c r="H23" s="1563" t="s">
        <v>1233</v>
      </c>
      <c r="I23" s="1564"/>
      <c r="J23" s="1370">
        <f ca="1">C71</f>
        <v>1158867.1013591299</v>
      </c>
      <c r="K23" s="1350"/>
      <c r="N23" s="1293"/>
    </row>
    <row r="24" spans="2:14" ht="14.25" customHeight="1" x14ac:dyDescent="0.25">
      <c r="B24" s="555" t="s">
        <v>1286</v>
      </c>
      <c r="C24" s="1304">
        <f ca="1">CO2_flowrate*365/1000000</f>
        <v>1.0382400000000001</v>
      </c>
      <c r="D24" s="1306"/>
      <c r="E24" s="1306"/>
      <c r="F24" s="1296"/>
      <c r="H24" s="1563" t="s">
        <v>1236</v>
      </c>
      <c r="I24" s="1564"/>
      <c r="J24" s="1370">
        <f ca="1">SUM(C82:C83)</f>
        <v>556590.56771476509</v>
      </c>
      <c r="K24" s="1350"/>
      <c r="N24" s="1293"/>
    </row>
    <row r="25" spans="2:14" ht="14" x14ac:dyDescent="0.25">
      <c r="B25" s="593" t="s">
        <v>431</v>
      </c>
      <c r="C25" s="594">
        <f ca="1">HLOOKUP(startup_year,INDIRECT(TMP_PriceTable),MATCH("Industrial Electricity",INDIRECT(Energy_Feed_List),0),FALSE)*VLOOKUP("kWh",CC_feedconversion,2,FALSE)</f>
        <v>7.7596976084681746E-2</v>
      </c>
      <c r="D25" s="1591" t="s">
        <v>432</v>
      </c>
      <c r="E25" s="1591"/>
      <c r="F25" s="1592"/>
      <c r="H25" s="1575" t="s">
        <v>1238</v>
      </c>
      <c r="I25" s="1576"/>
      <c r="J25" s="1370">
        <f ca="1">SUM(C93:C95)</f>
        <v>85849826.932834446</v>
      </c>
      <c r="K25" s="1352"/>
      <c r="M25" s="1299"/>
    </row>
    <row r="26" spans="2:14" ht="14.5" thickBot="1" x14ac:dyDescent="0.3">
      <c r="B26" s="559" t="s">
        <v>999</v>
      </c>
      <c r="C26" s="562">
        <f ca="1">IF(C21=0,0,(pump_power)*cap_factor*24*365/output_kgyear)</f>
        <v>5.3094322433205741E-2</v>
      </c>
      <c r="D26" s="1584"/>
      <c r="E26" s="1584"/>
      <c r="F26" s="1585"/>
      <c r="H26" s="1593"/>
      <c r="I26" s="1594"/>
      <c r="J26" s="1373">
        <f ca="1">IF(CO2_Capture_Efficiency,SUM(J22:J25),0)</f>
        <v>137971172.45797154</v>
      </c>
      <c r="K26" s="1352" t="str">
        <f>"Total ("&amp;ref_year&amp;"$)"</f>
        <v>Total (2016$)</v>
      </c>
    </row>
    <row r="27" spans="2:14" ht="18.75" customHeight="1" thickTop="1" thickBot="1" x14ac:dyDescent="0.3">
      <c r="H27" s="1563" t="s">
        <v>1096</v>
      </c>
      <c r="I27" s="1564"/>
      <c r="J27" s="1370">
        <f ca="1">IFERROR(IF(CO2_inUse = "To Use Carbon Sequestration Click 'Link to Detail Sheet' in the Input Sheet Capital Cost Section",0,(J23+J24)/1.2+J25/1.5+J22),0)</f>
        <v>109068653.86884774</v>
      </c>
      <c r="K27" s="1350"/>
    </row>
    <row r="28" spans="2:14" ht="31.5" customHeight="1" thickTop="1" thickBot="1" x14ac:dyDescent="0.3">
      <c r="B28" s="1341" t="s">
        <v>412</v>
      </c>
      <c r="C28" s="1342"/>
      <c r="D28" s="1343"/>
      <c r="E28" s="1343"/>
      <c r="F28" s="1344"/>
      <c r="H28" s="1579"/>
      <c r="I28" s="1580"/>
      <c r="J28" s="1351"/>
      <c r="K28" s="1350"/>
    </row>
    <row r="29" spans="2:14" ht="14" x14ac:dyDescent="0.25">
      <c r="B29" s="1324" t="s">
        <v>1245</v>
      </c>
      <c r="C29" s="1322"/>
      <c r="D29" s="1323"/>
      <c r="E29" s="1323"/>
      <c r="F29" s="1325"/>
      <c r="H29" s="1353"/>
      <c r="I29" s="1354"/>
      <c r="J29" s="1351"/>
      <c r="K29" s="1350"/>
    </row>
    <row r="30" spans="2:14" ht="14" x14ac:dyDescent="0.25">
      <c r="B30" s="1326" t="s">
        <v>998</v>
      </c>
      <c r="C30" s="1377">
        <v>0.9</v>
      </c>
      <c r="D30" s="1311"/>
      <c r="E30" s="1565" t="s">
        <v>1287</v>
      </c>
      <c r="F30" s="1566"/>
      <c r="H30" s="1577" t="s">
        <v>817</v>
      </c>
      <c r="I30" s="1578"/>
      <c r="J30" s="1351"/>
      <c r="K30" s="1350"/>
    </row>
    <row r="31" spans="2:14" ht="27.65" customHeight="1" x14ac:dyDescent="0.25">
      <c r="B31" s="1326" t="s">
        <v>549</v>
      </c>
      <c r="C31" s="1339">
        <v>14.7</v>
      </c>
      <c r="D31" s="1311"/>
      <c r="E31" s="1573" t="s">
        <v>1242</v>
      </c>
      <c r="F31" s="1574"/>
      <c r="H31" s="1563" t="s">
        <v>426</v>
      </c>
      <c r="I31" s="1564"/>
      <c r="J31" s="1370">
        <f ca="1">C74</f>
        <v>513464.82732541196</v>
      </c>
      <c r="K31" s="1350"/>
    </row>
    <row r="32" spans="2:14" ht="28" x14ac:dyDescent="0.25">
      <c r="B32" s="1326" t="s">
        <v>1217</v>
      </c>
      <c r="C32" s="1312">
        <v>1</v>
      </c>
      <c r="D32" s="1311"/>
      <c r="E32" s="1565"/>
      <c r="F32" s="1567"/>
      <c r="H32" s="1371" t="s">
        <v>427</v>
      </c>
      <c r="I32" s="1372"/>
      <c r="J32" s="1370">
        <v>0</v>
      </c>
      <c r="K32" s="1350"/>
    </row>
    <row r="33" spans="2:11" ht="14" x14ac:dyDescent="0.25">
      <c r="B33" s="1326" t="s">
        <v>1216</v>
      </c>
      <c r="C33" s="1313">
        <v>0.75</v>
      </c>
      <c r="D33" s="1311"/>
      <c r="E33" s="1565"/>
      <c r="F33" s="1567"/>
      <c r="H33" s="1563" t="s">
        <v>428</v>
      </c>
      <c r="I33" s="1564"/>
      <c r="J33" s="1370">
        <v>0</v>
      </c>
      <c r="K33" s="1350"/>
    </row>
    <row r="34" spans="2:11" ht="14" x14ac:dyDescent="0.25">
      <c r="B34" s="1326" t="s">
        <v>1208</v>
      </c>
      <c r="C34" s="1314" t="s">
        <v>23</v>
      </c>
      <c r="D34" s="1311"/>
      <c r="E34" s="1565"/>
      <c r="F34" s="1567"/>
      <c r="H34" s="1579"/>
      <c r="I34" s="1580"/>
      <c r="J34" s="1373">
        <f ca="1">SUM(J31:J33)</f>
        <v>513464.82732541196</v>
      </c>
      <c r="K34" s="1352" t="str">
        <f>"Total ("&amp;ref_year&amp;"$)"</f>
        <v>Total (2016$)</v>
      </c>
    </row>
    <row r="35" spans="2:11" ht="14" x14ac:dyDescent="0.25">
      <c r="B35" s="1326" t="s">
        <v>1210</v>
      </c>
      <c r="C35" s="1314" t="s">
        <v>23</v>
      </c>
      <c r="D35" s="1311"/>
      <c r="E35" s="1565"/>
      <c r="F35" s="1567"/>
      <c r="H35" s="1577" t="s">
        <v>818</v>
      </c>
      <c r="I35" s="1578"/>
      <c r="J35" s="1351"/>
      <c r="K35" s="1350"/>
    </row>
    <row r="36" spans="2:11" ht="14" x14ac:dyDescent="0.25">
      <c r="B36" s="1326" t="s">
        <v>1243</v>
      </c>
      <c r="C36" s="1312">
        <v>100</v>
      </c>
      <c r="D36" s="1311"/>
      <c r="E36" s="1565"/>
      <c r="F36" s="1567"/>
      <c r="H36" s="1563" t="s">
        <v>963</v>
      </c>
      <c r="I36" s="1564"/>
      <c r="J36" s="1370">
        <f ca="1">-Feed_CO2_MTpY*CO2_Capture_Efficiency*CO2_credit</f>
        <v>0</v>
      </c>
      <c r="K36" s="1350"/>
    </row>
    <row r="37" spans="2:11" ht="14" x14ac:dyDescent="0.25">
      <c r="B37" s="1326" t="s">
        <v>1244</v>
      </c>
      <c r="C37" s="1312">
        <v>0</v>
      </c>
      <c r="D37" s="1311"/>
      <c r="E37" s="1565"/>
      <c r="F37" s="1567"/>
      <c r="H37" s="1563" t="s">
        <v>428</v>
      </c>
      <c r="I37" s="1564"/>
      <c r="J37" s="1370">
        <f>+C61</f>
        <v>693420.37890424987</v>
      </c>
      <c r="K37" s="1350"/>
    </row>
    <row r="38" spans="2:11" ht="14.5" thickBot="1" x14ac:dyDescent="0.3">
      <c r="B38" s="1327" t="s">
        <v>1251</v>
      </c>
      <c r="C38" s="1318">
        <f ca="1">Pipe_Diameter(CO2_PipeLength,
        C67, C66,
        C37,
        0.5,
        CO2_flowrate,
        CO2_Pipeline_Temp,
        n_CO2_pumps)</f>
        <v>8</v>
      </c>
      <c r="D38" s="1319"/>
      <c r="E38" s="1571"/>
      <c r="F38" s="1572"/>
      <c r="H38" s="1563" t="s">
        <v>1233</v>
      </c>
      <c r="I38" s="1564"/>
      <c r="J38" s="1370">
        <f ca="1">C78</f>
        <v>46354.6840543652</v>
      </c>
      <c r="K38" s="1350"/>
    </row>
    <row r="39" spans="2:11" ht="14" x14ac:dyDescent="0.25">
      <c r="B39" s="1568" t="s">
        <v>1246</v>
      </c>
      <c r="C39" s="1569"/>
      <c r="D39" s="1569"/>
      <c r="E39" s="1569"/>
      <c r="F39" s="1570"/>
      <c r="H39" s="1563" t="s">
        <v>1236</v>
      </c>
      <c r="I39" s="1564"/>
      <c r="J39" s="1370">
        <f ca="1">C86</f>
        <v>22263.622708590603</v>
      </c>
      <c r="K39" s="1350"/>
    </row>
    <row r="40" spans="2:11" ht="14" x14ac:dyDescent="0.25">
      <c r="B40" s="1326" t="s">
        <v>1222</v>
      </c>
      <c r="C40" s="1312">
        <v>53</v>
      </c>
      <c r="D40" s="1311"/>
      <c r="E40" s="1565" t="s">
        <v>1250</v>
      </c>
      <c r="F40" s="1567"/>
      <c r="H40" s="1575" t="s">
        <v>1237</v>
      </c>
      <c r="I40" s="1576"/>
      <c r="J40" s="1374">
        <f ca="1">SUM(C103:C107)</f>
        <v>8760146.5999621525</v>
      </c>
      <c r="K40" s="1350"/>
    </row>
    <row r="41" spans="2:11" ht="35.5" customHeight="1" thickBot="1" x14ac:dyDescent="0.3">
      <c r="B41" s="1327" t="s">
        <v>1223</v>
      </c>
      <c r="C41" s="1320">
        <f>denPRCO2(0.00005,AVERAGE(C66:C67)/MPa_to_psi,CO2_Pipeline_Temp)</f>
        <v>865.79471045444359</v>
      </c>
      <c r="D41" s="1319"/>
      <c r="E41" s="1603" t="s">
        <v>1224</v>
      </c>
      <c r="F41" s="1604"/>
      <c r="H41" s="1577"/>
      <c r="I41" s="1578"/>
      <c r="J41" s="1373">
        <f ca="1">IF(CO2_Capture_Efficiency&gt;0,SUM(J36:J40),0)</f>
        <v>9522185.2856293581</v>
      </c>
      <c r="K41" s="1352" t="str">
        <f>"Total  ("&amp;ref_year&amp;"$)"</f>
        <v>Total  (2016$)</v>
      </c>
    </row>
    <row r="42" spans="2:11" ht="14" x14ac:dyDescent="0.25">
      <c r="B42" s="1568" t="s">
        <v>1247</v>
      </c>
      <c r="C42" s="1569"/>
      <c r="D42" s="1569"/>
      <c r="E42" s="1569"/>
      <c r="F42" s="1570"/>
      <c r="H42" s="1353"/>
      <c r="I42" s="1354"/>
      <c r="J42" s="1351"/>
      <c r="K42" s="1350"/>
    </row>
    <row r="43" spans="2:11" ht="14.5" customHeight="1" x14ac:dyDescent="0.25">
      <c r="B43" s="1326" t="s">
        <v>961</v>
      </c>
      <c r="C43" s="1315">
        <v>0</v>
      </c>
      <c r="D43" s="1311"/>
      <c r="E43" s="1317"/>
      <c r="F43" s="1328"/>
      <c r="H43" s="1563" t="s">
        <v>826</v>
      </c>
      <c r="I43" s="1564"/>
      <c r="J43" s="1373">
        <f ca="1">Det_CO2_seq*tax_ins_rate</f>
        <v>2759423.4491594308</v>
      </c>
      <c r="K43" s="1352" t="str">
        <f>+K41</f>
        <v>Total  (2016$)</v>
      </c>
    </row>
    <row r="44" spans="2:11" ht="15" customHeight="1" thickBot="1" x14ac:dyDescent="0.3">
      <c r="B44" s="1327" t="s">
        <v>1211</v>
      </c>
      <c r="C44" s="1321">
        <v>0.04</v>
      </c>
      <c r="D44" s="1319"/>
      <c r="E44" s="1605"/>
      <c r="F44" s="1606"/>
      <c r="H44" s="1355"/>
      <c r="I44" s="1356"/>
      <c r="J44" s="1357"/>
      <c r="K44" s="1358"/>
    </row>
    <row r="45" spans="2:11" ht="15" customHeight="1" x14ac:dyDescent="0.25">
      <c r="B45" s="1568" t="s">
        <v>1248</v>
      </c>
      <c r="C45" s="1569"/>
      <c r="D45" s="1569"/>
      <c r="E45" s="1569"/>
      <c r="F45" s="1570"/>
      <c r="H45" s="1597" t="s">
        <v>1239</v>
      </c>
      <c r="I45" s="1598"/>
      <c r="J45" s="1598"/>
      <c r="K45" s="1375">
        <f ca="1">ROUND(CO2_eCostpY/(Feed_CO2_MTpY*CO2_Capture_Efficiency),1)</f>
        <v>0.5</v>
      </c>
    </row>
    <row r="46" spans="2:11" ht="15" customHeight="1" x14ac:dyDescent="0.25">
      <c r="B46" s="1326" t="s">
        <v>66</v>
      </c>
      <c r="C46" s="1316">
        <f ca="1">(real_irr*(1+real_irr)^anal_period)/(((real_irr+1)^anal_period)-1)</f>
        <v>8.3860161500585326E-2</v>
      </c>
      <c r="D46" s="1311"/>
      <c r="E46" s="1565"/>
      <c r="F46" s="1567"/>
      <c r="H46" s="1563" t="s">
        <v>1240</v>
      </c>
      <c r="I46" s="1564"/>
      <c r="J46" s="1564"/>
      <c r="K46" s="1376">
        <f ca="1">ROUND((Det_CO2_OandMcost+ CCS_tax_insurance)/(Feed_CO2_MTpY*CO2_Capture_Efficiency),1)</f>
        <v>11.8</v>
      </c>
    </row>
    <row r="47" spans="2:11" ht="15" customHeight="1" thickBot="1" x14ac:dyDescent="0.3">
      <c r="B47" s="1326" t="s">
        <v>0</v>
      </c>
      <c r="C47" s="1316">
        <f ca="1">INDEX(MACRS_Table,MATCH("NPV - Real IRR",recovery_year,0),MATCH(depr_length,recovery_period,0))*(1+real_irr)</f>
        <v>0.54674112188719604</v>
      </c>
      <c r="D47" s="1311"/>
      <c r="E47" s="1565"/>
      <c r="F47" s="1567"/>
      <c r="H47" s="1601" t="s">
        <v>1241</v>
      </c>
      <c r="I47" s="1602"/>
      <c r="J47" s="1602"/>
      <c r="K47" s="1379">
        <f ca="1">ROUND((Det_CO2_seq+(-PV(nominal_irr,plant_life,C100)*(1+nominal_irr)))*CO2_cap_charge_rate/(Feed_CO2_MTpY*CO2_Capture_Efficiency),1)</f>
        <v>26.1</v>
      </c>
    </row>
    <row r="48" spans="2:11" ht="15" customHeight="1" thickTop="1" thickBot="1" x14ac:dyDescent="0.3">
      <c r="B48" s="1329" t="s">
        <v>1</v>
      </c>
      <c r="C48" s="1340">
        <f ca="1">(CO2_cap_rec*(1-total_tax_rate*CO2_depr_factor))/(1-total_tax_rate)</f>
        <v>9.7035312812405017E-2</v>
      </c>
      <c r="D48" s="1330"/>
      <c r="E48" s="1599"/>
      <c r="F48" s="1600"/>
      <c r="H48" s="1595" t="s">
        <v>1289</v>
      </c>
      <c r="I48" s="1596"/>
      <c r="J48" s="1596"/>
      <c r="K48" s="1378">
        <f ca="1">SUM(K45:K47)</f>
        <v>38.400000000000006</v>
      </c>
    </row>
    <row r="49" spans="2:11" ht="13.5" thickTop="1" thickBot="1" x14ac:dyDescent="0.3"/>
    <row r="50" spans="2:11" ht="18.5" thickTop="1" x14ac:dyDescent="0.25">
      <c r="B50" s="554" t="s">
        <v>1221</v>
      </c>
      <c r="C50" s="563"/>
      <c r="D50" s="563"/>
      <c r="E50" s="563"/>
      <c r="F50" s="563"/>
      <c r="G50" s="563"/>
      <c r="H50" s="563"/>
      <c r="I50" s="563"/>
      <c r="J50" s="563"/>
      <c r="K50" s="564"/>
    </row>
    <row r="51" spans="2:11" ht="13.9" customHeight="1" x14ac:dyDescent="0.25">
      <c r="B51" s="32" t="str">
        <f>"CO2 Pipeline Costs ("&amp;ref_year&amp;" USD)"</f>
        <v>CO2 Pipeline Costs (2016 USD)</v>
      </c>
      <c r="C51" s="1285"/>
      <c r="D51" s="1335" t="s">
        <v>1049</v>
      </c>
      <c r="E51" s="1331" t="s">
        <v>1249</v>
      </c>
      <c r="F51" s="1285"/>
      <c r="G51" s="1285"/>
      <c r="H51" s="1285"/>
      <c r="I51" s="1285"/>
      <c r="J51" s="1285"/>
      <c r="K51" s="565"/>
    </row>
    <row r="52" spans="2:11" ht="12.65" customHeight="1" x14ac:dyDescent="0.25">
      <c r="B52" s="1289" t="s">
        <v>1235</v>
      </c>
      <c r="C52" s="1285"/>
      <c r="D52" s="1285"/>
      <c r="E52" s="1285"/>
      <c r="F52" s="1285"/>
      <c r="G52" s="1285"/>
      <c r="H52" s="1285"/>
      <c r="I52" s="1285"/>
      <c r="J52" s="1285"/>
      <c r="K52" s="565"/>
    </row>
    <row r="53" spans="2:11" ht="12.65" customHeight="1" x14ac:dyDescent="0.4">
      <c r="B53" s="1359" t="s">
        <v>1207</v>
      </c>
      <c r="C53" s="1360">
        <f ca="1">IF(CO2_PipeDia&gt;20,1.25, IF(CO2_PipeDia&gt;16,1.18,IF(CO2_PipeDia&gt;12,1.12,1)))</f>
        <v>1</v>
      </c>
      <c r="D53" s="1361"/>
      <c r="E53" s="1337" t="s">
        <v>1272</v>
      </c>
      <c r="F53" s="1285"/>
      <c r="G53" s="1285"/>
      <c r="H53" s="1285"/>
      <c r="I53" s="1285"/>
      <c r="J53" s="1285"/>
      <c r="K53" s="565"/>
    </row>
    <row r="54" spans="2:11" ht="12.65" customHeight="1" x14ac:dyDescent="0.4">
      <c r="B54" s="1359" t="s">
        <v>1258</v>
      </c>
      <c r="C54" s="1362">
        <f ca="1">(35000+CO2_PipeLength*(330.5*CO2_PipeDia^2+687*CO2_PipeDia+26960))*NG_to_CO2Pipeline*VLOOKUP(ref_year,Tbl_PlantCostIndexes,2)/VLOOKUP(2000,Tbl_PlantCostIndexes,2)</f>
        <v>7416657.853336717</v>
      </c>
      <c r="D54" s="1363" t="str">
        <f>ref_year&amp;"$"</f>
        <v>2016$</v>
      </c>
      <c r="E54" s="1337" t="s">
        <v>1278</v>
      </c>
      <c r="F54" s="1285"/>
      <c r="G54" s="1285"/>
      <c r="H54" s="1285"/>
      <c r="I54" s="1285"/>
      <c r="J54" s="1285"/>
      <c r="K54" s="565"/>
    </row>
    <row r="55" spans="2:11" ht="12.65" customHeight="1" x14ac:dyDescent="0.4">
      <c r="B55" s="1359" t="s">
        <v>1268</v>
      </c>
      <c r="C55" s="1362">
        <f ca="1">(185000+CO2_PipeLength*(343*CO2_PipeDia^2+2074*CO2_PipeDia+170013))*NG_to_CO2Pipeline*VLOOKUP(ref_year,Tbl_labor_indexes,2)/VLOOKUP(2000,Tbl_labor_indexes,2)</f>
        <v>27966032.796957273</v>
      </c>
      <c r="D55" s="1363" t="str">
        <f>ref_year&amp;"$"</f>
        <v>2016$</v>
      </c>
      <c r="E55" s="1337" t="s">
        <v>1279</v>
      </c>
      <c r="F55" s="1285"/>
      <c r="G55" s="1285"/>
      <c r="H55" s="1285"/>
      <c r="I55" s="1285"/>
      <c r="J55" s="1285"/>
      <c r="K55" s="565"/>
    </row>
    <row r="56" spans="2:11" ht="12.65" customHeight="1" x14ac:dyDescent="0.4">
      <c r="B56" s="1359" t="s">
        <v>1267</v>
      </c>
      <c r="C56" s="1362">
        <f ca="1">(40000+CO2_PipeLength*(0*CO2_PipeDia^2+577*CO2_PipeDia+29788))*NG_to_CO2Pipeline*(VLOOKUP(ref_year,DeflatorTable,2)/VLOOKUP(2000,DeflatorTable,2))</f>
        <v>4735516.8325537667</v>
      </c>
      <c r="D56" s="1363" t="str">
        <f>ref_year&amp;"$"</f>
        <v>2016$</v>
      </c>
      <c r="E56" s="1337" t="s">
        <v>1280</v>
      </c>
      <c r="F56" s="1285"/>
      <c r="G56" s="1285"/>
      <c r="H56" s="1285"/>
      <c r="I56" s="1285"/>
      <c r="J56" s="1285"/>
      <c r="K56" s="565"/>
    </row>
    <row r="57" spans="2:11" ht="12.65" customHeight="1" x14ac:dyDescent="0.4">
      <c r="B57" s="1359" t="s">
        <v>1266</v>
      </c>
      <c r="C57" s="1362">
        <f ca="1">(95000+CO2_PipeLength*(0*CO2_PipeDia^2+8417*CO2_PipeDia+7324))*NG_to_CO2Pipeline*VLOOKUP(ref_year,DeflatorTable,2)/VLOOKUP(2000,DeflatorTable,2)</f>
        <v>10287680.373215443</v>
      </c>
      <c r="D57" s="1363" t="str">
        <f>ref_year&amp;"$"</f>
        <v>2016$</v>
      </c>
      <c r="E57" s="1337" t="s">
        <v>1281</v>
      </c>
      <c r="F57" s="1285"/>
      <c r="G57" s="1285"/>
      <c r="H57" s="1285"/>
      <c r="I57" s="1285"/>
      <c r="J57" s="1285"/>
      <c r="K57" s="565"/>
    </row>
    <row r="58" spans="2:11" ht="12.65" customHeight="1" x14ac:dyDescent="0.25">
      <c r="B58" s="1359" t="s">
        <v>1269</v>
      </c>
      <c r="C58" s="1362">
        <f ca="1">SUM(C54:C57)/CO2_PipeLength</f>
        <v>504058.878560632</v>
      </c>
      <c r="D58" s="1363" t="str">
        <f>ref_year&amp;"$/mile"</f>
        <v>2016$/mile</v>
      </c>
      <c r="E58" s="1291"/>
      <c r="F58" s="1309"/>
      <c r="G58" s="1309"/>
      <c r="H58" s="1309"/>
      <c r="I58" s="1309"/>
      <c r="J58" s="1309"/>
      <c r="K58" s="565"/>
    </row>
    <row r="59" spans="2:11" ht="12.65" customHeight="1" x14ac:dyDescent="0.25">
      <c r="B59" s="1287"/>
      <c r="C59" s="1301"/>
      <c r="D59" s="1285"/>
      <c r="E59" s="1291"/>
      <c r="F59" s="1285"/>
      <c r="G59" s="1285"/>
      <c r="H59" s="1285"/>
      <c r="I59" s="1285"/>
      <c r="J59" s="1285"/>
      <c r="K59" s="565"/>
    </row>
    <row r="60" spans="2:11" ht="12.65" customHeight="1" x14ac:dyDescent="0.25">
      <c r="B60" s="1289" t="s">
        <v>416</v>
      </c>
      <c r="C60" s="1301"/>
      <c r="D60" s="1285"/>
      <c r="E60" s="1291"/>
      <c r="F60" s="1285"/>
      <c r="G60" s="1285"/>
      <c r="H60" s="1285"/>
      <c r="I60" s="1285"/>
      <c r="J60" s="1285"/>
      <c r="K60" s="565"/>
    </row>
    <row r="61" spans="2:11" ht="12.65" customHeight="1" x14ac:dyDescent="0.25">
      <c r="B61" s="1359" t="s">
        <v>1265</v>
      </c>
      <c r="C61" s="1362">
        <f>5000*CO2_PipeLength*(VLOOKUP(ref_year,Tbl_PlantCostIndexes,2)/VLOOKUP(1999,Tbl_PlantCostIndexes,2))</f>
        <v>693420.37890424987</v>
      </c>
      <c r="D61" s="1363" t="str">
        <f>ref_year&amp;"$/year"</f>
        <v>2016$/year</v>
      </c>
      <c r="E61" s="1292" t="s">
        <v>1282</v>
      </c>
      <c r="F61" s="1285"/>
      <c r="G61" s="1285"/>
      <c r="H61" s="1285"/>
      <c r="I61" s="1285"/>
      <c r="J61" s="1285"/>
      <c r="K61" s="565"/>
    </row>
    <row r="62" spans="2:11" ht="12.65" customHeight="1" x14ac:dyDescent="0.25">
      <c r="B62" s="1287"/>
      <c r="C62" s="1285"/>
      <c r="D62" s="1285"/>
      <c r="E62" s="1291"/>
      <c r="F62" s="1285"/>
      <c r="G62" s="1285"/>
      <c r="H62" s="1285"/>
      <c r="I62" s="1285"/>
      <c r="J62" s="1285"/>
      <c r="K62" s="565"/>
    </row>
    <row r="63" spans="2:11" ht="12.65" customHeight="1" x14ac:dyDescent="0.25">
      <c r="B63" s="1287"/>
      <c r="C63" s="1285"/>
      <c r="D63" s="1285"/>
      <c r="E63" s="1291"/>
      <c r="F63" s="1285"/>
      <c r="G63" s="1285"/>
      <c r="H63" s="1285"/>
      <c r="I63" s="1285"/>
      <c r="J63" s="1285"/>
      <c r="K63" s="565"/>
    </row>
    <row r="64" spans="2:11" ht="13.9" customHeight="1" x14ac:dyDescent="0.25">
      <c r="B64" s="32" t="s">
        <v>1206</v>
      </c>
      <c r="C64" s="1285"/>
      <c r="D64" s="1285"/>
      <c r="E64" s="1291"/>
      <c r="F64" s="1285"/>
      <c r="G64" s="1285"/>
      <c r="H64" s="1285"/>
      <c r="I64" s="1285"/>
      <c r="J64" s="1285"/>
      <c r="K64" s="565"/>
    </row>
    <row r="65" spans="2:11" ht="12.65" customHeight="1" x14ac:dyDescent="0.25">
      <c r="B65" s="1289" t="s">
        <v>83</v>
      </c>
      <c r="C65" s="1285"/>
      <c r="D65" s="1285"/>
      <c r="E65" s="1291"/>
      <c r="F65" s="1285"/>
      <c r="G65" s="1285"/>
      <c r="H65" s="1285"/>
      <c r="I65" s="1285"/>
      <c r="J65" s="1285"/>
      <c r="K65" s="565"/>
    </row>
    <row r="66" spans="2:11" ht="12.65" customHeight="1" x14ac:dyDescent="0.25">
      <c r="B66" s="1359" t="s">
        <v>1212</v>
      </c>
      <c r="C66" s="1364">
        <f>CO2_Pin_psia</f>
        <v>14.7</v>
      </c>
      <c r="D66" s="1363" t="s">
        <v>1214</v>
      </c>
      <c r="E66" s="1291"/>
      <c r="F66" s="1285"/>
      <c r="G66" s="1285"/>
      <c r="H66" s="1285"/>
      <c r="I66" s="1285"/>
      <c r="J66" s="1285"/>
      <c r="K66" s="565"/>
    </row>
    <row r="67" spans="2:11" ht="12.65" customHeight="1" x14ac:dyDescent="0.25">
      <c r="B67" s="1359" t="s">
        <v>1213</v>
      </c>
      <c r="C67" s="1364">
        <f>15*MPa_to_psi</f>
        <v>2175.5700000000002</v>
      </c>
      <c r="D67" s="1363" t="s">
        <v>1214</v>
      </c>
      <c r="E67" s="1291"/>
      <c r="F67" s="1285"/>
      <c r="G67" s="1285"/>
      <c r="H67" s="1285"/>
      <c r="I67" s="1285"/>
      <c r="J67" s="1285"/>
      <c r="K67" s="565"/>
    </row>
    <row r="68" spans="2:11" ht="15.5" x14ac:dyDescent="0.25">
      <c r="B68" s="1359" t="s">
        <v>1215</v>
      </c>
      <c r="C68" s="1364">
        <f ca="1">(1000*1000000*0.001/ (24*3600))*(CO2_flowrate/cap_factor*(C67-C66)/MPa_to_psi)/(C41*Pump_Eff)</f>
        <v>839.30398770694285</v>
      </c>
      <c r="D68" s="1365" t="s">
        <v>414</v>
      </c>
      <c r="E68" s="1292" t="s">
        <v>1275</v>
      </c>
      <c r="F68" s="1285"/>
      <c r="G68" s="1285"/>
      <c r="H68" s="1285"/>
      <c r="I68" s="1285"/>
      <c r="J68" s="1285"/>
      <c r="K68" s="565"/>
    </row>
    <row r="69" spans="2:11" ht="12.65" customHeight="1" x14ac:dyDescent="0.25">
      <c r="B69" s="1359" t="s">
        <v>1261</v>
      </c>
      <c r="C69" s="1362">
        <f>70000*VLOOKUP(ref_year,Tbl_PlantCostIndexes,2)/VLOOKUP(2005,Tbl_PlantCostIndexes,2)</f>
        <v>80988.893635198634</v>
      </c>
      <c r="D69" s="1363" t="str">
        <f>ref_year&amp;"$"</f>
        <v>2016$</v>
      </c>
      <c r="E69" s="1292" t="s">
        <v>1276</v>
      </c>
      <c r="F69" s="1285"/>
      <c r="G69" s="1285"/>
      <c r="H69" s="1285"/>
      <c r="I69" s="1285"/>
      <c r="J69" s="1285"/>
      <c r="K69" s="565"/>
    </row>
    <row r="70" spans="2:11" ht="12.65" customHeight="1" x14ac:dyDescent="0.25">
      <c r="B70" s="1359" t="s">
        <v>1262</v>
      </c>
      <c r="C70" s="1362">
        <f ca="1">1110*C68*VLOOKUP(ref_year,Tbl_PlantCostIndexes,2)/VLOOKUP(2005,Tbl_PlantCostIndexes,2)</f>
        <v>1077878.2077239312</v>
      </c>
      <c r="D70" s="1363" t="str">
        <f>ref_year&amp;"$"</f>
        <v>2016$</v>
      </c>
      <c r="E70" s="1292" t="s">
        <v>1274</v>
      </c>
      <c r="F70" s="1285"/>
      <c r="G70" s="1285"/>
      <c r="H70" s="1285"/>
      <c r="I70" s="1285"/>
      <c r="J70" s="1285"/>
      <c r="K70" s="565"/>
    </row>
    <row r="71" spans="2:11" ht="12.65" customHeight="1" x14ac:dyDescent="0.4">
      <c r="B71" s="1359" t="s">
        <v>1271</v>
      </c>
      <c r="C71" s="1362">
        <f ca="1">SUM(C69:C70)</f>
        <v>1158867.1013591299</v>
      </c>
      <c r="D71" s="1363" t="str">
        <f>ref_year&amp;"$"</f>
        <v>2016$</v>
      </c>
      <c r="E71" s="1338" t="s">
        <v>1273</v>
      </c>
      <c r="F71" s="1309"/>
      <c r="G71" s="1309"/>
      <c r="H71" s="1309"/>
      <c r="I71" s="1309"/>
      <c r="J71" s="1309"/>
      <c r="K71" s="565"/>
    </row>
    <row r="72" spans="2:11" ht="12.65" customHeight="1" x14ac:dyDescent="0.25">
      <c r="B72" s="1288"/>
      <c r="C72" s="1294"/>
      <c r="D72" s="1293"/>
      <c r="E72" s="1291"/>
      <c r="F72" s="1285"/>
      <c r="G72" s="1285"/>
      <c r="H72" s="1285"/>
      <c r="I72" s="1285"/>
      <c r="J72" s="1285"/>
      <c r="K72" s="565"/>
    </row>
    <row r="73" spans="2:11" ht="12.65" customHeight="1" x14ac:dyDescent="0.25">
      <c r="B73" s="1289" t="s">
        <v>1218</v>
      </c>
      <c r="C73" s="1285"/>
      <c r="D73" s="1293"/>
      <c r="E73" s="1291"/>
      <c r="F73" s="1285"/>
      <c r="G73" s="1285"/>
      <c r="H73" s="1285"/>
      <c r="I73" s="1285"/>
      <c r="J73" s="1285"/>
      <c r="K73" s="565"/>
    </row>
    <row r="74" spans="2:11" ht="12.65" customHeight="1" x14ac:dyDescent="0.25">
      <c r="B74" s="1359" t="s">
        <v>1220</v>
      </c>
      <c r="C74" s="1362">
        <f ca="1">CO2_eCost*pump_power*cap_factor*24*365*n_CO2_pumps</f>
        <v>513464.82732541196</v>
      </c>
      <c r="D74" s="1366" t="str">
        <f>startup_year&amp;"$/year"</f>
        <v>2040$/year</v>
      </c>
      <c r="E74" s="1297" t="s">
        <v>1219</v>
      </c>
      <c r="F74" s="1285"/>
      <c r="G74" s="1285"/>
      <c r="H74" s="1285"/>
      <c r="I74" s="1285"/>
      <c r="J74" s="1285"/>
      <c r="K74" s="565"/>
    </row>
    <row r="75" spans="2:11" ht="12.65" customHeight="1" x14ac:dyDescent="0.25">
      <c r="B75" s="1359" t="s">
        <v>1259</v>
      </c>
      <c r="C75" s="1367">
        <f ca="1">pump_power*cap_factor*24*365*n_CO2_pumps/output_kgyear</f>
        <v>5.3094322433205741E-2</v>
      </c>
      <c r="D75" s="1368" t="s">
        <v>1260</v>
      </c>
      <c r="E75" s="1309"/>
      <c r="F75" s="1309"/>
      <c r="G75" s="1309"/>
      <c r="H75" s="1309"/>
      <c r="I75" s="1309"/>
      <c r="J75" s="1309"/>
      <c r="K75" s="565"/>
    </row>
    <row r="76" spans="2:11" ht="12.65" customHeight="1" x14ac:dyDescent="0.25">
      <c r="B76" s="1287"/>
      <c r="C76" s="1285"/>
      <c r="D76" s="1285"/>
      <c r="E76" s="1285"/>
      <c r="F76" s="1285"/>
      <c r="G76" s="1285"/>
      <c r="H76" s="1285"/>
      <c r="I76" s="1285"/>
      <c r="J76" s="1285"/>
      <c r="K76" s="565"/>
    </row>
    <row r="77" spans="2:11" ht="12.65" customHeight="1" x14ac:dyDescent="0.25">
      <c r="B77" s="1289" t="s">
        <v>416</v>
      </c>
      <c r="C77" s="1286"/>
      <c r="D77" s="1286"/>
      <c r="E77" s="1286"/>
      <c r="F77" s="1286"/>
      <c r="G77" s="1286"/>
      <c r="H77" s="1286"/>
      <c r="I77" s="1286"/>
      <c r="J77" s="1286"/>
      <c r="K77" s="565"/>
    </row>
    <row r="78" spans="2:11" ht="12.65" customHeight="1" x14ac:dyDescent="0.25">
      <c r="B78" s="1359" t="s">
        <v>1263</v>
      </c>
      <c r="C78" s="1369">
        <f ca="1">C71*CO2_MaintFactor</f>
        <v>46354.6840543652</v>
      </c>
      <c r="D78" s="1363" t="str">
        <f>ref_year&amp;"$/year"</f>
        <v>2016$/year</v>
      </c>
      <c r="E78" s="1286"/>
      <c r="F78" s="1286"/>
      <c r="G78" s="1286"/>
      <c r="H78" s="1286"/>
      <c r="I78" s="1286"/>
      <c r="J78" s="1286"/>
      <c r="K78" s="565"/>
    </row>
    <row r="79" spans="2:11" ht="12.65" customHeight="1" x14ac:dyDescent="0.25">
      <c r="B79" s="1287"/>
      <c r="C79" s="1286"/>
      <c r="D79" s="1286"/>
      <c r="E79" s="1286"/>
      <c r="F79" s="1286"/>
      <c r="G79" s="1286"/>
      <c r="H79" s="1286"/>
      <c r="I79" s="1286"/>
      <c r="J79" s="1286"/>
      <c r="K79" s="565"/>
    </row>
    <row r="80" spans="2:11" ht="15" customHeight="1" x14ac:dyDescent="0.25">
      <c r="B80" s="32" t="s">
        <v>1209</v>
      </c>
      <c r="C80" s="1285"/>
      <c r="D80" s="1285"/>
      <c r="E80" s="1285"/>
      <c r="F80" s="1285"/>
      <c r="G80" s="1285"/>
      <c r="H80" s="1285"/>
      <c r="I80" s="1285"/>
      <c r="J80" s="1285"/>
      <c r="K80" s="565"/>
    </row>
    <row r="81" spans="2:13" ht="12.65" customHeight="1" x14ac:dyDescent="0.25">
      <c r="B81" s="1289" t="s">
        <v>83</v>
      </c>
      <c r="C81" s="1285"/>
      <c r="D81" s="1285"/>
      <c r="E81" s="1285"/>
      <c r="F81" s="1285"/>
      <c r="G81" s="1285"/>
      <c r="H81" s="1285"/>
      <c r="I81" s="1285"/>
      <c r="J81" s="1285"/>
      <c r="K81" s="565"/>
    </row>
    <row r="82" spans="2:13" ht="12.65" customHeight="1" x14ac:dyDescent="0.25">
      <c r="B82" s="1359" t="s">
        <v>1210</v>
      </c>
      <c r="C82" s="1362">
        <f ca="1">IF(C35="yes",701600*(CO2_flowrate_GTpY/3.2)^Scaling_Factor_Exponent*(VLOOKUP(ref_year,Tbl_PlantCostIndexes,2)/VLOOKUP(2000,Tbl_PlantCostIndexes,2)),0)</f>
        <v>490829.49008129613</v>
      </c>
      <c r="D82" s="1363" t="str">
        <f>ref_year&amp;"$"</f>
        <v>2016$</v>
      </c>
      <c r="E82" s="1292" t="s">
        <v>1277</v>
      </c>
      <c r="F82" s="1285"/>
      <c r="G82" s="1285"/>
      <c r="H82" s="1285"/>
      <c r="I82" s="1285"/>
      <c r="J82" s="1285"/>
      <c r="K82" s="565"/>
    </row>
    <row r="83" spans="2:13" ht="12.65" customHeight="1" x14ac:dyDescent="0.25">
      <c r="B83" s="1359" t="s">
        <v>1264</v>
      </c>
      <c r="C83" s="1362">
        <f ca="1">IF(C34="yes",94000*(CO2_flowrate_GTpY/3.2)^Scaling_Factor_Exponent*(VLOOKUP(ref_year,Tbl_PlantCostIndexes,2)/VLOOKUP(2000,Tbl_PlantCostIndexes,2)),0)</f>
        <v>65761.077633468987</v>
      </c>
      <c r="D83" s="1363" t="str">
        <f>ref_year&amp;"$"</f>
        <v>2016$</v>
      </c>
      <c r="E83" s="1292" t="s">
        <v>1277</v>
      </c>
      <c r="F83" s="1285"/>
      <c r="G83" s="1285"/>
      <c r="H83" s="1285"/>
      <c r="I83" s="1285"/>
      <c r="J83" s="1285"/>
      <c r="K83" s="565"/>
    </row>
    <row r="84" spans="2:13" ht="12.65" customHeight="1" x14ac:dyDescent="0.25">
      <c r="B84" s="1288"/>
      <c r="C84" s="1285"/>
      <c r="D84" s="1285"/>
      <c r="E84" s="1285"/>
      <c r="F84" s="1285"/>
      <c r="G84" s="1285"/>
      <c r="H84" s="1285"/>
      <c r="I84" s="1285"/>
      <c r="J84" s="1285"/>
      <c r="K84" s="565"/>
    </row>
    <row r="85" spans="2:13" ht="12.65" customHeight="1" x14ac:dyDescent="0.25">
      <c r="B85" s="1289" t="s">
        <v>416</v>
      </c>
      <c r="C85" s="1286"/>
      <c r="D85" s="1286"/>
      <c r="E85" s="1286"/>
      <c r="F85" s="1286"/>
      <c r="G85" s="1286"/>
      <c r="H85" s="1286"/>
      <c r="I85" s="1286"/>
      <c r="J85" s="1286"/>
      <c r="K85" s="565"/>
    </row>
    <row r="86" spans="2:13" ht="12.65" customHeight="1" x14ac:dyDescent="0.25">
      <c r="B86" s="1359" t="s">
        <v>1263</v>
      </c>
      <c r="C86" s="1362">
        <f ca="1">SUM(C82:C83)*CO2_MaintFactor</f>
        <v>22263.622708590603</v>
      </c>
      <c r="D86" s="1363" t="str">
        <f>ref_year&amp;"$/year"</f>
        <v>2016$/year</v>
      </c>
      <c r="E86" s="1309"/>
      <c r="F86" s="1309"/>
      <c r="G86" s="1309"/>
      <c r="H86" s="1309"/>
      <c r="I86" s="1309"/>
      <c r="J86" s="1309"/>
      <c r="K86" s="565"/>
    </row>
    <row r="87" spans="2:13" s="1285" customFormat="1" ht="12.65" customHeight="1" thickBot="1" x14ac:dyDescent="0.3">
      <c r="B87" s="1298"/>
      <c r="C87" s="566"/>
      <c r="D87" s="566"/>
      <c r="E87" s="566"/>
      <c r="F87" s="566"/>
      <c r="G87" s="566"/>
      <c r="H87" s="566"/>
      <c r="I87" s="566"/>
      <c r="J87" s="566"/>
      <c r="K87" s="567"/>
    </row>
    <row r="88" spans="2:13" s="1286" customFormat="1" ht="12.65" customHeight="1" thickTop="1" thickBot="1" x14ac:dyDescent="0.3">
      <c r="B88" s="1290"/>
    </row>
    <row r="89" spans="2:13" s="1286" customFormat="1" ht="21" customHeight="1" thickTop="1" x14ac:dyDescent="0.25">
      <c r="B89" s="554" t="s">
        <v>1229</v>
      </c>
      <c r="C89" s="563"/>
      <c r="D89" s="563"/>
      <c r="E89" s="563"/>
      <c r="F89" s="563"/>
      <c r="G89" s="563"/>
      <c r="H89" s="563"/>
      <c r="I89" s="563"/>
      <c r="J89" s="563"/>
      <c r="K89" s="564"/>
    </row>
    <row r="90" spans="2:13" s="1286" customFormat="1" ht="12.65" customHeight="1" x14ac:dyDescent="0.25">
      <c r="B90" s="32" t="s">
        <v>1234</v>
      </c>
      <c r="C90" s="1309"/>
      <c r="D90" s="1335" t="s">
        <v>1049</v>
      </c>
      <c r="E90" s="1331" t="s">
        <v>1249</v>
      </c>
      <c r="F90" s="1309"/>
      <c r="G90" s="1309"/>
      <c r="H90" s="1309"/>
      <c r="I90" s="1309"/>
      <c r="J90" s="1309"/>
      <c r="K90" s="565"/>
      <c r="L90" s="1309"/>
      <c r="M90" s="1309"/>
    </row>
    <row r="91" spans="2:13" s="1295" customFormat="1" hidden="1" x14ac:dyDescent="0.25">
      <c r="B91" s="1288" t="s">
        <v>1232</v>
      </c>
      <c r="C91" s="568">
        <f>VLOOKUP(2005,DeflatorTable,2)/VLOOKUP(2008,DeflatorTable,2)</f>
        <v>0.92676070528967247</v>
      </c>
      <c r="D91" s="1309"/>
      <c r="E91" s="1309"/>
      <c r="F91" s="1309"/>
      <c r="G91" s="1309"/>
      <c r="H91" s="1309"/>
      <c r="I91" s="1309"/>
      <c r="J91" s="1309"/>
      <c r="K91" s="565"/>
      <c r="L91" s="1309"/>
      <c r="M91" s="1309"/>
    </row>
    <row r="92" spans="2:13" s="1286" customFormat="1" ht="12.65" customHeight="1" x14ac:dyDescent="0.25">
      <c r="B92" s="1289" t="str">
        <f>"Capital Costs by Stage (Annual Cost of "&amp;plant_life&amp;" year project in "&amp;ref_year&amp;"$)"</f>
        <v>Capital Costs by Stage (Annual Cost of 40 year project in 2016$)</v>
      </c>
      <c r="C92" s="1309"/>
      <c r="D92" s="1309"/>
      <c r="E92" s="1292" t="s">
        <v>1285</v>
      </c>
      <c r="F92" s="1309"/>
      <c r="G92" s="1309"/>
      <c r="H92" s="1309"/>
      <c r="I92" s="1309"/>
      <c r="J92" s="1309"/>
      <c r="K92" s="565"/>
      <c r="L92" s="1309"/>
      <c r="M92" s="1309"/>
    </row>
    <row r="93" spans="2:13" s="1286" customFormat="1" ht="12.65" customHeight="1" x14ac:dyDescent="0.25">
      <c r="B93" s="1359" t="s">
        <v>1225</v>
      </c>
      <c r="C93" s="1362">
        <f>94000*VLOOKUP(ref_year,Tbl_labor_indexes,2)/VLOOKUP(2008,Tbl_labor_indexes,2)</f>
        <v>109497.94871794869</v>
      </c>
      <c r="D93" s="1363" t="str">
        <f>ref_year&amp;"$"</f>
        <v>2016$</v>
      </c>
      <c r="F93" s="1309"/>
      <c r="G93" s="1309"/>
      <c r="H93" s="1309"/>
      <c r="I93" s="1309"/>
      <c r="J93" s="1309"/>
      <c r="K93" s="565"/>
      <c r="L93" s="1309"/>
      <c r="M93" s="1309"/>
    </row>
    <row r="94" spans="2:13" s="1286" customFormat="1" ht="12.65" customHeight="1" x14ac:dyDescent="0.25">
      <c r="B94" s="1359" t="s">
        <v>1226</v>
      </c>
      <c r="C94" s="1362">
        <f ca="1">(-16600*CO2_flowrate_GTpY^2+53500*CO2_flowrate_GTpY+20300)*1000*VLOOKUP(ref_year,Tbl_labor_indexes,2)/VLOOKUP(2008,Tbl_labor_indexes,2)</f>
        <v>67506647.763398215</v>
      </c>
      <c r="D94" s="1363" t="str">
        <f>ref_year&amp;"$"</f>
        <v>2016$</v>
      </c>
      <c r="E94" s="1309"/>
      <c r="F94" s="1309"/>
      <c r="G94" s="1309"/>
      <c r="H94" s="1309"/>
      <c r="I94" s="1309"/>
      <c r="J94" s="1309"/>
      <c r="K94" s="565"/>
      <c r="L94" s="1309"/>
      <c r="M94" s="1309"/>
    </row>
    <row r="95" spans="2:13" s="1286" customFormat="1" ht="12.65" customHeight="1" x14ac:dyDescent="0.25">
      <c r="B95" s="1359" t="s">
        <v>169</v>
      </c>
      <c r="C95" s="1362">
        <f ca="1" xml:space="preserve"> (-400*CO2_flowrate_GTpY^2 + 2200*CO2_flowrate_GTpY + 13800)*1000*VLOOKUP(ref_year,Tbl_labor_indexes,2)/VLOOKUP(2008,Tbl_labor_indexes,2)</f>
        <v>18233681.220718272</v>
      </c>
      <c r="D95" s="1363" t="str">
        <f>ref_year&amp;"$"</f>
        <v>2016$</v>
      </c>
      <c r="E95" s="1309"/>
      <c r="F95" s="1309"/>
      <c r="G95" s="1309"/>
      <c r="H95" s="1309"/>
      <c r="I95" s="1309"/>
      <c r="J95" s="1309"/>
      <c r="K95" s="565"/>
      <c r="L95" s="1309"/>
      <c r="M95" s="1309"/>
    </row>
    <row r="96" spans="2:13" s="1309" customFormat="1" ht="12.65" customHeight="1" x14ac:dyDescent="0.25">
      <c r="B96" s="1288"/>
      <c r="C96" s="1307"/>
      <c r="K96" s="565"/>
    </row>
    <row r="97" spans="2:13" s="1309" customFormat="1" ht="12.65" customHeight="1" x14ac:dyDescent="0.25">
      <c r="B97" s="1289" t="s">
        <v>1257</v>
      </c>
      <c r="C97" s="1307"/>
      <c r="E97" s="1292"/>
      <c r="K97" s="565"/>
    </row>
    <row r="98" spans="2:13" s="1286" customFormat="1" ht="12.65" customHeight="1" x14ac:dyDescent="0.25">
      <c r="B98" s="1359" t="s">
        <v>1283</v>
      </c>
      <c r="C98" s="1362">
        <f ca="1">(-36000*CO2_flowrate_GTpY^2+224000*CO2_flowrate_GTpY+47000)*1000*(VLOOKUP(ref_year,Tbl_labor_indexes,2)/VLOOKUP(2008,Tbl_labor_indexes,2))/plant_life</f>
        <v>7011358.5948212491</v>
      </c>
      <c r="D98" s="1363" t="str">
        <f>ref_year&amp;"$/year"</f>
        <v>2016$/year</v>
      </c>
      <c r="E98" s="1309"/>
      <c r="F98" s="1309"/>
      <c r="G98" s="1309"/>
      <c r="H98" s="1309"/>
      <c r="I98" s="1309"/>
      <c r="J98" s="1309"/>
      <c r="K98" s="565"/>
      <c r="L98" s="1309"/>
      <c r="M98" s="1309"/>
    </row>
    <row r="99" spans="2:13" s="1286" customFormat="1" ht="12.65" customHeight="1" x14ac:dyDescent="0.25">
      <c r="B99" s="1359" t="s">
        <v>1228</v>
      </c>
      <c r="C99" s="1362">
        <f ca="1">(-18000*CO2_flowrate_GTpY^2 + 183000*CO2_flowrate_GTpY+ 40000)*1000*(VLOOKUP(ref_year,Tbl_labor_indexes,2)/VLOOKUP(2008,Tbl_labor_indexes,2))/plant_life</f>
        <v>6132903.1866413932</v>
      </c>
      <c r="D99" s="1363" t="str">
        <f>ref_year&amp;"$/year"</f>
        <v>2016$/year</v>
      </c>
      <c r="E99" s="1309"/>
      <c r="F99" s="1309"/>
      <c r="G99" s="1309"/>
      <c r="H99" s="1309"/>
      <c r="I99" s="1309"/>
      <c r="J99" s="1309"/>
      <c r="K99" s="565"/>
      <c r="L99" s="1309"/>
      <c r="M99" s="1309"/>
    </row>
    <row r="100" spans="2:13" s="1309" customFormat="1" ht="12.65" customHeight="1" x14ac:dyDescent="0.25">
      <c r="B100" s="1359" t="s">
        <v>1284</v>
      </c>
      <c r="C100" s="1380">
        <f ca="1">+IF(CO2_Capture_Efficiency,SUM(C98:C99),0)</f>
        <v>13144261.781462643</v>
      </c>
      <c r="D100" s="1363" t="str">
        <f>ref_year&amp;"$/year"</f>
        <v>2016$/year</v>
      </c>
      <c r="K100" s="565"/>
    </row>
    <row r="101" spans="2:13" s="1286" customFormat="1" ht="12.65" customHeight="1" x14ac:dyDescent="0.25">
      <c r="B101" s="1289"/>
      <c r="C101" s="1307"/>
      <c r="D101" s="1309"/>
      <c r="E101" s="1309"/>
      <c r="F101" s="1309"/>
      <c r="G101" s="1309"/>
      <c r="H101" s="1309"/>
      <c r="I101" s="1309"/>
      <c r="J101" s="1309"/>
      <c r="K101" s="565"/>
      <c r="L101" s="1309"/>
      <c r="M101" s="1309"/>
    </row>
    <row r="102" spans="2:13" s="1286" customFormat="1" ht="12.65" customHeight="1" x14ac:dyDescent="0.25">
      <c r="B102" s="1289" t="s">
        <v>1230</v>
      </c>
      <c r="C102" s="1307"/>
      <c r="D102" s="1309"/>
      <c r="E102" s="1292"/>
      <c r="F102" s="1309"/>
      <c r="G102" s="1309"/>
      <c r="H102" s="1309"/>
      <c r="I102" s="1309"/>
      <c r="J102" s="1309"/>
      <c r="K102" s="565"/>
      <c r="L102" s="1309"/>
      <c r="M102" s="1309"/>
    </row>
    <row r="103" spans="2:13" s="1285" customFormat="1" ht="12.65" customHeight="1" x14ac:dyDescent="0.25">
      <c r="B103" s="1359" t="s">
        <v>1225</v>
      </c>
      <c r="C103" s="1362">
        <f>0*(VLOOKUP(ref_year,Tbl_labor_indexes,2)/VLOOKUP(2008,Tbl_labor_indexes,2))</f>
        <v>0</v>
      </c>
      <c r="D103" s="1363" t="str">
        <f>ref_year&amp;"$/year"</f>
        <v>2016$/year</v>
      </c>
      <c r="E103" s="1309"/>
      <c r="F103" s="1309"/>
      <c r="G103" s="1309"/>
      <c r="H103" s="1309"/>
      <c r="I103" s="1309"/>
      <c r="J103" s="1309"/>
      <c r="K103" s="565"/>
      <c r="L103" s="1309"/>
      <c r="M103" s="1309"/>
    </row>
    <row r="104" spans="2:13" s="1286" customFormat="1" ht="12.65" customHeight="1" x14ac:dyDescent="0.25">
      <c r="B104" s="1359" t="s">
        <v>1226</v>
      </c>
      <c r="C104" s="1362">
        <f>395000*(VLOOKUP(ref_year,Tbl_labor_indexes,2)/VLOOKUP(2008,Tbl_labor_indexes,2))/plant_life</f>
        <v>11503.108974358973</v>
      </c>
      <c r="D104" s="1363" t="str">
        <f>ref_year&amp;"$/year"</f>
        <v>2016$/year</v>
      </c>
      <c r="E104" s="1309"/>
      <c r="F104" s="1309"/>
      <c r="G104" s="1309"/>
      <c r="H104" s="1309"/>
      <c r="I104" s="1309"/>
      <c r="J104" s="1309"/>
      <c r="K104" s="565"/>
      <c r="L104" s="1309"/>
      <c r="M104" s="1309"/>
    </row>
    <row r="105" spans="2:13" s="1286" customFormat="1" ht="12.65" customHeight="1" x14ac:dyDescent="0.25">
      <c r="B105" s="1359" t="s">
        <v>169</v>
      </c>
      <c r="C105" s="1362">
        <f>100000*(VLOOKUP(ref_year,Tbl_labor_indexes,2)/VLOOKUP(2008,Tbl_labor_indexes,2))/plant_life</f>
        <v>2912.1794871794864</v>
      </c>
      <c r="D105" s="1363" t="str">
        <f>ref_year&amp;"$/year"</f>
        <v>2016$/year</v>
      </c>
      <c r="E105" s="1309"/>
      <c r="F105" s="1309"/>
      <c r="G105" s="1309"/>
      <c r="H105" s="1309"/>
      <c r="I105" s="1309"/>
      <c r="J105" s="1309"/>
      <c r="K105" s="565"/>
      <c r="L105" s="1309"/>
      <c r="M105" s="1309"/>
    </row>
    <row r="106" spans="2:13" s="1286" customFormat="1" ht="12.65" customHeight="1" x14ac:dyDescent="0.25">
      <c r="B106" s="1359" t="s">
        <v>1227</v>
      </c>
      <c r="C106" s="1362">
        <f ca="1" xml:space="preserve"> (-30000*CO2_flowrate_GTpY^2 + 143000*CO2_flowrate_GTpY + 41000)*1000*(VLOOKUP(ref_year,Tbl_labor_indexes,2)/VLOOKUP(2008,Tbl_labor_indexes,2))/plant_life</f>
        <v>4575909.1155134346</v>
      </c>
      <c r="D106" s="1363" t="str">
        <f>ref_year&amp;"$/year"</f>
        <v>2016$/year</v>
      </c>
      <c r="E106" s="1309"/>
      <c r="F106" s="1309"/>
      <c r="G106" s="1309"/>
      <c r="H106" s="1309"/>
      <c r="I106" s="1309"/>
      <c r="J106" s="1309"/>
      <c r="K106" s="565"/>
      <c r="L106" s="1309"/>
      <c r="M106" s="1309"/>
    </row>
    <row r="107" spans="2:13" s="1286" customFormat="1" ht="12.65" customHeight="1" x14ac:dyDescent="0.25">
      <c r="B107" s="1359" t="s">
        <v>1228</v>
      </c>
      <c r="C107" s="1362">
        <f ca="1">(111200*CO2_flowrate_GTpY+27733.33)*1000*(VLOOKUP(ref_year,Tbl_labor_indexes,2)/VLOOKUP(2008,Tbl_labor_indexes,2))/plant_life</f>
        <v>4169822.1959871789</v>
      </c>
      <c r="D107" s="1363" t="str">
        <f>ref_year&amp;"$/year"</f>
        <v>2016$/year</v>
      </c>
      <c r="E107" s="1309"/>
      <c r="F107" s="1309"/>
      <c r="G107" s="1309"/>
      <c r="H107" s="1309"/>
      <c r="I107" s="1309"/>
      <c r="J107" s="1309"/>
      <c r="K107" s="565"/>
      <c r="L107" s="1309"/>
      <c r="M107" s="1309"/>
    </row>
    <row r="108" spans="2:13" s="1286" customFormat="1" ht="12.65" customHeight="1" thickBot="1" x14ac:dyDescent="0.3">
      <c r="B108" s="1298"/>
      <c r="C108" s="566"/>
      <c r="D108" s="566"/>
      <c r="E108" s="566"/>
      <c r="F108" s="566"/>
      <c r="G108" s="566"/>
      <c r="H108" s="566"/>
      <c r="I108" s="566"/>
      <c r="J108" s="566"/>
      <c r="K108" s="567"/>
      <c r="L108" s="1309"/>
      <c r="M108" s="1309"/>
    </row>
    <row r="109" spans="2:13" s="1286" customFormat="1" ht="12.65" customHeight="1" thickTop="1" x14ac:dyDescent="0.25">
      <c r="B109" s="1290"/>
      <c r="C109" s="1308"/>
      <c r="D109" s="1291"/>
      <c r="L109" s="1309"/>
      <c r="M109" s="1309"/>
    </row>
    <row r="110" spans="2:13" x14ac:dyDescent="0.25">
      <c r="L110" s="1309"/>
      <c r="M110" s="1309"/>
    </row>
    <row r="111" spans="2:13" x14ac:dyDescent="0.25">
      <c r="L111" s="1309"/>
      <c r="M111" s="1309"/>
    </row>
  </sheetData>
  <mergeCells count="48">
    <mergeCell ref="E47:F47"/>
    <mergeCell ref="H48:J48"/>
    <mergeCell ref="H45:J45"/>
    <mergeCell ref="E48:F48"/>
    <mergeCell ref="H41:I41"/>
    <mergeCell ref="H43:I43"/>
    <mergeCell ref="H47:J47"/>
    <mergeCell ref="E41:F41"/>
    <mergeCell ref="E46:F46"/>
    <mergeCell ref="E44:F4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33:F33"/>
    <mergeCell ref="H46:J46"/>
    <mergeCell ref="H38:I38"/>
    <mergeCell ref="H40:I40"/>
    <mergeCell ref="H35:I35"/>
    <mergeCell ref="H39:I39"/>
    <mergeCell ref="H34:I34"/>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s>
  <phoneticPr fontId="2" type="noConversion"/>
  <dataValidations disablePrompts="1"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7509" r:id="rId4" name="chk_CO2_credit">
          <controlPr defaultSize="0" autoLine="0" r:id="rId5">
            <anchor moveWithCells="1">
              <from>
                <xdr:col>3</xdr:col>
                <xdr:colOff>247650</xdr:colOff>
                <xdr:row>41</xdr:row>
                <xdr:rowOff>171450</xdr:rowOff>
              </from>
              <to>
                <xdr:col>4</xdr:col>
                <xdr:colOff>279400</xdr:colOff>
                <xdr:row>43</xdr:row>
                <xdr:rowOff>69850</xdr:rowOff>
              </to>
            </anchor>
          </controlPr>
        </control>
      </mc:Choice>
      <mc:Fallback>
        <control shapeId="17509" r:id="rId4" name="chk_CO2_credit"/>
      </mc:Fallback>
    </mc:AlternateContent>
    <mc:AlternateContent xmlns:mc="http://schemas.openxmlformats.org/markup-compatibility/2006">
      <mc:Choice Requires="x14">
        <control shapeId="17497" r:id="rId6" name="chk_CO2_Pin_psia">
          <controlPr defaultSize="0" autoLine="0" r:id="rId7">
            <anchor moveWithCells="1">
              <from>
                <xdr:col>3</xdr:col>
                <xdr:colOff>247650</xdr:colOff>
                <xdr:row>30</xdr:row>
                <xdr:rowOff>69850</xdr:rowOff>
              </from>
              <to>
                <xdr:col>4</xdr:col>
                <xdr:colOff>152400</xdr:colOff>
                <xdr:row>30</xdr:row>
                <xdr:rowOff>317500</xdr:rowOff>
              </to>
            </anchor>
          </controlPr>
        </control>
      </mc:Choice>
      <mc:Fallback>
        <control shapeId="17497" r:id="rId6" name="chk_CO2_Pin_psia"/>
      </mc:Fallback>
    </mc:AlternateContent>
    <mc:AlternateContent xmlns:mc="http://schemas.openxmlformats.org/markup-compatibility/2006">
      <mc:Choice Requires="x14">
        <control shapeId="17453" r:id="rId8" name="chk_CO2_MaintFactor">
          <controlPr defaultSize="0" autoLine="0" r:id="rId9">
            <anchor moveWithCells="1">
              <from>
                <xdr:col>3</xdr:col>
                <xdr:colOff>247650</xdr:colOff>
                <xdr:row>43</xdr:row>
                <xdr:rowOff>0</xdr:rowOff>
              </from>
              <to>
                <xdr:col>4</xdr:col>
                <xdr:colOff>152400</xdr:colOff>
                <xdr:row>44</xdr:row>
                <xdr:rowOff>63500</xdr:rowOff>
              </to>
            </anchor>
          </controlPr>
        </control>
      </mc:Choice>
      <mc:Fallback>
        <control shapeId="17453" r:id="rId8" name="chk_CO2_MaintFactor"/>
      </mc:Fallback>
    </mc:AlternateContent>
    <mc:AlternateContent xmlns:mc="http://schemas.openxmlformats.org/markup-compatibility/2006">
      <mc:Choice Requires="x14">
        <control shapeId="17452" r:id="rId10" name="chk_CO2_Capture_Efficiency">
          <controlPr defaultSize="0" autoLine="0" r:id="rId11">
            <anchor moveWithCells="1">
              <from>
                <xdr:col>3</xdr:col>
                <xdr:colOff>247650</xdr:colOff>
                <xdr:row>28</xdr:row>
                <xdr:rowOff>171450</xdr:rowOff>
              </from>
              <to>
                <xdr:col>4</xdr:col>
                <xdr:colOff>152400</xdr:colOff>
                <xdr:row>30</xdr:row>
                <xdr:rowOff>76200</xdr:rowOff>
              </to>
            </anchor>
          </controlPr>
        </control>
      </mc:Choice>
      <mc:Fallback>
        <control shapeId="17452" r:id="rId10" name="chk_CO2_Capture_Efficiency"/>
      </mc:Fallback>
    </mc:AlternateContent>
    <mc:AlternateContent xmlns:mc="http://schemas.openxmlformats.org/markup-compatibility/2006">
      <mc:Choice Requires="x14">
        <control shapeId="17561" r:id="rId12" name="chk_n_CO2_pumps">
          <controlPr defaultSize="0" autoLine="0" r:id="rId13">
            <anchor moveWithCells="1">
              <from>
                <xdr:col>3</xdr:col>
                <xdr:colOff>241300</xdr:colOff>
                <xdr:row>31</xdr:row>
                <xdr:rowOff>69850</xdr:rowOff>
              </from>
              <to>
                <xdr:col>4</xdr:col>
                <xdr:colOff>146050</xdr:colOff>
                <xdr:row>31</xdr:row>
                <xdr:rowOff>317500</xdr:rowOff>
              </to>
            </anchor>
          </controlPr>
        </control>
      </mc:Choice>
      <mc:Fallback>
        <control shapeId="17561" r:id="rId12" name="chk_n_CO2_pumps"/>
      </mc:Fallback>
    </mc:AlternateContent>
    <mc:AlternateContent xmlns:mc="http://schemas.openxmlformats.org/markup-compatibility/2006">
      <mc:Choice Requires="x14">
        <control shapeId="17562" r:id="rId14" name="chk_CO2_Pump_Eff">
          <controlPr defaultSize="0" autoLine="0" r:id="rId15">
            <anchor moveWithCells="1">
              <from>
                <xdr:col>3</xdr:col>
                <xdr:colOff>241300</xdr:colOff>
                <xdr:row>31</xdr:row>
                <xdr:rowOff>336550</xdr:rowOff>
              </from>
              <to>
                <xdr:col>4</xdr:col>
                <xdr:colOff>146050</xdr:colOff>
                <xdr:row>33</xdr:row>
                <xdr:rowOff>63500</xdr:rowOff>
              </to>
            </anchor>
          </controlPr>
        </control>
      </mc:Choice>
      <mc:Fallback>
        <control shapeId="17562" r:id="rId14" name="chk_CO2_Pump_Eff"/>
      </mc:Fallback>
    </mc:AlternateContent>
    <mc:AlternateContent xmlns:mc="http://schemas.openxmlformats.org/markup-compatibility/2006">
      <mc:Choice Requires="x14">
        <control shapeId="17563" r:id="rId16" name="chk_CO2_ControlSystem">
          <controlPr defaultSize="0" autoLine="0" r:id="rId17">
            <anchor moveWithCells="1">
              <from>
                <xdr:col>3</xdr:col>
                <xdr:colOff>241300</xdr:colOff>
                <xdr:row>32</xdr:row>
                <xdr:rowOff>165100</xdr:rowOff>
              </from>
              <to>
                <xdr:col>4</xdr:col>
                <xdr:colOff>146050</xdr:colOff>
                <xdr:row>34</xdr:row>
                <xdr:rowOff>76200</xdr:rowOff>
              </to>
            </anchor>
          </controlPr>
        </control>
      </mc:Choice>
      <mc:Fallback>
        <control shapeId="17563" r:id="rId16" name="chk_CO2_ControlSystem"/>
      </mc:Fallback>
    </mc:AlternateContent>
    <mc:AlternateContent xmlns:mc="http://schemas.openxmlformats.org/markup-compatibility/2006">
      <mc:Choice Requires="x14">
        <control shapeId="17565" r:id="rId18" name="chk_CO2_SurgeTank">
          <controlPr defaultSize="0" autoLine="0" r:id="rId19">
            <anchor moveWithCells="1">
              <from>
                <xdr:col>3</xdr:col>
                <xdr:colOff>241300</xdr:colOff>
                <xdr:row>33</xdr:row>
                <xdr:rowOff>152400</xdr:rowOff>
              </from>
              <to>
                <xdr:col>4</xdr:col>
                <xdr:colOff>146050</xdr:colOff>
                <xdr:row>35</xdr:row>
                <xdr:rowOff>63500</xdr:rowOff>
              </to>
            </anchor>
          </controlPr>
        </control>
      </mc:Choice>
      <mc:Fallback>
        <control shapeId="17565" r:id="rId18" name="chk_CO2_SurgeTank"/>
      </mc:Fallback>
    </mc:AlternateContent>
    <mc:AlternateContent xmlns:mc="http://schemas.openxmlformats.org/markup-compatibility/2006">
      <mc:Choice Requires="x14">
        <control shapeId="17566" r:id="rId20" name="chk_CO2_PipeLength">
          <controlPr defaultSize="0" autoLine="0" r:id="rId21">
            <anchor moveWithCells="1">
              <from>
                <xdr:col>3</xdr:col>
                <xdr:colOff>241300</xdr:colOff>
                <xdr:row>34</xdr:row>
                <xdr:rowOff>152400</xdr:rowOff>
              </from>
              <to>
                <xdr:col>4</xdr:col>
                <xdr:colOff>146050</xdr:colOff>
                <xdr:row>36</xdr:row>
                <xdr:rowOff>63500</xdr:rowOff>
              </to>
            </anchor>
          </controlPr>
        </control>
      </mc:Choice>
      <mc:Fallback>
        <control shapeId="17566" r:id="rId20" name="chk_CO2_PipeLength"/>
      </mc:Fallback>
    </mc:AlternateContent>
    <mc:AlternateContent xmlns:mc="http://schemas.openxmlformats.org/markup-compatibility/2006">
      <mc:Choice Requires="x14">
        <control shapeId="17567" r:id="rId22" name="chk_CO2_PipeElevation">
          <controlPr defaultSize="0" autoLine="0" r:id="rId23">
            <anchor moveWithCells="1">
              <from>
                <xdr:col>3</xdr:col>
                <xdr:colOff>241300</xdr:colOff>
                <xdr:row>35</xdr:row>
                <xdr:rowOff>165100</xdr:rowOff>
              </from>
              <to>
                <xdr:col>4</xdr:col>
                <xdr:colOff>146050</xdr:colOff>
                <xdr:row>37</xdr:row>
                <xdr:rowOff>76200</xdr:rowOff>
              </to>
            </anchor>
          </controlPr>
        </control>
      </mc:Choice>
      <mc:Fallback>
        <control shapeId="17567" r:id="rId22" name="chk_CO2_PipeElevation"/>
      </mc:Fallback>
    </mc:AlternateContent>
    <mc:AlternateContent xmlns:mc="http://schemas.openxmlformats.org/markup-compatibility/2006">
      <mc:Choice Requires="x14">
        <control shapeId="17568" r:id="rId24" name="chk_CO2_Pipeline_Temp">
          <controlPr defaultSize="0" autoLine="0" r:id="rId25">
            <anchor moveWithCells="1">
              <from>
                <xdr:col>3</xdr:col>
                <xdr:colOff>247650</xdr:colOff>
                <xdr:row>38</xdr:row>
                <xdr:rowOff>165100</xdr:rowOff>
              </from>
              <to>
                <xdr:col>4</xdr:col>
                <xdr:colOff>152400</xdr:colOff>
                <xdr:row>40</xdr:row>
                <xdr:rowOff>82550</xdr:rowOff>
              </to>
            </anchor>
          </controlPr>
        </control>
      </mc:Choice>
      <mc:Fallback>
        <control shapeId="17568" r:id="rId24" name="chk_CO2_Pipeline_Temp"/>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election activeCell="B109" sqref="B109"/>
    </sheetView>
  </sheetViews>
  <sheetFormatPr defaultRowHeight="12.5" x14ac:dyDescent="0.25"/>
  <cols>
    <col min="2" max="2" width="28.7265625" customWidth="1"/>
    <col min="3" max="3" width="25.26953125" customWidth="1"/>
    <col min="4" max="4" width="22.7265625" customWidth="1"/>
    <col min="5" max="5" width="22.1796875" customWidth="1"/>
    <col min="6" max="6" width="20.26953125" customWidth="1"/>
    <col min="7" max="7" width="18.54296875" customWidth="1"/>
    <col min="8" max="8" width="15.7265625" customWidth="1"/>
    <col min="9" max="9" width="16.26953125" customWidth="1"/>
  </cols>
  <sheetData>
    <row r="1" spans="2:9" ht="13" thickBot="1" x14ac:dyDescent="0.3"/>
    <row r="2" spans="2:9" ht="16" thickTop="1" x14ac:dyDescent="0.35">
      <c r="B2" s="731" t="s">
        <v>1067</v>
      </c>
      <c r="C2" s="732"/>
    </row>
    <row r="3" spans="2:9" x14ac:dyDescent="0.25">
      <c r="B3" s="733" t="s">
        <v>79</v>
      </c>
      <c r="C3" s="691"/>
    </row>
    <row r="4" spans="2:9" x14ac:dyDescent="0.25">
      <c r="B4" s="733" t="s">
        <v>919</v>
      </c>
      <c r="C4" s="691"/>
    </row>
    <row r="5" spans="2:9" x14ac:dyDescent="0.25">
      <c r="B5" s="733" t="s">
        <v>394</v>
      </c>
      <c r="C5" s="691"/>
    </row>
    <row r="6" spans="2:9" x14ac:dyDescent="0.25">
      <c r="B6" s="733" t="s">
        <v>1068</v>
      </c>
      <c r="C6" s="691"/>
    </row>
    <row r="7" spans="2:9" x14ac:dyDescent="0.25">
      <c r="B7" s="733" t="s">
        <v>402</v>
      </c>
      <c r="C7" s="691"/>
    </row>
    <row r="8" spans="2:9" x14ac:dyDescent="0.25">
      <c r="B8" s="733" t="s">
        <v>535</v>
      </c>
      <c r="C8" s="691"/>
    </row>
    <row r="9" spans="2:9" x14ac:dyDescent="0.25">
      <c r="B9" s="733" t="s">
        <v>1069</v>
      </c>
      <c r="C9" s="691"/>
    </row>
    <row r="10" spans="2:9" ht="13" thickBot="1" x14ac:dyDescent="0.3">
      <c r="B10" s="734" t="s">
        <v>1070</v>
      </c>
      <c r="C10" s="735"/>
    </row>
    <row r="11" spans="2:9" ht="13" thickTop="1" x14ac:dyDescent="0.25"/>
    <row r="12" spans="2:9" ht="25" x14ac:dyDescent="0.5">
      <c r="B12" s="431" t="s">
        <v>391</v>
      </c>
      <c r="C12" s="135"/>
      <c r="D12" s="135"/>
      <c r="E12" s="53"/>
      <c r="F12" s="53"/>
      <c r="G12" s="40"/>
      <c r="H12" s="41"/>
      <c r="I12" s="134"/>
    </row>
    <row r="13" spans="2:9" ht="13" x14ac:dyDescent="0.3">
      <c r="D13" s="135"/>
      <c r="E13" s="136"/>
      <c r="F13" s="53"/>
      <c r="G13" s="40"/>
      <c r="H13" s="41"/>
      <c r="I13" s="134"/>
    </row>
    <row r="14" spans="2:9" ht="22.5" thickBot="1" x14ac:dyDescent="0.7">
      <c r="B14" s="316" t="s">
        <v>392</v>
      </c>
      <c r="D14" s="135"/>
      <c r="E14" s="53"/>
      <c r="F14" s="53"/>
      <c r="G14" s="40"/>
      <c r="H14" s="41"/>
      <c r="I14" s="134"/>
    </row>
    <row r="15" spans="2:9" ht="16" thickBot="1" x14ac:dyDescent="0.4">
      <c r="B15" s="1040" t="s">
        <v>1095</v>
      </c>
      <c r="C15" s="1041">
        <f ca="1">total_cap/(ProcEqpCap+CCSEqpCap)</f>
        <v>2.2073871161313043</v>
      </c>
      <c r="D15" s="135"/>
      <c r="E15" s="53"/>
      <c r="F15" s="53"/>
      <c r="G15" s="40"/>
      <c r="H15" s="41"/>
      <c r="I15" s="134"/>
    </row>
    <row r="16" spans="2:9" ht="13.5" thickBot="1" x14ac:dyDescent="0.3">
      <c r="B16" s="53"/>
      <c r="C16" s="53"/>
      <c r="D16" s="53"/>
      <c r="E16" s="53"/>
      <c r="F16" s="53"/>
      <c r="G16" s="40"/>
      <c r="H16" s="41"/>
      <c r="I16" s="134"/>
    </row>
    <row r="17" spans="2:9" ht="16.5" thickTop="1" thickBot="1" x14ac:dyDescent="0.4">
      <c r="B17" s="49" t="s">
        <v>79</v>
      </c>
      <c r="C17" s="149"/>
      <c r="D17" s="150"/>
      <c r="E17" s="53"/>
      <c r="F17" s="1607" t="str">
        <f>IF(CO2_inUse = "Carbon Sequestration","Approximate Carbon Sequestration Costs*","Carbon Sequestration is not included in this case")</f>
        <v>Approximate Carbon Sequestration Costs*</v>
      </c>
      <c r="G17" s="1608"/>
      <c r="H17" s="1609"/>
      <c r="I17" s="134"/>
    </row>
    <row r="18" spans="2:9" ht="56.5" thickTop="1" x14ac:dyDescent="0.3">
      <c r="B18" s="152" t="s">
        <v>80</v>
      </c>
      <c r="C18" s="56" t="s">
        <v>81</v>
      </c>
      <c r="D18" s="430" t="s">
        <v>82</v>
      </c>
      <c r="E18" s="53"/>
      <c r="F18" s="1276" t="s">
        <v>80</v>
      </c>
      <c r="G18" s="1277" t="s">
        <v>2</v>
      </c>
      <c r="H18" s="1278" t="s">
        <v>3</v>
      </c>
      <c r="I18" s="134"/>
    </row>
    <row r="19" spans="2:9" ht="14" x14ac:dyDescent="0.3">
      <c r="B19" s="629" t="s">
        <v>83</v>
      </c>
      <c r="C19" s="838">
        <f ca="1">'Cash Flow Analysis'!D119</f>
        <v>0.38842369073180655</v>
      </c>
      <c r="D19" s="153">
        <f ca="1">'Cash Flow Analysis'!C119</f>
        <v>0.22348615207501013</v>
      </c>
      <c r="E19" s="53"/>
      <c r="F19" s="1279" t="s">
        <v>83</v>
      </c>
      <c r="G19" s="1280">
        <f ca="1">IF(CO2_inUse = "Carbon Sequestration",ROUND((Det_CO2_seq+CO2_aprx_indCap)*CO2_cap_charge_rate/output_kgyear,2),"")</f>
        <v>0.11</v>
      </c>
      <c r="H19" s="1281">
        <f ca="1">IF(CO2_inUse = "Carbon Sequestration",CO2_capptonneCO2,"")</f>
        <v>26.1</v>
      </c>
      <c r="I19" s="134"/>
    </row>
    <row r="20" spans="2:9" ht="14" x14ac:dyDescent="0.3">
      <c r="B20" s="629" t="s">
        <v>84</v>
      </c>
      <c r="C20" s="234">
        <f ca="1">'Cash Flow Analysis'!D120</f>
        <v>1.3717004641163582E-3</v>
      </c>
      <c r="D20" s="154">
        <f ca="1">'Cash Flow Analysis'!C120</f>
        <v>7.892311046921621E-4</v>
      </c>
      <c r="E20" s="53"/>
      <c r="F20" s="1279" t="s">
        <v>4</v>
      </c>
      <c r="G20" s="1280">
        <f ca="1">IF(CO2_inUse = "Carbon Sequestration",ROUND(Det_CO2_OandMcost/output_kgyear,2),"")</f>
        <v>0.08</v>
      </c>
      <c r="H20" s="1281">
        <f ca="1">IF(CO2_inUse = "Carbon Sequestration",CO2_OandMptonneCO2,"")</f>
        <v>11.8</v>
      </c>
      <c r="I20" s="134"/>
    </row>
    <row r="21" spans="2:9" ht="14" x14ac:dyDescent="0.3">
      <c r="B21" s="629" t="s">
        <v>85</v>
      </c>
      <c r="C21" s="234">
        <f ca="1">'Cash Flow Analysis'!D121</f>
        <v>0.10796906793131675</v>
      </c>
      <c r="D21" s="154">
        <f ca="1">'Cash Flow Analysis'!C121</f>
        <v>6.2121832707047783E-2</v>
      </c>
      <c r="E21" s="53"/>
      <c r="F21" s="1279" t="s">
        <v>5</v>
      </c>
      <c r="G21" s="1280">
        <f ca="1">IF(CO2_inUse = "Carbon Sequestration",ROUND(CO2_eCostpY/output_kgyear,2),"")</f>
        <v>0</v>
      </c>
      <c r="H21" s="1281">
        <f ca="1">IF(CO2_inUse = "Carbon Sequestration",CO2_energyptonneCO2,"")</f>
        <v>0.5</v>
      </c>
      <c r="I21" s="134"/>
    </row>
    <row r="22" spans="2:9" ht="14.5" thickBot="1" x14ac:dyDescent="0.35">
      <c r="B22" s="629" t="s">
        <v>1004</v>
      </c>
      <c r="C22" s="234">
        <f ca="1">'Cash Flow Analysis'!D122</f>
        <v>1.0310552346010688</v>
      </c>
      <c r="D22" s="154">
        <f ca="1">'Cash Flow Analysis'!C122</f>
        <v>0.59323509985618117</v>
      </c>
      <c r="E22" s="53"/>
      <c r="F22" s="1282" t="s">
        <v>58</v>
      </c>
      <c r="G22" s="1283">
        <f ca="1">SUM(G19:G21)</f>
        <v>0.19</v>
      </c>
      <c r="H22" s="1284">
        <f ca="1">SUM(H19:H21)</f>
        <v>38.400000000000006</v>
      </c>
      <c r="I22" s="134"/>
    </row>
    <row r="23" spans="2:9" ht="27" customHeight="1" thickTop="1" x14ac:dyDescent="0.25">
      <c r="B23" s="629" t="s">
        <v>86</v>
      </c>
      <c r="C23" s="234">
        <f ca="1">'Cash Flow Analysis'!D123</f>
        <v>0</v>
      </c>
      <c r="D23" s="154">
        <f ca="1">'Cash Flow Analysis'!C123</f>
        <v>0</v>
      </c>
      <c r="E23" s="53"/>
      <c r="F23" s="1610" t="s">
        <v>6</v>
      </c>
      <c r="G23" s="1610"/>
      <c r="H23" s="1610"/>
      <c r="I23" s="134"/>
    </row>
    <row r="24" spans="2:9" x14ac:dyDescent="0.25">
      <c r="B24" s="629" t="s">
        <v>87</v>
      </c>
      <c r="C24" s="234">
        <f ca="1">'Cash Flow Analysis'!D124</f>
        <v>0</v>
      </c>
      <c r="D24" s="154">
        <f ca="1">'Cash Flow Analysis'!C124</f>
        <v>0</v>
      </c>
      <c r="E24" s="53"/>
      <c r="F24" s="53"/>
      <c r="I24" s="134"/>
    </row>
    <row r="25" spans="2:9" ht="25" x14ac:dyDescent="0.25">
      <c r="B25" s="630" t="s">
        <v>88</v>
      </c>
      <c r="C25" s="234">
        <f ca="1">'Cash Flow Analysis'!D125</f>
        <v>0.20920159808505345</v>
      </c>
      <c r="D25" s="154">
        <f ca="1">'Cash Flow Analysis'!C125</f>
        <v>0.12036768425706873</v>
      </c>
      <c r="E25" s="53"/>
      <c r="F25" s="53"/>
      <c r="I25" s="134"/>
    </row>
    <row r="26" spans="2:9" ht="13.5" thickBot="1" x14ac:dyDescent="0.35">
      <c r="B26" s="631" t="s">
        <v>58</v>
      </c>
      <c r="C26" s="839">
        <f ca="1">SUM(C19:C25)</f>
        <v>1.738021291813362</v>
      </c>
      <c r="D26" s="570"/>
      <c r="E26" s="53"/>
      <c r="F26" s="53"/>
      <c r="I26" s="134"/>
    </row>
    <row r="27" spans="2:9" ht="13.5" thickTop="1" x14ac:dyDescent="0.25">
      <c r="B27" s="53"/>
      <c r="C27" s="53"/>
      <c r="D27" s="143"/>
      <c r="E27" s="53"/>
      <c r="F27" s="53"/>
      <c r="I27" s="134"/>
    </row>
    <row r="28" spans="2:9" ht="22" x14ac:dyDescent="0.65">
      <c r="B28" s="316" t="s">
        <v>393</v>
      </c>
      <c r="C28" s="53"/>
      <c r="D28" s="41"/>
      <c r="E28" s="53"/>
      <c r="F28" s="53"/>
      <c r="G28" s="53"/>
      <c r="H28" s="53"/>
      <c r="I28" s="134"/>
    </row>
    <row r="29" spans="2:9" ht="13" thickBot="1" x14ac:dyDescent="0.3">
      <c r="I29" s="134"/>
    </row>
    <row r="30" spans="2:9" ht="16.5" thickTop="1" thickBot="1" x14ac:dyDescent="0.4">
      <c r="B30" s="1611" t="s">
        <v>919</v>
      </c>
      <c r="C30" s="1612"/>
      <c r="D30" s="613"/>
      <c r="E30" s="613"/>
      <c r="F30" s="613"/>
      <c r="G30" s="614"/>
      <c r="H30" s="614"/>
      <c r="I30" s="618"/>
    </row>
    <row r="31" spans="2:9" ht="42.5" thickBot="1" x14ac:dyDescent="0.3">
      <c r="B31" s="619" t="s">
        <v>248</v>
      </c>
      <c r="C31" s="620" t="s">
        <v>923</v>
      </c>
      <c r="D31" s="620" t="s">
        <v>918</v>
      </c>
      <c r="E31" s="621" t="s">
        <v>708</v>
      </c>
      <c r="F31" s="621" t="s">
        <v>264</v>
      </c>
      <c r="G31" s="621" t="s">
        <v>917</v>
      </c>
      <c r="H31" s="621" t="s">
        <v>934</v>
      </c>
      <c r="I31" s="622" t="s">
        <v>1193</v>
      </c>
    </row>
    <row r="32" spans="2:9" x14ac:dyDescent="0.25">
      <c r="B32" s="708" t="str">
        <f>IF('Cash Flow Analysis'!$B$131=0,"",'Cash Flow Analysis'!$B$131)</f>
        <v>Industrial Natural Gas</v>
      </c>
      <c r="C32" s="709">
        <f ca="1">IF($B$32="","",$E$32*$F$32*$H$32)</f>
        <v>0.16436899999999999</v>
      </c>
      <c r="D32" s="709">
        <f ca="1">IF($B32="","",$C32*1000*MJ_to_kWh)</f>
        <v>45.658055555555556</v>
      </c>
      <c r="E32" s="710">
        <f ca="1">IF($B$32&lt;&gt;"",VLOOKUP($B$32,MASTER_PROPERTY_TABLE,MATCH("H2A LHV (GJ/ H2A usage input unit)",key_MPTable,0),FALSE),"")</f>
        <v>1.0549999999999999</v>
      </c>
      <c r="F32" s="710">
        <f ca="1">IF('Cash Flow Analysis'!$B$133="","",'Cash Flow Analysis'!$B$133)</f>
        <v>0.15579999999999999</v>
      </c>
      <c r="G32" s="711" t="str">
        <f ca="1">IF($B$32&lt;&gt;"",VLOOKUP($B$32,MASTER_PROPERTY_TABLE,MATCH("H2A Usage Input Unit/ kg H2",key_MPTable,0),FALSE),"")</f>
        <v>mmBtu</v>
      </c>
      <c r="H32" s="711">
        <f ca="1">IF($B32="","",IF(VLOOKUP($B32,MASTER_PROPERTY_TABLE,MATCH("Unit System",key_MPTable,0),FALSE)="English",mmBTU_to_GJ,1))</f>
        <v>1</v>
      </c>
      <c r="I32" s="1225">
        <f ca="1">+'Cash Flow Analysis'!$B$233</f>
        <v>7.0022406148925311</v>
      </c>
    </row>
    <row r="33" spans="2:9" x14ac:dyDescent="0.25">
      <c r="B33" s="662" t="str">
        <f>IF('Cash Flow Analysis'!$C$131=0,"",'Cash Flow Analysis'!$C$131)</f>
        <v/>
      </c>
      <c r="C33" s="712" t="str">
        <f>IF($B$33="","",$E$33*$F$33*$H$33)</f>
        <v/>
      </c>
      <c r="D33" s="712" t="str">
        <f>IF($B33="","",$C33*1000*MJ_to_kWh)</f>
        <v/>
      </c>
      <c r="E33" s="666" t="str">
        <f>IF($B$33&lt;&gt;"",VLOOKUP($B$33,MASTER_PROPERTY_TABLE,MATCH("H2A LHV (GJ/ H2A usage input unit)",key_MPTable,0),FALSE),"")</f>
        <v/>
      </c>
      <c r="F33" s="666" t="str">
        <f>IF('Cash Flow Analysis'!$C$133="","",'Cash Flow Analysis'!$C$133)</f>
        <v/>
      </c>
      <c r="G33" s="713" t="str">
        <f>IF($B$33&lt;&gt;"",VLOOKUP($B$33,MASTER_PROPERTY_TABLE,MATCH("H2A Usage Input Unit/ kg H2",key_MPTable,0),FALSE),"")</f>
        <v/>
      </c>
      <c r="H33" s="713" t="str">
        <f>IF($B$33="","",IF(VLOOKUP($B$33,MASTER_PROPERTY_TABLE,MATCH("Unit System",key_MPTable,0),FALSE)="English",mmBTU_to_GJ,1))</f>
        <v/>
      </c>
      <c r="I33" s="1226" t="str">
        <f>+'Cash Flow Analysis'!$C$233</f>
        <v/>
      </c>
    </row>
    <row r="34" spans="2:9" x14ac:dyDescent="0.25">
      <c r="B34" s="662" t="str">
        <f>IF('Cash Flow Analysis'!$D$131=0,"",'Cash Flow Analysis'!$D$131)</f>
        <v/>
      </c>
      <c r="C34" s="712" t="str">
        <f>IF($B$34="","",$E$34*$F$34*$H$34)</f>
        <v/>
      </c>
      <c r="D34" s="712" t="str">
        <f>IF($B34="","",$C34*1000*MJ_to_kWh)</f>
        <v/>
      </c>
      <c r="E34" s="666" t="str">
        <f>IF($B$34&lt;&gt;"",VLOOKUP($B$34,MASTER_PROPERTY_TABLE,MATCH("H2A LHV (GJ/ H2A usage input unit)",key_MPTable,0),FALSE),"")</f>
        <v/>
      </c>
      <c r="F34" s="666" t="str">
        <f>IF('Cash Flow Analysis'!$D$133="","",'Cash Flow Analysis'!$D$133)</f>
        <v/>
      </c>
      <c r="G34" s="713" t="str">
        <f>IF($B$34&lt;&gt;"",VLOOKUP($B$34,MASTER_PROPERTY_TABLE,MATCH("H2A Usage Input Unit/ kg H2",key_MPTable,0),FALSE),"")</f>
        <v/>
      </c>
      <c r="H34" s="713" t="str">
        <f>IF($B$34="","",IF(VLOOKUP($B$34,MASTER_PROPERTY_TABLE,MATCH("Unit System",key_MPTable,0),FALSE)="English",mmBTU_to_GJ,1))</f>
        <v/>
      </c>
      <c r="I34" s="1226" t="str">
        <f>+'Cash Flow Analysis'!$D$233</f>
        <v/>
      </c>
    </row>
    <row r="35" spans="2:9" ht="13" thickBot="1" x14ac:dyDescent="0.3">
      <c r="B35" s="715" t="str">
        <f>IF('Cash Flow Analysis'!$E$131=0,"",'Cash Flow Analysis'!$E$131)</f>
        <v/>
      </c>
      <c r="C35" s="716" t="str">
        <f>IF($B$35="","",$E$35*$F$35*$H$35)</f>
        <v/>
      </c>
      <c r="D35" s="716" t="str">
        <f>IF($B35="","",$C35*1000*MJ_to_kWh)</f>
        <v/>
      </c>
      <c r="E35" s="717" t="str">
        <f>IF($B$35&lt;&gt;"",VLOOKUP($B$35,MASTER_PROPERTY_TABLE,MATCH("H2A LHV (GJ/ H2A usage input unit)",key_MPTable,0),FALSE),"")</f>
        <v/>
      </c>
      <c r="F35" s="717" t="str">
        <f>IF('Cash Flow Analysis'!$E$133="","",'Cash Flow Analysis'!$E$133)</f>
        <v/>
      </c>
      <c r="G35" s="718" t="str">
        <f>IF($B$35&lt;&gt;"",VLOOKUP($B$35,MASTER_PROPERTY_TABLE,MATCH("H2A Usage Input Unit/ kg H2",key_MPTable,0),FALSE),"")</f>
        <v/>
      </c>
      <c r="H35" s="718" t="str">
        <f>IF($B$35="","",IF(VLOOKUP($B$35,MASTER_PROPERTY_TABLE,MATCH("Unit System",key_MPTable,0),FALSE)="English",mmBTU_to_GJ,1))</f>
        <v/>
      </c>
      <c r="I35" s="1227" t="str">
        <f>+'Cash Flow Analysis'!$E$233</f>
        <v/>
      </c>
    </row>
    <row r="36" spans="2:9" ht="14" x14ac:dyDescent="0.3">
      <c r="B36" s="719" t="s">
        <v>271</v>
      </c>
      <c r="C36" s="720"/>
      <c r="D36" s="720"/>
      <c r="E36" s="626"/>
      <c r="F36" s="626"/>
      <c r="G36" s="627"/>
      <c r="H36" s="627"/>
      <c r="I36" s="1228"/>
    </row>
    <row r="37" spans="2:9" x14ac:dyDescent="0.25">
      <c r="B37" s="662" t="str">
        <f>IF('Cash Flow Analysis'!$F$131=0,"",'Cash Flow Analysis'!$F$131)</f>
        <v>Industrial Electricity</v>
      </c>
      <c r="C37" s="712">
        <f ca="1">IF($B$37="","",$E$37*$F$37*$H$37)</f>
        <v>2.1599999999999996E-3</v>
      </c>
      <c r="D37" s="712">
        <f ca="1">IF($B37="","",$C37*1000*MJ_to_kWh)</f>
        <v>0.6</v>
      </c>
      <c r="E37" s="666">
        <f ca="1">IF($B37&lt;&gt;"",VLOOKUP($B37,MASTER_PROPERTY_TABLE,MATCH("H2A LHV (GJ/ H2A usage input unit)",key_MPTable,0),FALSE),"")</f>
        <v>3.5999999999999995E-3</v>
      </c>
      <c r="F37" s="666">
        <f ca="1">IF('Cash Flow Analysis'!$F$133="","",'Cash Flow Analysis'!$F$133)</f>
        <v>0.6</v>
      </c>
      <c r="G37" s="713" t="str">
        <f ca="1">IF($B$37&lt;&gt;"",VLOOKUP($B$37,MASTER_PROPERTY_TABLE,MATCH("H2A Usage Input Unit/ kg H2",key_MPTable,0),FALSE),"")</f>
        <v>kWh</v>
      </c>
      <c r="H37" s="713">
        <f ca="1">IF($B$37="","",IF(VLOOKUP($B$37,MASTER_PROPERTY_TABLE,MATCH("Unit System",key_MPTable,0),FALSE)="English",mmBTU_to_GJ,1))</f>
        <v>1</v>
      </c>
      <c r="I37" s="1226">
        <f ca="1">+'Cash Flow Analysis'!$F$233</f>
        <v>8.5311799867846899E-2</v>
      </c>
    </row>
    <row r="38" spans="2:9" x14ac:dyDescent="0.25">
      <c r="B38" s="662" t="str">
        <f>IF('Cash Flow Analysis'!$G$131=0,"",'Cash Flow Analysis'!$G$131)</f>
        <v/>
      </c>
      <c r="C38" s="712" t="str">
        <f>IF($B$38="","",$E$38*$F$38*$H$38)</f>
        <v/>
      </c>
      <c r="D38" s="712" t="str">
        <f>IF($B38="","",$C38*1000*MJ_to_kWh)</f>
        <v/>
      </c>
      <c r="E38" s="666" t="str">
        <f>IF($B38&lt;&gt;"",VLOOKUP($B38,MASTER_PROPERTY_TABLE,MATCH("H2A LHV (GJ/ H2A usage input unit)",key_MPTable,0),FALSE),"")</f>
        <v/>
      </c>
      <c r="F38" s="666" t="str">
        <f>IF('Cash Flow Analysis'!$G$133="","",'Cash Flow Analysis'!$G$133)</f>
        <v/>
      </c>
      <c r="G38" s="713" t="str">
        <f>IF($B$38&lt;&gt;"",VLOOKUP($B$38,MASTER_PROPERTY_TABLE,MATCH("H2A Usage Input Unit/ kg H2",key_MPTable,0),FALSE),"")</f>
        <v/>
      </c>
      <c r="H38" s="713" t="str">
        <f>IF($B$38="","",IF(VLOOKUP($B$38,MASTER_PROPERTY_TABLE,MATCH("Unit System",key_MPTable,0),FALSE)="English",mmBTU_to_GJ,1))</f>
        <v/>
      </c>
      <c r="I38" s="1226" t="str">
        <f>+'Cash Flow Analysis'!$G$233</f>
        <v/>
      </c>
    </row>
    <row r="39" spans="2:9" x14ac:dyDescent="0.25">
      <c r="B39" s="662" t="str">
        <f>IF('Cash Flow Analysis'!$H$131=0,"",'Cash Flow Analysis'!$H$131)</f>
        <v/>
      </c>
      <c r="C39" s="712" t="str">
        <f>IF($B$39="","",$E$39*$F$39*$H$39)</f>
        <v/>
      </c>
      <c r="D39" s="712" t="str">
        <f>IF($B39="","",$C39*1000*MJ_to_kWh)</f>
        <v/>
      </c>
      <c r="E39" s="666" t="str">
        <f>IF($B39&lt;&gt;"",VLOOKUP($B39,MASTER_PROPERTY_TABLE,MATCH("H2A LHV (GJ/ H2A usage input unit)",key_MPTable,0),FALSE),"")</f>
        <v/>
      </c>
      <c r="F39" s="666" t="str">
        <f>IF('Cash Flow Analysis'!$H$133="","",'Cash Flow Analysis'!$H$133)</f>
        <v/>
      </c>
      <c r="G39" s="713" t="str">
        <f>IF($B$39&lt;&gt;"",VLOOKUP($B$39,MASTER_PROPERTY_TABLE,MATCH("H2A Usage Input Unit/ kg H2",key_MPTable,0),FALSE),"")</f>
        <v/>
      </c>
      <c r="H39" s="713" t="str">
        <f>IF($B$39="","",IF(VLOOKUP($B$39,MASTER_PROPERTY_TABLE,MATCH("Unit System",key_MPTable,0),FALSE)="English",mmBTU_to_GJ,1))</f>
        <v/>
      </c>
      <c r="I39" s="1226" t="str">
        <f>+'Cash Flow Analysis'!$H$233</f>
        <v/>
      </c>
    </row>
    <row r="40" spans="2:9" ht="13" thickBot="1" x14ac:dyDescent="0.3">
      <c r="B40" s="715" t="str">
        <f>IF('Cash Flow Analysis'!$I$131=0,"",'Cash Flow Analysis'!$I$131)</f>
        <v/>
      </c>
      <c r="C40" s="716" t="str">
        <f>IF($B$40="","",$E$40*$F$40*$H$40)</f>
        <v/>
      </c>
      <c r="D40" s="716" t="str">
        <f>IF($B40="","",$C40*1000*MJ_to_kWh)</f>
        <v/>
      </c>
      <c r="E40" s="717" t="str">
        <f>IF($B40&lt;&gt;"",VLOOKUP($B40,MASTER_PROPERTY_TABLE,MATCH("H2A LHV (GJ/ H2A usage input unit)",key_MPTable,0),FALSE),"")</f>
        <v/>
      </c>
      <c r="F40" s="717" t="str">
        <f>IF('Cash Flow Analysis'!$I$133="","",'Cash Flow Analysis'!$I$133)</f>
        <v/>
      </c>
      <c r="G40" s="718" t="str">
        <f>IF($B$40&lt;&gt;"",VLOOKUP($B$40,MASTER_PROPERTY_TABLE,MATCH("H2A Usage Input Unit/ kg H2",key_MPTable,0),FALSE),"")</f>
        <v/>
      </c>
      <c r="H40" s="718" t="str">
        <f>IF($B$40="","",IF(VLOOKUP($B$40,MASTER_PROPERTY_TABLE,MATCH("Unit System",key_MPTable,0),FALSE)="English",mmBTU_to_GJ,1))</f>
        <v/>
      </c>
      <c r="I40" s="1227" t="str">
        <f>+'Cash Flow Analysis'!$I$233</f>
        <v/>
      </c>
    </row>
    <row r="41" spans="2:9" ht="14" x14ac:dyDescent="0.3">
      <c r="B41" s="719" t="s">
        <v>400</v>
      </c>
      <c r="C41" s="720"/>
      <c r="D41" s="720"/>
      <c r="E41" s="626"/>
      <c r="F41" s="626"/>
      <c r="G41" s="627"/>
      <c r="H41" s="627"/>
      <c r="I41" s="628"/>
    </row>
    <row r="42" spans="2:9" ht="13" thickBot="1" x14ac:dyDescent="0.3">
      <c r="B42" s="615" t="str">
        <f ca="1">IF('Cash Flow Analysis'!$J$131=0,"",'Cash Flow Analysis'!$J$131)</f>
        <v>Industrial Electricity</v>
      </c>
      <c r="C42" s="684">
        <f ca="1">IF($B$42="","",$E$42*$F$42*$H$42)</f>
        <v>1.9113956075954064E-4</v>
      </c>
      <c r="D42" s="684">
        <f ca="1">IF($B42="","",$C42*1000*MJ_to_kWh)</f>
        <v>5.3094322433205735E-2</v>
      </c>
      <c r="E42" s="625">
        <f ca="1">IF($B42&lt;&gt;"",VLOOKUP($B42,MASTER_PROPERTY_TABLE,MATCH("H2A LHV (GJ/ H2A usage input unit)",key_MPTable,0),FALSE),"")</f>
        <v>3.5999999999999995E-3</v>
      </c>
      <c r="F42" s="625">
        <f ca="1">CO2_CashFlow_eUse</f>
        <v>5.3094322433205741E-2</v>
      </c>
      <c r="G42" s="623" t="str">
        <f ca="1">IF($B$42&lt;&gt;"",VLOOKUP($B$42,MASTER_PROPERTY_TABLE,MATCH("H2A Usage Input Unit/ kg H2",key_MPTable,0),FALSE),"")</f>
        <v>kWh</v>
      </c>
      <c r="H42" s="623">
        <f ca="1">IF($B42="","",IF(VLOOKUP($B42,MASTER_PROPERTY_TABLE,MATCH("Unit System",key_MPTable,0),FALSE)="English",mmBTU_to_GJ,1))</f>
        <v>1</v>
      </c>
      <c r="I42" s="624"/>
    </row>
    <row r="43" spans="2:9" ht="43" thickTop="1" thickBot="1" x14ac:dyDescent="0.35">
      <c r="B43" s="703"/>
      <c r="C43" s="704" t="s">
        <v>924</v>
      </c>
      <c r="D43" s="705" t="s">
        <v>1001</v>
      </c>
      <c r="E43" s="706" t="s">
        <v>708</v>
      </c>
      <c r="F43" s="704" t="s">
        <v>916</v>
      </c>
      <c r="G43" s="706" t="s">
        <v>917</v>
      </c>
      <c r="H43" s="706" t="s">
        <v>934</v>
      </c>
      <c r="I43" s="707"/>
    </row>
    <row r="44" spans="2:9" ht="13" x14ac:dyDescent="0.3">
      <c r="B44" s="616" t="s">
        <v>925</v>
      </c>
      <c r="C44" s="684">
        <f>kgH2_to_GJ</f>
        <v>0.12021163829516093</v>
      </c>
      <c r="D44" s="684">
        <f>IF($B44="","",$C44*1000*MJ_to_kWh)</f>
        <v>33.392121748655818</v>
      </c>
      <c r="E44" s="625">
        <f>kgH2_to_GJ</f>
        <v>0.12021163829516093</v>
      </c>
      <c r="F44" s="625">
        <v>1</v>
      </c>
      <c r="G44" s="623" t="s">
        <v>268</v>
      </c>
      <c r="H44" s="623">
        <v>1</v>
      </c>
      <c r="I44" s="624"/>
    </row>
    <row r="45" spans="2:9" ht="13.5" thickBot="1" x14ac:dyDescent="0.35">
      <c r="B45" s="616"/>
      <c r="C45" s="685"/>
      <c r="D45" s="685"/>
      <c r="E45" s="625"/>
      <c r="F45" s="625"/>
      <c r="G45" s="623"/>
      <c r="H45" s="623"/>
      <c r="I45" s="624"/>
    </row>
    <row r="46" spans="2:9" ht="14" x14ac:dyDescent="0.3">
      <c r="B46" s="719" t="s">
        <v>920</v>
      </c>
      <c r="C46" s="720"/>
      <c r="D46" s="720"/>
      <c r="E46" s="626"/>
      <c r="F46" s="626"/>
      <c r="G46" s="627"/>
      <c r="H46" s="627"/>
      <c r="I46" s="628"/>
    </row>
    <row r="47" spans="2:9" x14ac:dyDescent="0.25">
      <c r="B47" s="662" t="str">
        <f>IF('Cash Flow Analysis'!$K$131=0,"",'Cash Flow Analysis'!$K$131)</f>
        <v/>
      </c>
      <c r="C47" s="712" t="str">
        <f>IF($B$47="","",$E$47*$F$47*$H$47)</f>
        <v/>
      </c>
      <c r="D47" s="712" t="str">
        <f>IF($B47="","",$C47*1000*MJ_to_kWh)</f>
        <v/>
      </c>
      <c r="E47" s="666" t="str">
        <f>IF($B47&lt;&gt;"",VLOOKUP($B47,MASTER_PROPERTY_TABLE,MATCH("H2A LHV (GJ/ H2A usage input unit)",key_MPTable,0),FALSE),"")</f>
        <v/>
      </c>
      <c r="F47" s="666" t="str">
        <f>IF('Cash Flow Analysis'!$K$133="","",'Cash Flow Analysis'!$K$133)</f>
        <v/>
      </c>
      <c r="G47" s="713" t="str">
        <f>IF($B$47&lt;&gt;"",VLOOKUP($B$47,MASTER_PROPERTY_TABLE,MATCH("H2A Usage Input Unit/ kg H2",key_MPTable,0),FALSE),"")</f>
        <v/>
      </c>
      <c r="H47" s="713" t="str">
        <f>IF($B$47="","",IF(VLOOKUP($B$47,MASTER_PROPERTY_TABLE,MATCH("Unit System",key_MPTable,0),FALSE)="English",mmBTU_to_GJ,1))</f>
        <v/>
      </c>
      <c r="I47" s="714" t="str">
        <f>+'Cash Flow Analysis'!$K$233</f>
        <v/>
      </c>
    </row>
    <row r="48" spans="2:9" x14ac:dyDescent="0.25">
      <c r="B48" s="662" t="str">
        <f>IF('Cash Flow Analysis'!$L$131=0,"",'Cash Flow Analysis'!$L$131)</f>
        <v/>
      </c>
      <c r="C48" s="712" t="str">
        <f>IF($B$48="","",$E$48*$F$48*$H$48)</f>
        <v/>
      </c>
      <c r="D48" s="712" t="str">
        <f>IF($B48="","",$C48*1000*MJ_to_kWh)</f>
        <v/>
      </c>
      <c r="E48" s="666" t="str">
        <f>IF($B48&lt;&gt;"",VLOOKUP($B48,MASTER_PROPERTY_TABLE,MATCH("H2A LHV (GJ/ H2A usage input unit)",key_MPTable,0),FALSE),"")</f>
        <v/>
      </c>
      <c r="F48" s="666" t="str">
        <f>IF('Cash Flow Analysis'!$L$133="","",'Cash Flow Analysis'!$L$133)</f>
        <v/>
      </c>
      <c r="G48" s="713" t="str">
        <f>IF($B$48&lt;&gt;"",VLOOKUP($B$48,MASTER_PROPERTY_TABLE,MATCH("H2A Usage Input Unit/ kg H2",key_MPTable,0),FALSE),"")</f>
        <v/>
      </c>
      <c r="H48" s="713" t="str">
        <f>IF($B$48="","",IF(VLOOKUP($B$48,MASTER_PROPERTY_TABLE,MATCH("Unit System",key_MPTable,0),FALSE)="English",mmBTU_to_GJ,1))</f>
        <v/>
      </c>
      <c r="I48" s="714" t="str">
        <f>+'Cash Flow Analysis'!$L$233</f>
        <v/>
      </c>
    </row>
    <row r="49" spans="2:9" x14ac:dyDescent="0.25">
      <c r="B49" s="662" t="str">
        <f>IF('Cash Flow Analysis'!$M$131=0,"",'Cash Flow Analysis'!$M$131)</f>
        <v/>
      </c>
      <c r="C49" s="712" t="str">
        <f>IF($B$49="","",$E$49*$F$49*$H$49)</f>
        <v/>
      </c>
      <c r="D49" s="712" t="str">
        <f>IF($B49="","",$C49*1000*MJ_to_kWh)</f>
        <v/>
      </c>
      <c r="E49" s="666" t="str">
        <f>IF($B49&lt;&gt;"",VLOOKUP($B49,MASTER_PROPERTY_TABLE,MATCH("H2A LHV (GJ/ H2A usage input unit)",key_MPTable,0),FALSE),"")</f>
        <v/>
      </c>
      <c r="F49" s="666" t="str">
        <f>IF('Cash Flow Analysis'!$M$133="","",'Cash Flow Analysis'!$M$133)</f>
        <v/>
      </c>
      <c r="G49" s="713" t="str">
        <f>IF($B$49&lt;&gt;"",VLOOKUP($B$49,MASTER_PROPERTY_TABLE,MATCH("H2A Usage Input Unit/ kg H2",key_MPTable,0),FALSE),"")</f>
        <v/>
      </c>
      <c r="H49" s="713" t="str">
        <f>IF($B$49="","",IF(VLOOKUP($B$49,MASTER_PROPERTY_TABLE,MATCH("Unit System",key_MPTable,0),FALSE)="English",mmBTU_to_GJ,1))</f>
        <v/>
      </c>
      <c r="I49" s="714" t="str">
        <f>+'Cash Flow Analysis'!$M$233</f>
        <v/>
      </c>
    </row>
    <row r="50" spans="2:9" ht="13" thickBot="1" x14ac:dyDescent="0.3">
      <c r="B50" s="663" t="str">
        <f>IF('Cash Flow Analysis'!$N$131=0,"",'Cash Flow Analysis'!$N$131)</f>
        <v/>
      </c>
      <c r="C50" s="721" t="str">
        <f>IF($B$50="","",$E$50*$F$50*$H$50)</f>
        <v/>
      </c>
      <c r="D50" s="721" t="str">
        <f>IF($B50="","",$C50*1000*MJ_to_kWh)</f>
        <v/>
      </c>
      <c r="E50" s="677" t="str">
        <f>IF($B50&lt;&gt;"",VLOOKUP($B50,MASTER_PROPERTY_TABLE,MATCH("H2A LHV (GJ/ H2A usage input unit)",key_MPTable,0),FALSE),"")</f>
        <v/>
      </c>
      <c r="F50" s="677" t="str">
        <f>IF('Cash Flow Analysis'!$N$133="","",'Cash Flow Analysis'!$N$133)</f>
        <v/>
      </c>
      <c r="G50" s="722" t="str">
        <f>IF($B$50&lt;&gt;"",VLOOKUP($B$50,MASTER_PROPERTY_TABLE,MATCH("H2A Usage Input Unit/ kg H2",key_MPTable,0),FALSE),"")</f>
        <v/>
      </c>
      <c r="H50" s="722" t="str">
        <f>IF($B$50="","",IF(VLOOKUP($B$50,MASTER_PROPERTY_TABLE,MATCH("Unit System",key_MPTable,0),FALSE)="English",mmBTU_to_GJ,1))</f>
        <v/>
      </c>
      <c r="I50" s="723" t="str">
        <f>+'Cash Flow Analysis'!$N$233</f>
        <v/>
      </c>
    </row>
    <row r="51" spans="2:9" ht="13.5" thickTop="1" thickBot="1" x14ac:dyDescent="0.3"/>
    <row r="52" spans="2:9" ht="16" thickBot="1" x14ac:dyDescent="0.4">
      <c r="B52" s="1613" t="s">
        <v>394</v>
      </c>
      <c r="C52" s="1614"/>
      <c r="D52" s="312">
        <f ca="1">(C56+C57)/(C53+C54+C55)</f>
        <v>0.72103849368090878</v>
      </c>
      <c r="F52" s="28"/>
    </row>
    <row r="53" spans="2:9" ht="25" x14ac:dyDescent="0.25">
      <c r="B53" s="571" t="s">
        <v>597</v>
      </c>
      <c r="C53" s="572">
        <f ca="1">SUM(C32:C35)</f>
        <v>0.16436899999999999</v>
      </c>
      <c r="D53" s="573"/>
    </row>
    <row r="54" spans="2:9" x14ac:dyDescent="0.25">
      <c r="B54" s="574" t="s">
        <v>598</v>
      </c>
      <c r="C54" s="575">
        <f ca="1">SUM(C37:C40)</f>
        <v>2.1599999999999996E-3</v>
      </c>
      <c r="D54" s="576"/>
    </row>
    <row r="55" spans="2:9" ht="25" x14ac:dyDescent="0.25">
      <c r="B55" s="574" t="s">
        <v>395</v>
      </c>
      <c r="C55" s="575">
        <f ca="1">IF(C42="",0,C42)</f>
        <v>1.9113956075954064E-4</v>
      </c>
      <c r="D55" s="576"/>
    </row>
    <row r="56" spans="2:9" x14ac:dyDescent="0.25">
      <c r="B56" s="574" t="s">
        <v>599</v>
      </c>
      <c r="C56" s="575">
        <f>C44</f>
        <v>0.12021163829516093</v>
      </c>
      <c r="D56" s="576"/>
    </row>
    <row r="57" spans="2:9" ht="25.5" thickBot="1" x14ac:dyDescent="0.3">
      <c r="B57" s="577" t="s">
        <v>600</v>
      </c>
      <c r="C57" s="578">
        <f>SUM(C47:C50)</f>
        <v>0</v>
      </c>
      <c r="D57" s="579"/>
    </row>
    <row r="58" spans="2:9" ht="13" thickBot="1" x14ac:dyDescent="0.3"/>
    <row r="59" spans="2:9" ht="16.5" thickTop="1" thickBot="1" x14ac:dyDescent="0.4">
      <c r="B59" s="1611" t="s">
        <v>396</v>
      </c>
      <c r="C59" s="1612"/>
      <c r="D59" s="613"/>
      <c r="E59" s="632"/>
    </row>
    <row r="60" spans="2:9" ht="13" x14ac:dyDescent="0.3">
      <c r="B60" s="616" t="s">
        <v>248</v>
      </c>
      <c r="C60" s="580" t="s">
        <v>397</v>
      </c>
      <c r="D60" s="580" t="s">
        <v>398</v>
      </c>
      <c r="E60" s="633" t="s">
        <v>399</v>
      </c>
    </row>
    <row r="61" spans="2:9" x14ac:dyDescent="0.25">
      <c r="B61" s="615" t="str">
        <f>B32</f>
        <v>Industrial Natural Gas</v>
      </c>
      <c r="C61" s="680">
        <f ca="1">IF($B61="","",$C32/1000000*VLOOKUP($B61,Tbl_Emissions,3,FALSE))</f>
        <v>0.17949094799999998</v>
      </c>
      <c r="D61" s="680">
        <f ca="1">IF($B61="","",$C32/1000000*VLOOKUP($B61,Tbl_Emissions,4,FALSE))</f>
        <v>0.17949094799999998</v>
      </c>
      <c r="E61" s="681">
        <f ca="1">IF($B61="","",$C32/1000000*VLOOKUP($B61,Tbl_Emissions,5,FALSE))</f>
        <v>6.5280061511111106E-4</v>
      </c>
    </row>
    <row r="62" spans="2:9" x14ac:dyDescent="0.25">
      <c r="B62" s="615" t="str">
        <f>B33</f>
        <v/>
      </c>
      <c r="C62" s="680" t="str">
        <f>IF($B62="","",$C33/1000000*VLOOKUP($B62,Tbl_Emissions,3,FALSE))</f>
        <v/>
      </c>
      <c r="D62" s="680" t="str">
        <f>IF($B62="","",$C33/1000000*VLOOKUP($B62,Tbl_Emissions,4,FALSE))</f>
        <v/>
      </c>
      <c r="E62" s="681" t="str">
        <f>IF($B62="","",$C33/1000000*VLOOKUP($B62,Tbl_Emissions,5,FALSE))</f>
        <v/>
      </c>
    </row>
    <row r="63" spans="2:9" x14ac:dyDescent="0.25">
      <c r="B63" s="615" t="str">
        <f>B34</f>
        <v/>
      </c>
      <c r="C63" s="680" t="str">
        <f>IF($B63="","",$C34/1000000*VLOOKUP($B63,Tbl_Emissions,3,FALSE))</f>
        <v/>
      </c>
      <c r="D63" s="680" t="str">
        <f>IF($B63="","",$C34/1000000*VLOOKUP($B63,Tbl_Emissions,4,FALSE))</f>
        <v/>
      </c>
      <c r="E63" s="681" t="str">
        <f>IF($B63="","",$C34/1000000*VLOOKUP($B63,Tbl_Emissions,5,FALSE))</f>
        <v/>
      </c>
    </row>
    <row r="64" spans="2:9" x14ac:dyDescent="0.25">
      <c r="B64" s="615" t="str">
        <f>B35</f>
        <v/>
      </c>
      <c r="C64" s="680" t="str">
        <f>IF($B64="","",$C35/1000000*VLOOKUP($B64,Tbl_Emissions,3,FALSE))</f>
        <v/>
      </c>
      <c r="D64" s="680" t="str">
        <f>IF($B64="","",$C35/1000000*VLOOKUP($B64,Tbl_Emissions,4,FALSE))</f>
        <v/>
      </c>
      <c r="E64" s="681" t="str">
        <f>IF($B64="","",$C35/1000000*VLOOKUP($B64,Tbl_Emissions,5,FALSE))</f>
        <v/>
      </c>
    </row>
    <row r="65" spans="2:7" ht="13" x14ac:dyDescent="0.3">
      <c r="B65" s="616" t="s">
        <v>271</v>
      </c>
      <c r="C65" s="724"/>
      <c r="D65" s="724"/>
      <c r="E65" s="725"/>
    </row>
    <row r="66" spans="2:7" x14ac:dyDescent="0.25">
      <c r="B66" s="615" t="str">
        <f>B37</f>
        <v>Industrial Electricity</v>
      </c>
      <c r="C66" s="680">
        <f ca="1">IF($B66="","",$C37/1000000*VLOOKUP($B66,Tbl_Emissions,3,FALSE))</f>
        <v>3.720719999999999E-3</v>
      </c>
      <c r="D66" s="680">
        <f ca="1">IF($B66="","",$C37/1000000*VLOOKUP($B66,Tbl_Emissions,4,FALSE))</f>
        <v>2.7945599999999993E-3</v>
      </c>
      <c r="E66" s="681">
        <f ca="1">IF($B66="","",$C37/1000000*VLOOKUP($B66,Tbl_Emissions,5,FALSE))</f>
        <v>3.3179999999999991E-5</v>
      </c>
    </row>
    <row r="67" spans="2:7" x14ac:dyDescent="0.25">
      <c r="B67" s="615" t="str">
        <f>B38</f>
        <v/>
      </c>
      <c r="C67" s="680" t="str">
        <f>IF($B67="","",$C38/1000000*VLOOKUP($B67,Tbl_Emissions,3,FALSE))</f>
        <v/>
      </c>
      <c r="D67" s="680" t="str">
        <f>IF($B67="","",$C38/1000000*VLOOKUP($B67,Tbl_Emissions,4,FALSE))</f>
        <v/>
      </c>
      <c r="E67" s="681" t="str">
        <f>IF($B67="","",$C38/1000000*VLOOKUP($B67,Tbl_Emissions,5,FALSE))</f>
        <v/>
      </c>
    </row>
    <row r="68" spans="2:7" x14ac:dyDescent="0.25">
      <c r="B68" s="615" t="str">
        <f>B39</f>
        <v/>
      </c>
      <c r="C68" s="680" t="str">
        <f>IF($B68="","",$C39/1000000*VLOOKUP($B68,Tbl_Emissions,3,FALSE))</f>
        <v/>
      </c>
      <c r="D68" s="680" t="str">
        <f>IF($B68="","",$C39/1000000*VLOOKUP($B68,Tbl_Emissions,4,FALSE))</f>
        <v/>
      </c>
      <c r="E68" s="681" t="str">
        <f>IF($B68="","",$C39/1000000*VLOOKUP($B68,Tbl_Emissions,5,FALSE))</f>
        <v/>
      </c>
    </row>
    <row r="69" spans="2:7" x14ac:dyDescent="0.25">
      <c r="B69" s="615" t="str">
        <f>B40</f>
        <v/>
      </c>
      <c r="C69" s="680" t="str">
        <f>IF($B69="","",$C40/1000000*VLOOKUP($B69,Tbl_Emissions,3,FALSE))</f>
        <v/>
      </c>
      <c r="D69" s="680" t="str">
        <f>IF($B69="","",$C40/1000000*VLOOKUP($B69,Tbl_Emissions,4,FALSE))</f>
        <v/>
      </c>
      <c r="E69" s="681" t="str">
        <f>IF($B69="","",$C40/1000000*VLOOKUP($B69,Tbl_Emissions,5,FALSE))</f>
        <v/>
      </c>
    </row>
    <row r="70" spans="2:7" ht="13" x14ac:dyDescent="0.3">
      <c r="B70" s="726" t="s">
        <v>400</v>
      </c>
      <c r="C70" s="724"/>
      <c r="D70" s="724"/>
      <c r="E70" s="725"/>
    </row>
    <row r="71" spans="2:7" ht="13" thickBot="1" x14ac:dyDescent="0.3">
      <c r="B71" s="617" t="str">
        <f ca="1">B42</f>
        <v>Industrial Electricity</v>
      </c>
      <c r="C71" s="682">
        <f ca="1">IF($B71="","",$C42/1000000*VLOOKUP($B71,Tbl_Emissions,3,FALSE))</f>
        <v>3.2924851227279539E-4</v>
      </c>
      <c r="D71" s="682">
        <f ca="1">IF($B71="","",$C42/1000000*VLOOKUP($B71,Tbl_Emissions,4,FALSE))</f>
        <v>2.4729211616489902E-4</v>
      </c>
      <c r="E71" s="683">
        <f ca="1">IF($B71="","",$C42/1000000*VLOOKUP($B71,Tbl_Emissions,5,FALSE))</f>
        <v>2.9361160305562771E-6</v>
      </c>
    </row>
    <row r="72" spans="2:7" ht="13" thickTop="1" x14ac:dyDescent="0.25"/>
    <row r="74" spans="2:7" ht="22" x14ac:dyDescent="0.65">
      <c r="B74" s="316" t="s">
        <v>401</v>
      </c>
    </row>
    <row r="75" spans="2:7" ht="13" thickBot="1" x14ac:dyDescent="0.3"/>
    <row r="76" spans="2:7" ht="16.5" thickTop="1" thickBot="1" x14ac:dyDescent="0.4">
      <c r="B76" s="686" t="s">
        <v>402</v>
      </c>
      <c r="C76" s="687"/>
      <c r="D76" s="688" t="s">
        <v>403</v>
      </c>
      <c r="E76" s="689" t="s">
        <v>404</v>
      </c>
      <c r="F76" s="689" t="s">
        <v>405</v>
      </c>
      <c r="G76" s="690" t="s">
        <v>406</v>
      </c>
    </row>
    <row r="77" spans="2:7" x14ac:dyDescent="0.25">
      <c r="B77" s="1617" t="s">
        <v>539</v>
      </c>
      <c r="C77" s="1618"/>
      <c r="D77" s="692">
        <f ca="1">C121</f>
        <v>1.2390920617288765</v>
      </c>
      <c r="E77" s="696">
        <f ca="1">D121</f>
        <v>3.0827077924269853E-2</v>
      </c>
      <c r="F77" s="696">
        <f ca="1">E121</f>
        <v>1.4574693722087977E-4</v>
      </c>
      <c r="G77" s="697">
        <f ca="1">F121</f>
        <v>2.0532015971274449</v>
      </c>
    </row>
    <row r="78" spans="2:7" x14ac:dyDescent="0.25">
      <c r="B78" s="1615" t="s">
        <v>538</v>
      </c>
      <c r="C78" s="1616"/>
      <c r="D78" s="693">
        <f ca="1">D89</f>
        <v>0.92564958969142097</v>
      </c>
      <c r="E78" s="698">
        <f ca="1">E89</f>
        <v>0</v>
      </c>
      <c r="F78" s="698">
        <f ca="1">F89</f>
        <v>0</v>
      </c>
      <c r="G78" s="699">
        <f ca="1">G89</f>
        <v>0.92564958969142097</v>
      </c>
    </row>
    <row r="79" spans="2:7" x14ac:dyDescent="0.25">
      <c r="B79" s="1615"/>
      <c r="C79" s="1616"/>
      <c r="D79" s="694"/>
      <c r="E79" s="525"/>
      <c r="F79" s="525"/>
      <c r="G79" s="700"/>
    </row>
    <row r="80" spans="2:7" ht="13" thickBot="1" x14ac:dyDescent="0.3">
      <c r="B80" s="1619" t="s">
        <v>540</v>
      </c>
      <c r="C80" s="1620"/>
      <c r="D80" s="695">
        <f ca="1">SUM(D77:D79)</f>
        <v>2.1647416514202975</v>
      </c>
      <c r="E80" s="701">
        <f ca="1">SUM(E77:E79)</f>
        <v>3.0827077924269853E-2</v>
      </c>
      <c r="F80" s="701">
        <f ca="1">SUM(F77:F79)</f>
        <v>1.4574693722087977E-4</v>
      </c>
      <c r="G80" s="702">
        <f ca="1">SUM(G77:G79)</f>
        <v>2.9788511868188658</v>
      </c>
    </row>
    <row r="81" spans="2:7" ht="13.5" thickTop="1" thickBot="1" x14ac:dyDescent="0.3"/>
    <row r="82" spans="2:7" ht="16.5" thickTop="1" thickBot="1" x14ac:dyDescent="0.4">
      <c r="B82" s="428" t="s">
        <v>535</v>
      </c>
      <c r="C82" s="429"/>
      <c r="D82" s="650" t="s">
        <v>403</v>
      </c>
      <c r="E82" s="651" t="s">
        <v>404</v>
      </c>
      <c r="F82" s="651" t="s">
        <v>405</v>
      </c>
      <c r="G82" s="652" t="s">
        <v>406</v>
      </c>
    </row>
    <row r="83" spans="2:7" x14ac:dyDescent="0.25">
      <c r="B83" s="1617" t="s">
        <v>235</v>
      </c>
      <c r="C83" s="1618"/>
      <c r="D83" s="653">
        <f ca="1">SUM(C95:C105)</f>
        <v>9.2564958969142097</v>
      </c>
      <c r="E83" s="653">
        <f ca="1">SUM(D95:D105)</f>
        <v>0</v>
      </c>
      <c r="F83" s="653">
        <f ca="1">SUM(E95:E105)</f>
        <v>0</v>
      </c>
      <c r="G83" s="654">
        <f ca="1">SUM(F95:F105)</f>
        <v>9.2564958969142097</v>
      </c>
    </row>
    <row r="84" spans="2:7" x14ac:dyDescent="0.25">
      <c r="B84" s="1615" t="s">
        <v>236</v>
      </c>
      <c r="C84" s="1616"/>
      <c r="D84" s="655">
        <f ca="1">ROUND(D83*output_kgyear/1000,-2)</f>
        <v>1153600</v>
      </c>
      <c r="E84" s="655">
        <f ca="1">ROUND(E83*output_kgyear/1000,-2)</f>
        <v>0</v>
      </c>
      <c r="F84" s="655">
        <f ca="1">ROUND(F83*output_kgyear/1000,-2)</f>
        <v>0</v>
      </c>
      <c r="G84" s="656">
        <f ca="1">ROUND(G83*output_kgyear/1000,-2)</f>
        <v>1153600</v>
      </c>
    </row>
    <row r="85" spans="2:7" x14ac:dyDescent="0.25">
      <c r="B85" s="1615" t="s">
        <v>237</v>
      </c>
      <c r="C85" s="1616"/>
      <c r="D85" s="657">
        <f ca="1">SUM(C95:C98)</f>
        <v>9.2564958969142097</v>
      </c>
      <c r="E85" s="657">
        <f ca="1">SUM(D95:D98)</f>
        <v>0</v>
      </c>
      <c r="F85" s="657">
        <f ca="1">SUM(E95:E98)</f>
        <v>0</v>
      </c>
      <c r="G85" s="658">
        <f ca="1">SUM(F95:F98)</f>
        <v>9.2564958969142097</v>
      </c>
    </row>
    <row r="86" spans="2:7" x14ac:dyDescent="0.25">
      <c r="B86" s="1615" t="s">
        <v>238</v>
      </c>
      <c r="C86" s="1616"/>
      <c r="D86" s="655">
        <f ca="1">ROUND(D85*output_kgyear/1000,-2)</f>
        <v>1153600</v>
      </c>
      <c r="E86" s="655">
        <f ca="1">ROUND(E85*output_kgyear/1000,-2)</f>
        <v>0</v>
      </c>
      <c r="F86" s="655">
        <f ca="1">ROUND(F85*output_kgyear/1000,-2)</f>
        <v>0</v>
      </c>
      <c r="G86" s="656">
        <f ca="1">ROUND(G85*output_kgyear/1000,-2)</f>
        <v>1153600</v>
      </c>
    </row>
    <row r="87" spans="2:7" x14ac:dyDescent="0.25">
      <c r="B87" s="774" t="s">
        <v>240</v>
      </c>
      <c r="C87" s="775"/>
      <c r="D87" s="824">
        <f ca="1">IF(CO2_CashFlow_eUse&gt;0,D85*CO2_Capture_Efficiency,0)</f>
        <v>8.3308463072227887</v>
      </c>
      <c r="E87" s="655"/>
      <c r="F87" s="655"/>
      <c r="G87" s="825"/>
    </row>
    <row r="88" spans="2:7" x14ac:dyDescent="0.25">
      <c r="B88" s="1615" t="s">
        <v>241</v>
      </c>
      <c r="C88" s="1616"/>
      <c r="D88" s="655">
        <f ca="1">ROUND(D87*output_kgyear/1000,-2)</f>
        <v>1038300</v>
      </c>
      <c r="E88" s="655"/>
      <c r="F88" s="655"/>
      <c r="G88" s="656"/>
    </row>
    <row r="89" spans="2:7" x14ac:dyDescent="0.25">
      <c r="B89" s="1615" t="s">
        <v>239</v>
      </c>
      <c r="C89" s="1616"/>
      <c r="D89" s="824">
        <f ca="1">D83-D87</f>
        <v>0.92564958969142097</v>
      </c>
      <c r="E89" s="655">
        <f ca="1">E83-E87</f>
        <v>0</v>
      </c>
      <c r="F89" s="655">
        <f ca="1">F83-F87</f>
        <v>0</v>
      </c>
      <c r="G89" s="825">
        <f ca="1">D89*GHG_CO2_factor + E89*GHG_CH4_factor + F89*GHG_N2O_factor</f>
        <v>0.92564958969142097</v>
      </c>
    </row>
    <row r="90" spans="2:7" ht="13" thickBot="1" x14ac:dyDescent="0.3">
      <c r="B90" s="1619" t="s">
        <v>1059</v>
      </c>
      <c r="C90" s="1620"/>
      <c r="D90" s="659">
        <f ca="1">ROUND(D89*output_kgyear/1000,-2)</f>
        <v>115400</v>
      </c>
      <c r="E90" s="659">
        <f ca="1">ROUND(E89*output_kgyear/1000,-2)</f>
        <v>0</v>
      </c>
      <c r="F90" s="659">
        <f ca="1">ROUND(F89*output_kgyear/1000,-2)</f>
        <v>0</v>
      </c>
      <c r="G90" s="660">
        <f ca="1">ROUND(G89*output_kgyear/1000,-2)</f>
        <v>115400</v>
      </c>
    </row>
    <row r="91" spans="2:7" ht="13" thickTop="1" x14ac:dyDescent="0.25">
      <c r="B91" t="s">
        <v>242</v>
      </c>
    </row>
    <row r="92" spans="2:7" ht="13" thickBot="1" x14ac:dyDescent="0.3"/>
    <row r="93" spans="2:7" ht="16.5" thickTop="1" thickBot="1" x14ac:dyDescent="0.4">
      <c r="B93" s="1611" t="s">
        <v>536</v>
      </c>
      <c r="C93" s="1612"/>
      <c r="D93" s="613"/>
      <c r="E93" s="613"/>
      <c r="F93" s="632"/>
    </row>
    <row r="94" spans="2:7" ht="13" x14ac:dyDescent="0.3">
      <c r="B94" s="661" t="s">
        <v>248</v>
      </c>
      <c r="C94" s="664" t="s">
        <v>403</v>
      </c>
      <c r="D94" s="664" t="s">
        <v>404</v>
      </c>
      <c r="E94" s="664" t="s">
        <v>405</v>
      </c>
      <c r="F94" s="665" t="s">
        <v>406</v>
      </c>
    </row>
    <row r="95" spans="2:7" x14ac:dyDescent="0.25">
      <c r="B95" s="662" t="str">
        <f>B32</f>
        <v>Industrial Natural Gas</v>
      </c>
      <c r="C95" s="666">
        <f ca="1">IF($B95="","",VLOOKUP($B95,MASTER_PROPERTY_TABLE,MATCH("CO2 Emissions Factor (kg CO2 produced/GJ feed)",key_MPTable,0),FALSE)*$E32*$F32)</f>
        <v>9.2564958969142097</v>
      </c>
      <c r="D95" s="671">
        <f ca="1">IF($B95="","",VLOOKUP($B95,MASTER_PROPERTY_TABLE,MATCH("CH4 Emissions Factor (kg CH4 produced/GJ or mmBtu feed)",key_MPTable,0),FALSE)*$E32*$F32)</f>
        <v>0</v>
      </c>
      <c r="E95" s="671">
        <f ca="1">IF($B95="","",VLOOKUP($B95,MASTER_PROPERTY_TABLE,MATCH("N2O Emissions Factor (kg N2O produced/GJ or mmBtu feed)",key_MPTable,0),FALSE)*$E32*$F32)</f>
        <v>0</v>
      </c>
      <c r="F95" s="674">
        <f ca="1">IF($B95="","",$C95*GHG_CO2_factor+$D95*GHG_CH4_factor+$E95*GHG_N2O_factor)</f>
        <v>9.2564958969142097</v>
      </c>
    </row>
    <row r="96" spans="2:7" x14ac:dyDescent="0.25">
      <c r="B96" s="662" t="str">
        <f>B33</f>
        <v/>
      </c>
      <c r="C96" s="666" t="str">
        <f>IF($B96="","",VLOOKUP($B96,MASTER_PROPERTY_TABLE,MATCH("CO2 Emissions Factor (kg CO2 produced/GJ feed)",key_MPTable,0),FALSE)*$E33*$F33)</f>
        <v/>
      </c>
      <c r="D96" s="671" t="str">
        <f>IF($B96="","",VLOOKUP($B96,MASTER_PROPERTY_TABLE,MATCH("CH4 Emissions Factor (kg CH4 produced/GJ or mmBtu feed)",key_MPTable,0),FALSE)*$E33*$F33)</f>
        <v/>
      </c>
      <c r="E96" s="671" t="str">
        <f>IF($B96="","",VLOOKUP($B96,MASTER_PROPERTY_TABLE,MATCH("N2O Emissions Factor (kg N2O produced/GJ or mmBtu feed)",key_MPTable,0),FALSE)*$E33*$F33)</f>
        <v/>
      </c>
      <c r="F96" s="674" t="str">
        <f>IF($B96="","",$C96*GHG_CO2_factor+$D96*GHG_CH4_factor+$E96*GHG_N2O_factor)</f>
        <v/>
      </c>
    </row>
    <row r="97" spans="2:6" x14ac:dyDescent="0.25">
      <c r="B97" s="662" t="str">
        <f>B34</f>
        <v/>
      </c>
      <c r="C97" s="666" t="str">
        <f>IF($B97="","",VLOOKUP($B97,MASTER_PROPERTY_TABLE,MATCH("CO2 Emissions Factor (kg CO2 produced/GJ feed)",key_MPTable,0),FALSE)*$E34*$F34)</f>
        <v/>
      </c>
      <c r="D97" s="671" t="str">
        <f>IF($B97="","",VLOOKUP($B97,MASTER_PROPERTY_TABLE,MATCH("CH4 Emissions Factor (kg CH4 produced/GJ or mmBtu feed)",key_MPTable,0),FALSE)*$E34*$F34)</f>
        <v/>
      </c>
      <c r="E97" s="671" t="str">
        <f>IF($B97="","",VLOOKUP($B97,MASTER_PROPERTY_TABLE,MATCH("N2O Emissions Factor (kg N2O produced/GJ or mmBtu feed)",key_MPTable,0),FALSE)*$E34*$F34)</f>
        <v/>
      </c>
      <c r="F97" s="674" t="str">
        <f>IF($B97="","",$C97*GHG_CO2_factor+$D97*GHG_CH4_factor+$E97*GHG_N2O_factor)</f>
        <v/>
      </c>
    </row>
    <row r="98" spans="2:6" x14ac:dyDescent="0.25">
      <c r="B98" s="662" t="str">
        <f>B35</f>
        <v/>
      </c>
      <c r="C98" s="666" t="str">
        <f>IF($B98="","",VLOOKUP($B98,MASTER_PROPERTY_TABLE,MATCH("CO2 Emissions Factor (kg CO2 produced/GJ feed)",key_MPTable,0),FALSE)*$E35*$F35)</f>
        <v/>
      </c>
      <c r="D98" s="671" t="str">
        <f>IF($B98="","",VLOOKUP($B98,MASTER_PROPERTY_TABLE,MATCH("CH4 Emissions Factor (kg CH4 produced/GJ or mmBtu feed)",key_MPTable,0),FALSE)*$E35*$F35)</f>
        <v/>
      </c>
      <c r="E98" s="671" t="str">
        <f>IF($B98="","",VLOOKUP($B98,MASTER_PROPERTY_TABLE,MATCH("N2O Emissions Factor (kg N2O produced/GJ or mmBtu feed)",key_MPTable,0),FALSE)*$E35*$F35)</f>
        <v/>
      </c>
      <c r="F98" s="674" t="str">
        <f>IF($B98="","",$C98*GHG_CO2_factor+$D98*GHG_CH4_factor+$E98*GHG_N2O_factor)</f>
        <v/>
      </c>
    </row>
    <row r="99" spans="2:6" ht="13" x14ac:dyDescent="0.3">
      <c r="B99" s="727" t="s">
        <v>271</v>
      </c>
      <c r="C99" s="728"/>
      <c r="D99" s="729"/>
      <c r="E99" s="729"/>
      <c r="F99" s="730"/>
    </row>
    <row r="100" spans="2:6" x14ac:dyDescent="0.25">
      <c r="B100" s="662" t="str">
        <f>B37</f>
        <v>Industrial Electricity</v>
      </c>
      <c r="C100" s="666">
        <f ca="1">IF($B100="","",VLOOKUP($B100,MASTER_PROPERTY_TABLE,MATCH("CO2 Emissions Factor (kg CO2 produced/GJ feed)",key_MPTable,0),FALSE)*$E37*$F37)</f>
        <v>0</v>
      </c>
      <c r="D100" s="671">
        <f ca="1">IF($B100="","",VLOOKUP($B100,MASTER_PROPERTY_TABLE,MATCH("CH4 Emissions Factor (kg CH4 produced/GJ or mmBtu feed)",key_MPTable,0),FALSE)*$E37*$F37)</f>
        <v>0</v>
      </c>
      <c r="E100" s="671">
        <f ca="1">IF($B100="","",VLOOKUP($B100,MASTER_PROPERTY_TABLE,MATCH("N2O Emissions Factor (kg N2O produced/GJ or mmBtu feed)",key_MPTable,0),FALSE)*$E37*$F37)</f>
        <v>0</v>
      </c>
      <c r="F100" s="674">
        <f ca="1">IF($B100="","",$C100*GHG_CO2_factor+$D100*GHG_CH4_factor+$E100*GHG_N2O_factor)</f>
        <v>0</v>
      </c>
    </row>
    <row r="101" spans="2:6" x14ac:dyDescent="0.25">
      <c r="B101" s="662" t="str">
        <f>B38</f>
        <v/>
      </c>
      <c r="C101" s="666" t="str">
        <f>IF($B101="","",VLOOKUP($B101,MASTER_PROPERTY_TABLE,MATCH("CO2 Emissions Factor (kg CO2 produced/GJ feed)",key_MPTable,0),FALSE)*$E38*$F38)</f>
        <v/>
      </c>
      <c r="D101" s="671" t="str">
        <f>IF($B101="","",VLOOKUP($B101,MASTER_PROPERTY_TABLE,MATCH("CH4 Emissions Factor (kg CH4 produced/GJ or mmBtu feed)",key_MPTable,0),FALSE)*$E38*$F38)</f>
        <v/>
      </c>
      <c r="E101" s="671" t="str">
        <f>IF($B101="","",VLOOKUP($B101,MASTER_PROPERTY_TABLE,MATCH("N2O Emissions Factor (kg N2O produced/GJ or mmBtu feed)",key_MPTable,0),FALSE)*$E38*$F38)</f>
        <v/>
      </c>
      <c r="F101" s="674" t="str">
        <f>IF($B101="","",$C101*GHG_CO2_factor+$D101*GHG_CH4_factor+$E101*GHG_N2O_factor)</f>
        <v/>
      </c>
    </row>
    <row r="102" spans="2:6" x14ac:dyDescent="0.25">
      <c r="B102" s="662" t="str">
        <f>B39</f>
        <v/>
      </c>
      <c r="C102" s="666" t="str">
        <f>IF($B102="","",VLOOKUP($B102,MASTER_PROPERTY_TABLE,MATCH("CO2 Emissions Factor (kg CO2 produced/GJ feed)",key_MPTable,0),FALSE)*$E39*$F39)</f>
        <v/>
      </c>
      <c r="D102" s="671" t="str">
        <f>IF($B102="","",VLOOKUP($B102,MASTER_PROPERTY_TABLE,MATCH("CH4 Emissions Factor (kg CH4 produced/GJ or mmBtu feed)",key_MPTable,0),FALSE)*$E39*$F39)</f>
        <v/>
      </c>
      <c r="E102" s="671" t="str">
        <f>IF($B102="","",VLOOKUP($B102,MASTER_PROPERTY_TABLE,MATCH("N2O Emissions Factor (kg N2O produced/GJ or mmBtu feed)",key_MPTable,0),FALSE)*$E39*$F39)</f>
        <v/>
      </c>
      <c r="F102" s="674" t="str">
        <f>IF($B102="","",$C102*GHG_CO2_factor+$D102*GHG_CH4_factor+$E102*GHG_N2O_factor)</f>
        <v/>
      </c>
    </row>
    <row r="103" spans="2:6" x14ac:dyDescent="0.25">
      <c r="B103" s="662" t="str">
        <f>B40</f>
        <v/>
      </c>
      <c r="C103" s="666" t="str">
        <f>IF($B103="","",VLOOKUP($B103,MASTER_PROPERTY_TABLE,MATCH("CO2 Emissions Factor (kg CO2 produced/GJ feed)",key_MPTable,0),FALSE)*$E40*$F40)</f>
        <v/>
      </c>
      <c r="D103" s="671" t="str">
        <f>IF($B103="","",VLOOKUP($B103,MASTER_PROPERTY_TABLE,MATCH("CH4 Emissions Factor (kg CH4 produced/GJ or mmBtu feed)",key_MPTable,0),FALSE)*$E40*$F40)</f>
        <v/>
      </c>
      <c r="E103" s="671" t="str">
        <f>IF($B103="","",VLOOKUP($B103,MASTER_PROPERTY_TABLE,MATCH("N2O Emissions Factor (kg N2O produced/GJ or mmBtu feed)",key_MPTable,0),FALSE)*$E40*$F40)</f>
        <v/>
      </c>
      <c r="F103" s="674" t="str">
        <f>IF($B103="","",$C103*GHG_CO2_factor+$D103*GHG_CH4_factor+$E103*GHG_N2O_factor)</f>
        <v/>
      </c>
    </row>
    <row r="104" spans="2:6" ht="13" x14ac:dyDescent="0.3">
      <c r="B104" s="727" t="s">
        <v>400</v>
      </c>
      <c r="C104" s="728"/>
      <c r="D104" s="729"/>
      <c r="E104" s="729"/>
      <c r="F104" s="730"/>
    </row>
    <row r="105" spans="2:6" ht="13" thickBot="1" x14ac:dyDescent="0.3">
      <c r="B105" s="663" t="str">
        <f ca="1">B42</f>
        <v>Industrial Electricity</v>
      </c>
      <c r="C105" s="677">
        <f ca="1">IF($B105="","",VLOOKUP($B105,MASTER_PROPERTY_TABLE,MATCH("CO2 Emissions Factor (kg CO2 produced/GJ feed)",key_MPTable,0),FALSE)*$E42*$F42)</f>
        <v>0</v>
      </c>
      <c r="D105" s="678">
        <f ca="1">IF($B105="","",VLOOKUP($B105,MASTER_PROPERTY_TABLE,MATCH("CH4 Emissions Factor (kg CH4 produced/GJ or mmBtu feed)",key_MPTable,0),FALSE)*$E42*$F42)</f>
        <v>0</v>
      </c>
      <c r="E105" s="678">
        <f ca="1">IF($B105="","",VLOOKUP($B105,MASTER_PROPERTY_TABLE,MATCH("N2O Emissions Factor (kg N2O produced/GJ or mmBtu feed)",key_MPTable,0),FALSE)*$E42*$F42)</f>
        <v>0</v>
      </c>
      <c r="F105" s="679">
        <f ca="1">IF($B105="","",$C105*GHG_CO2_factor+$D105*GHG_CH4_factor+$E105*GHG_N2O_factor)</f>
        <v>0</v>
      </c>
    </row>
    <row r="106" spans="2:6" ht="13" thickTop="1" x14ac:dyDescent="0.25"/>
    <row r="107" spans="2:6" ht="13" thickBot="1" x14ac:dyDescent="0.3"/>
    <row r="108" spans="2:6" ht="16.5" thickTop="1" thickBot="1" x14ac:dyDescent="0.4">
      <c r="B108" s="1611" t="s">
        <v>1345</v>
      </c>
      <c r="C108" s="1612"/>
      <c r="D108" s="613"/>
      <c r="E108" s="613"/>
      <c r="F108" s="632"/>
    </row>
    <row r="109" spans="2:6" ht="13" x14ac:dyDescent="0.3">
      <c r="B109" s="661" t="s">
        <v>248</v>
      </c>
      <c r="C109" s="664" t="s">
        <v>403</v>
      </c>
      <c r="D109" s="664" t="s">
        <v>404</v>
      </c>
      <c r="E109" s="664" t="s">
        <v>405</v>
      </c>
      <c r="F109" s="665" t="s">
        <v>406</v>
      </c>
    </row>
    <row r="110" spans="2:6" x14ac:dyDescent="0.25">
      <c r="B110" s="662" t="str">
        <f>B32</f>
        <v>Industrial Natural Gas</v>
      </c>
      <c r="C110" s="666">
        <f ca="1">IF($B110="","",$C32*VLOOKUP($B110,Tbl_Emissions,6,FALSE))</f>
        <v>0.94347806000000001</v>
      </c>
      <c r="D110" s="671">
        <f ca="1">IF($B110="","",$C32*VLOOKUP($B110,Tbl_Emissions,7,FALSE))</f>
        <v>3.0346133518000005E-2</v>
      </c>
      <c r="E110" s="671">
        <f ca="1">IF($B110="","",$C32*VLOOKUP($B110,Tbl_Emissions,8,FALSE))</f>
        <v>1.4152536164444441E-4</v>
      </c>
      <c r="F110" s="674">
        <f ca="1">IF($B110="","",$C110*GHG_CO2_factor+$D110*GHG_CH4_factor+$E110*GHG_N2O_factor)</f>
        <v>1.7443059557200447</v>
      </c>
    </row>
    <row r="111" spans="2:6" x14ac:dyDescent="0.25">
      <c r="B111" s="662" t="str">
        <f>B33</f>
        <v/>
      </c>
      <c r="C111" s="666" t="str">
        <f>IF($B111="","",$C33*VLOOKUP($B111,Tbl_Emissions,6,FALSE))</f>
        <v/>
      </c>
      <c r="D111" s="671" t="str">
        <f>IF($B111="","",$C33*VLOOKUP($B111,Tbl_Emissions,7,FALSE))</f>
        <v/>
      </c>
      <c r="E111" s="671" t="str">
        <f>IF($B111="","",$C33*VLOOKUP($B111,Tbl_Emissions,8,FALSE))</f>
        <v/>
      </c>
      <c r="F111" s="674" t="str">
        <f>IF($B111="","",$C111*GHG_CO2_factor+$D111*GHG_CH4_factor+$E111*GHG_N2O_factor)</f>
        <v/>
      </c>
    </row>
    <row r="112" spans="2:6" x14ac:dyDescent="0.25">
      <c r="B112" s="662" t="str">
        <f>B34</f>
        <v/>
      </c>
      <c r="C112" s="666" t="str">
        <f>IF($B112="","",$C34*VLOOKUP($B112,Tbl_Emissions,6,FALSE))</f>
        <v/>
      </c>
      <c r="D112" s="671" t="str">
        <f>IF($B112="","",$C34*VLOOKUP($B112,Tbl_Emissions,7,FALSE))</f>
        <v/>
      </c>
      <c r="E112" s="671" t="str">
        <f>IF($B112="","",$C34*VLOOKUP($B112,Tbl_Emissions,8,FALSE))</f>
        <v/>
      </c>
      <c r="F112" s="674" t="str">
        <f>IF($B112="","",$C112*GHG_CO2_factor+$D112*GHG_CH4_factor+$E112*GHG_N2O_factor)</f>
        <v/>
      </c>
    </row>
    <row r="113" spans="2:6" x14ac:dyDescent="0.25">
      <c r="B113" s="662" t="str">
        <f>B35</f>
        <v/>
      </c>
      <c r="C113" s="666" t="str">
        <f>IF($B113="","",$C35*VLOOKUP($B113,Tbl_Emissions,6,FALSE))</f>
        <v/>
      </c>
      <c r="D113" s="671" t="str">
        <f>IF($B113="","",$C35*VLOOKUP($B113,Tbl_Emissions,7,FALSE))</f>
        <v/>
      </c>
      <c r="E113" s="671" t="str">
        <f>IF($B113="","",$C35*VLOOKUP($B113,Tbl_Emissions,8,FALSE))</f>
        <v/>
      </c>
      <c r="F113" s="674" t="str">
        <f>IF($B113="","",$C113*GHG_CO2_factor+$D113*GHG_CH4_factor+$E113*GHG_N2O_factor)</f>
        <v/>
      </c>
    </row>
    <row r="114" spans="2:6" ht="13" x14ac:dyDescent="0.3">
      <c r="B114" s="727" t="s">
        <v>271</v>
      </c>
      <c r="C114" s="728"/>
      <c r="D114" s="729"/>
      <c r="E114" s="729"/>
      <c r="F114" s="730"/>
    </row>
    <row r="115" spans="2:6" x14ac:dyDescent="0.25">
      <c r="B115" s="662" t="str">
        <f>B37</f>
        <v>Industrial Electricity</v>
      </c>
      <c r="C115" s="666">
        <f ca="1">IF($B115="","",$C37*VLOOKUP($B115,Tbl_Emissions,6,FALSE))</f>
        <v>0.27158159999999998</v>
      </c>
      <c r="D115" s="671">
        <f ca="1">IF($B115="","",$C37*VLOOKUP($B115,Tbl_Emissions,7,FALSE))</f>
        <v>4.4184527999999997E-4</v>
      </c>
      <c r="E115" s="671">
        <f ca="1">IF($B115="","",$C37*VLOOKUP($B115,Tbl_Emissions,8,FALSE))</f>
        <v>3.8783759999999993E-6</v>
      </c>
      <c r="F115" s="674">
        <f ca="1">IF($B115="","",$C115*GHG_CO2_factor+$D115*GHG_CH4_factor+$E115*GHG_N2O_factor)</f>
        <v>0.28378348804799997</v>
      </c>
    </row>
    <row r="116" spans="2:6" x14ac:dyDescent="0.25">
      <c r="B116" s="662" t="str">
        <f>B38</f>
        <v/>
      </c>
      <c r="C116" s="666" t="str">
        <f>IF($B116="","",$C38*VLOOKUP($B116,Tbl_Emissions,6,FALSE))</f>
        <v/>
      </c>
      <c r="D116" s="671" t="str">
        <f>IF($B116="","",$C38*VLOOKUP($B116,Tbl_Emissions,7,FALSE))</f>
        <v/>
      </c>
      <c r="E116" s="671" t="str">
        <f>IF($B116="","",$C38*VLOOKUP($B116,Tbl_Emissions,8,FALSE))</f>
        <v/>
      </c>
      <c r="F116" s="674" t="str">
        <f>IF($B116="","",$C116*GHG_CO2_factor+$D116*GHG_CH4_factor+$E116*GHG_N2O_factor)</f>
        <v/>
      </c>
    </row>
    <row r="117" spans="2:6" x14ac:dyDescent="0.25">
      <c r="B117" s="662" t="str">
        <f>B39</f>
        <v/>
      </c>
      <c r="C117" s="666" t="str">
        <f>IF($B117="","",$C39*VLOOKUP($B117,Tbl_Emissions,6,FALSE))</f>
        <v/>
      </c>
      <c r="D117" s="671" t="str">
        <f>IF($B117="","",$C39*VLOOKUP($B117,Tbl_Emissions,7,FALSE))</f>
        <v/>
      </c>
      <c r="E117" s="671" t="str">
        <f>IF($B117="","",$C39*VLOOKUP($B117,Tbl_Emissions,8,FALSE))</f>
        <v/>
      </c>
      <c r="F117" s="674" t="str">
        <f>IF($B117="","",$C117*GHG_CO2_factor+$D117*GHG_CH4_factor+$E117*GHG_N2O_factor)</f>
        <v/>
      </c>
    </row>
    <row r="118" spans="2:6" x14ac:dyDescent="0.25">
      <c r="B118" s="662" t="str">
        <f>B40</f>
        <v/>
      </c>
      <c r="C118" s="666" t="str">
        <f>IF($B118="","",$C40*VLOOKUP($B118,Tbl_Emissions,6,FALSE))</f>
        <v/>
      </c>
      <c r="D118" s="671" t="str">
        <f>IF($B118="","",$C40*VLOOKUP($B118,Tbl_Emissions,7,FALSE))</f>
        <v/>
      </c>
      <c r="E118" s="671" t="str">
        <f>IF($B118="","",$C40*VLOOKUP($B118,Tbl_Emissions,8,FALSE))</f>
        <v/>
      </c>
      <c r="F118" s="674" t="str">
        <f>IF($B118="","",$C118*GHG_CO2_factor+$D118*GHG_CH4_factor+$E118*GHG_N2O_factor)</f>
        <v/>
      </c>
    </row>
    <row r="119" spans="2:6" ht="13" x14ac:dyDescent="0.3">
      <c r="B119" s="727" t="s">
        <v>400</v>
      </c>
      <c r="C119" s="728"/>
      <c r="D119" s="729"/>
      <c r="E119" s="729"/>
      <c r="F119" s="730"/>
    </row>
    <row r="120" spans="2:6" ht="13" thickBot="1" x14ac:dyDescent="0.3">
      <c r="B120" s="667" t="str">
        <f ca="1">B42</f>
        <v>Industrial Electricity</v>
      </c>
      <c r="C120" s="669">
        <f ca="1">IF($B120="","",$C42*VLOOKUP($B120,Tbl_Emissions,6,FALSE))</f>
        <v>2.4032401728876513E-2</v>
      </c>
      <c r="D120" s="672">
        <f ca="1">IF($B120="","",$C42*VLOOKUP($B120,Tbl_Emissions,7,FALSE))</f>
        <v>3.9099126269850119E-5</v>
      </c>
      <c r="E120" s="672">
        <f ca="1">IF($B120="","",$C42*VLOOKUP($B120,Tbl_Emissions,8,FALSE))</f>
        <v>3.4319957643534455E-7</v>
      </c>
      <c r="F120" s="675">
        <f ca="1">IF($B120="","",$C120*GHG_CO2_factor+$D120*GHG_CH4_factor+$E120*GHG_N2O_factor)</f>
        <v>2.5112153359400497E-2</v>
      </c>
    </row>
    <row r="121" spans="2:6" ht="13.5" thickBot="1" x14ac:dyDescent="0.35">
      <c r="B121" s="668" t="s">
        <v>541</v>
      </c>
      <c r="C121" s="670">
        <f ca="1">SUM(C110:C120)</f>
        <v>1.2390920617288765</v>
      </c>
      <c r="D121" s="673">
        <f ca="1">SUM(D110:D120)</f>
        <v>3.0827077924269853E-2</v>
      </c>
      <c r="E121" s="673">
        <f ca="1">SUM(E110:E120)</f>
        <v>1.4574693722087977E-4</v>
      </c>
      <c r="F121" s="676">
        <f ca="1">SUM(F110:F120)</f>
        <v>2.0532015971274449</v>
      </c>
    </row>
    <row r="122" spans="2:6" ht="13" thickTop="1" x14ac:dyDescent="0.25"/>
  </sheetData>
  <mergeCells count="18">
    <mergeCell ref="B108:C108"/>
    <mergeCell ref="B86:C86"/>
    <mergeCell ref="B59:C59"/>
    <mergeCell ref="B77:C77"/>
    <mergeCell ref="B78:C78"/>
    <mergeCell ref="B79:C79"/>
    <mergeCell ref="B80:C80"/>
    <mergeCell ref="B90:C90"/>
    <mergeCell ref="B88:C88"/>
    <mergeCell ref="B83:C83"/>
    <mergeCell ref="B84:C84"/>
    <mergeCell ref="B85:C85"/>
    <mergeCell ref="B89:C89"/>
    <mergeCell ref="F17:H17"/>
    <mergeCell ref="F23:H23"/>
    <mergeCell ref="B30:C30"/>
    <mergeCell ref="B52:C52"/>
    <mergeCell ref="B93:C93"/>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85" zoomScaleNormal="85" workbookViewId="0">
      <selection activeCell="H50" sqref="H50"/>
    </sheetView>
  </sheetViews>
  <sheetFormatPr defaultRowHeight="12.5" x14ac:dyDescent="0.25"/>
  <cols>
    <col min="1" max="1" width="7.1796875" customWidth="1"/>
    <col min="2" max="2" width="35.54296875" customWidth="1"/>
    <col min="3" max="3" width="15.7265625" customWidth="1"/>
    <col min="4" max="6" width="20.7265625" customWidth="1"/>
    <col min="7" max="8" width="16.26953125" customWidth="1"/>
    <col min="9" max="9" width="16" bestFit="1" customWidth="1"/>
    <col min="10" max="15" width="12.26953125" customWidth="1"/>
    <col min="16" max="16" width="17.453125" bestFit="1" customWidth="1"/>
    <col min="17" max="22" width="12.26953125" customWidth="1"/>
    <col min="23" max="23" width="18.453125" customWidth="1"/>
    <col min="24" max="24" width="12.26953125" customWidth="1"/>
  </cols>
  <sheetData>
    <row r="1" spans="1:73" x14ac:dyDescent="0.25">
      <c r="A1" s="1095"/>
      <c r="B1" s="1095"/>
      <c r="C1" s="1096"/>
      <c r="D1" s="1095"/>
      <c r="E1" s="1095"/>
      <c r="F1" s="1096"/>
      <c r="G1" s="1096"/>
      <c r="H1" s="1095"/>
      <c r="I1" s="1095"/>
      <c r="J1" s="1095"/>
      <c r="K1" s="1095"/>
      <c r="L1" s="1095"/>
      <c r="M1" s="1095"/>
      <c r="N1" s="1095"/>
      <c r="O1" s="1095"/>
      <c r="P1" s="1095"/>
      <c r="Q1" s="1095"/>
      <c r="R1" s="1095"/>
      <c r="S1" s="1095"/>
      <c r="T1" s="1095"/>
      <c r="U1" s="1095"/>
      <c r="V1" s="1095"/>
      <c r="W1" s="1095"/>
      <c r="X1" s="1095"/>
      <c r="Y1" s="1095"/>
      <c r="Z1" s="1095"/>
      <c r="AA1" s="1095"/>
      <c r="AB1" s="1095"/>
      <c r="AC1" s="1095"/>
      <c r="AD1" s="1095"/>
      <c r="AE1" s="1095"/>
      <c r="AF1" s="1095"/>
      <c r="AG1" s="1095"/>
      <c r="AH1" s="1095"/>
      <c r="AI1" s="1095"/>
      <c r="AJ1" s="1095"/>
      <c r="AK1" s="1095"/>
      <c r="AL1" s="1095"/>
      <c r="AM1" s="1095"/>
      <c r="AN1" s="1095"/>
      <c r="AO1" s="1095"/>
      <c r="AP1" s="1095"/>
      <c r="AQ1" s="1095"/>
      <c r="AR1" s="1095"/>
      <c r="AS1" s="1095"/>
      <c r="AT1" s="1095"/>
      <c r="AU1" s="1095"/>
      <c r="AV1" s="1095"/>
      <c r="AW1" s="1095"/>
      <c r="AX1" s="1095"/>
      <c r="AY1" s="1095"/>
      <c r="AZ1" s="1095"/>
      <c r="BA1" s="1095"/>
      <c r="BB1" s="1095"/>
      <c r="BC1" s="1095"/>
      <c r="BD1" s="1095"/>
      <c r="BE1" s="1095"/>
      <c r="BF1" s="1095"/>
      <c r="BG1" s="1095"/>
      <c r="BH1" s="1095"/>
      <c r="BI1" s="1095"/>
      <c r="BJ1" s="1095"/>
      <c r="BK1" s="1095"/>
      <c r="BL1" s="1095"/>
      <c r="BM1" s="1095"/>
      <c r="BN1" s="1095"/>
      <c r="BO1" s="1095"/>
      <c r="BP1" s="1095"/>
      <c r="BQ1" s="1095"/>
      <c r="BR1" s="1095"/>
      <c r="BS1" s="1095"/>
      <c r="BT1" s="1095"/>
      <c r="BU1" s="1095"/>
    </row>
    <row r="2" spans="1:73" ht="26" x14ac:dyDescent="0.3">
      <c r="A2" s="1095"/>
      <c r="B2" s="1106" t="s">
        <v>1136</v>
      </c>
      <c r="C2" s="1106" t="s">
        <v>1135</v>
      </c>
      <c r="D2" s="1106" t="s">
        <v>1202</v>
      </c>
      <c r="E2" s="1106" t="s">
        <v>1203</v>
      </c>
      <c r="F2" s="1106" t="s">
        <v>1139</v>
      </c>
      <c r="G2" s="1106" t="s">
        <v>1140</v>
      </c>
      <c r="H2" s="1106" t="s">
        <v>1141</v>
      </c>
      <c r="I2" s="1106" t="s">
        <v>1142</v>
      </c>
      <c r="J2" s="1096"/>
      <c r="K2" s="1096"/>
      <c r="L2" s="1095"/>
      <c r="M2" s="1095"/>
      <c r="N2" s="1095"/>
      <c r="O2" s="1095"/>
      <c r="P2" s="1095"/>
      <c r="Q2" s="1095"/>
      <c r="R2" s="1095"/>
      <c r="S2" s="1095"/>
      <c r="T2" s="1095"/>
      <c r="U2" s="1095"/>
      <c r="V2" s="1095"/>
      <c r="W2" s="1095"/>
      <c r="X2" s="1095"/>
      <c r="Y2" s="1095"/>
      <c r="Z2" s="1095"/>
      <c r="AA2" s="1095"/>
      <c r="AB2" s="1095"/>
      <c r="AC2" s="1095"/>
      <c r="AD2" s="1095"/>
      <c r="AE2" s="1095"/>
      <c r="AF2" s="1095"/>
      <c r="AG2" s="1095"/>
      <c r="AH2" s="1095"/>
      <c r="AI2" s="1095"/>
      <c r="AJ2" s="1095"/>
      <c r="AK2" s="1095"/>
      <c r="AL2" s="1095"/>
      <c r="AM2" s="1095"/>
      <c r="AN2" s="1095"/>
      <c r="AO2" s="1095"/>
      <c r="AP2" s="1095"/>
      <c r="AQ2" s="1095"/>
      <c r="AR2" s="1095"/>
      <c r="AS2" s="1095"/>
      <c r="AT2" s="1095"/>
      <c r="AU2" s="1095"/>
      <c r="AV2" s="1095"/>
      <c r="AW2" s="1095"/>
      <c r="AX2" s="1095"/>
      <c r="AY2" s="1095"/>
      <c r="AZ2" s="1095"/>
      <c r="BA2" s="1095"/>
      <c r="BB2" s="1095"/>
      <c r="BC2" s="1095"/>
      <c r="BD2" s="1095"/>
      <c r="BE2" s="1095"/>
      <c r="BF2" s="1095"/>
      <c r="BG2" s="1095"/>
      <c r="BH2" s="1095"/>
      <c r="BI2" s="1095"/>
      <c r="BJ2" s="1095"/>
      <c r="BK2" s="1095"/>
      <c r="BL2" s="1095"/>
      <c r="BM2" s="1095"/>
      <c r="BN2" s="1095"/>
      <c r="BO2" s="1095"/>
      <c r="BP2" s="1095"/>
      <c r="BQ2" s="1095"/>
      <c r="BR2" s="1095"/>
      <c r="BS2" s="1095"/>
      <c r="BT2" s="1095"/>
      <c r="BU2" s="1095"/>
    </row>
    <row r="3" spans="1:73" x14ac:dyDescent="0.25">
      <c r="A3" s="1095"/>
      <c r="B3" s="1098" t="s">
        <v>1176</v>
      </c>
      <c r="C3" s="1102">
        <f ca="1">+cap_factor</f>
        <v>0.9</v>
      </c>
      <c r="D3" s="1101">
        <v>0.05</v>
      </c>
      <c r="E3" s="1101">
        <v>0.05</v>
      </c>
      <c r="F3" s="1111">
        <f>1+D3</f>
        <v>1.05</v>
      </c>
      <c r="G3" s="1108">
        <f>1-E3</f>
        <v>0.95</v>
      </c>
      <c r="H3" s="1100">
        <f t="shared" ref="H3:H9" ca="1" si="0">+C3*F3</f>
        <v>0.94500000000000006</v>
      </c>
      <c r="I3" s="1100">
        <f t="shared" ref="I3:I9" ca="1" si="1">+C3*G3</f>
        <v>0.85499999999999998</v>
      </c>
      <c r="J3" s="1449"/>
      <c r="K3" s="1449"/>
      <c r="L3" s="1095"/>
      <c r="M3" s="1095"/>
      <c r="N3" s="1095"/>
      <c r="O3" s="1095"/>
      <c r="P3" s="1095"/>
      <c r="Q3" s="1095"/>
      <c r="R3" s="1095"/>
      <c r="S3" s="1095"/>
      <c r="T3" s="1095"/>
      <c r="U3" s="1095"/>
      <c r="V3" s="1095"/>
      <c r="W3" s="1095"/>
      <c r="X3" s="1095"/>
      <c r="Y3" s="1095"/>
      <c r="Z3" s="1095"/>
      <c r="AA3" s="1095"/>
      <c r="AB3" s="1095"/>
      <c r="AC3" s="1095"/>
      <c r="AD3" s="1095"/>
      <c r="AE3" s="1095"/>
      <c r="AF3" s="1095"/>
      <c r="AG3" s="1095"/>
      <c r="AH3" s="1095"/>
      <c r="AI3" s="1095"/>
      <c r="AJ3" s="1095"/>
      <c r="AK3" s="1095"/>
      <c r="AL3" s="1095"/>
      <c r="AM3" s="1095"/>
      <c r="AN3" s="1095"/>
      <c r="AO3" s="1095"/>
      <c r="AP3" s="1095"/>
      <c r="AQ3" s="1095"/>
      <c r="AR3" s="1095"/>
      <c r="AS3" s="1095"/>
      <c r="AT3" s="1095"/>
      <c r="AU3" s="1095"/>
      <c r="AV3" s="1095"/>
      <c r="AW3" s="1095"/>
      <c r="AX3" s="1095"/>
      <c r="AY3" s="1095"/>
      <c r="AZ3" s="1095"/>
      <c r="BA3" s="1095"/>
      <c r="BB3" s="1095"/>
      <c r="BC3" s="1095"/>
      <c r="BD3" s="1095"/>
      <c r="BE3" s="1095"/>
      <c r="BF3" s="1095"/>
      <c r="BG3" s="1095"/>
      <c r="BH3" s="1095"/>
      <c r="BI3" s="1095"/>
      <c r="BJ3" s="1095"/>
      <c r="BK3" s="1095"/>
      <c r="BL3" s="1095"/>
      <c r="BM3" s="1095"/>
      <c r="BN3" s="1095"/>
      <c r="BO3" s="1095"/>
      <c r="BP3" s="1095"/>
      <c r="BQ3" s="1095"/>
      <c r="BR3" s="1095"/>
      <c r="BS3" s="1095"/>
      <c r="BT3" s="1095"/>
      <c r="BU3" s="1095"/>
    </row>
    <row r="4" spans="1:73" x14ac:dyDescent="0.25">
      <c r="A4" s="1095"/>
      <c r="B4" s="1098" t="str">
        <f>+Input_Sheet_Template!B26</f>
        <v>Plant Design Capacity (kg of H2/day)</v>
      </c>
      <c r="C4" s="1103">
        <f ca="1">+design_cap</f>
        <v>379387</v>
      </c>
      <c r="D4" s="1101">
        <v>0.05</v>
      </c>
      <c r="E4" s="1101">
        <v>0.05</v>
      </c>
      <c r="F4" s="1111">
        <f>1+D4</f>
        <v>1.05</v>
      </c>
      <c r="G4" s="1108">
        <f>1-E4</f>
        <v>0.95</v>
      </c>
      <c r="H4" s="1105">
        <f t="shared" ca="1" si="0"/>
        <v>398356.35000000003</v>
      </c>
      <c r="I4" s="1105">
        <f t="shared" ca="1" si="1"/>
        <v>360417.64999999997</v>
      </c>
      <c r="J4" s="1449"/>
      <c r="K4" s="1449"/>
      <c r="L4" s="1095"/>
      <c r="M4" s="1095"/>
      <c r="N4" s="1095"/>
      <c r="O4" s="1095"/>
      <c r="P4" s="1095"/>
      <c r="Q4" s="1095"/>
      <c r="R4" s="1095"/>
      <c r="S4" s="1095"/>
      <c r="T4" s="1095"/>
      <c r="U4" s="1095"/>
      <c r="V4" s="1095"/>
      <c r="W4" s="1095"/>
      <c r="X4" s="1095"/>
      <c r="Y4" s="1095"/>
      <c r="Z4" s="1095"/>
      <c r="AA4" s="1095"/>
      <c r="AB4" s="1095"/>
      <c r="AC4" s="1095"/>
      <c r="AD4" s="1095"/>
      <c r="AE4" s="1095"/>
      <c r="AF4" s="1095"/>
      <c r="AG4" s="1095"/>
      <c r="AH4" s="1095"/>
      <c r="AI4" s="1095"/>
      <c r="AJ4" s="1095"/>
      <c r="AK4" s="1095"/>
      <c r="AL4" s="1095"/>
      <c r="AM4" s="1095"/>
      <c r="AN4" s="1095"/>
      <c r="AO4" s="1095"/>
      <c r="AP4" s="1095"/>
      <c r="AQ4" s="1095"/>
      <c r="AR4" s="1095"/>
      <c r="AS4" s="1095"/>
      <c r="AT4" s="1095"/>
      <c r="AU4" s="1095"/>
      <c r="AV4" s="1095"/>
      <c r="AW4" s="1095"/>
      <c r="AX4" s="1095"/>
      <c r="AY4" s="1095"/>
      <c r="AZ4" s="1095"/>
      <c r="BA4" s="1095"/>
      <c r="BB4" s="1095"/>
      <c r="BC4" s="1095"/>
      <c r="BD4" s="1095"/>
      <c r="BE4" s="1095"/>
      <c r="BF4" s="1095"/>
      <c r="BG4" s="1095"/>
      <c r="BH4" s="1095"/>
      <c r="BI4" s="1095"/>
      <c r="BJ4" s="1095"/>
      <c r="BK4" s="1095"/>
      <c r="BL4" s="1095"/>
      <c r="BM4" s="1095"/>
      <c r="BN4" s="1095"/>
      <c r="BO4" s="1095"/>
      <c r="BP4" s="1095"/>
      <c r="BQ4" s="1095"/>
      <c r="BR4" s="1095"/>
      <c r="BS4" s="1095"/>
      <c r="BT4" s="1095"/>
      <c r="BU4" s="1095"/>
    </row>
    <row r="5" spans="1:73" x14ac:dyDescent="0.25">
      <c r="A5" s="1095"/>
      <c r="B5" s="1098" t="s">
        <v>1177</v>
      </c>
      <c r="C5" s="1102">
        <f ca="1">+real_irr</f>
        <v>0.08</v>
      </c>
      <c r="D5" s="1101">
        <v>0.05</v>
      </c>
      <c r="E5" s="1101">
        <v>0.05</v>
      </c>
      <c r="F5" s="1111">
        <f>1-D5</f>
        <v>0.95</v>
      </c>
      <c r="G5" s="1108">
        <f>1+E5</f>
        <v>1.05</v>
      </c>
      <c r="H5" s="1100">
        <f t="shared" ca="1" si="0"/>
        <v>7.5999999999999998E-2</v>
      </c>
      <c r="I5" s="1100">
        <f t="shared" ca="1" si="1"/>
        <v>8.4000000000000005E-2</v>
      </c>
      <c r="J5" s="1449"/>
      <c r="K5" s="1449"/>
      <c r="L5" s="1095"/>
      <c r="M5" s="1095"/>
      <c r="N5" s="1095"/>
      <c r="O5" s="1095"/>
      <c r="P5" s="1095"/>
      <c r="Q5" s="1095"/>
      <c r="R5" s="1095"/>
      <c r="S5" s="1095"/>
      <c r="T5" s="1095"/>
      <c r="U5" s="1095"/>
      <c r="V5" s="1095"/>
      <c r="W5" s="1095"/>
      <c r="X5" s="1095"/>
      <c r="Y5" s="1095"/>
      <c r="Z5" s="1095"/>
      <c r="AA5" s="1095"/>
      <c r="AB5" s="1095"/>
      <c r="AC5" s="1095"/>
      <c r="AD5" s="1095"/>
      <c r="AE5" s="1095"/>
      <c r="AF5" s="1095"/>
      <c r="AG5" s="1095"/>
      <c r="AH5" s="1095"/>
      <c r="AI5" s="1095"/>
      <c r="AJ5" s="1095"/>
      <c r="AK5" s="1095"/>
      <c r="AL5" s="1095"/>
      <c r="AM5" s="1095"/>
      <c r="AN5" s="1095"/>
      <c r="AO5" s="1095"/>
      <c r="AP5" s="1095"/>
      <c r="AQ5" s="1095"/>
      <c r="AR5" s="1095"/>
      <c r="AS5" s="1095"/>
      <c r="AT5" s="1095"/>
      <c r="AU5" s="1095"/>
      <c r="AV5" s="1095"/>
      <c r="AW5" s="1095"/>
      <c r="AX5" s="1095"/>
      <c r="AY5" s="1095"/>
      <c r="AZ5" s="1095"/>
      <c r="BA5" s="1095"/>
      <c r="BB5" s="1095"/>
      <c r="BC5" s="1095"/>
      <c r="BD5" s="1095"/>
      <c r="BE5" s="1095"/>
      <c r="BF5" s="1095"/>
      <c r="BG5" s="1095"/>
      <c r="BH5" s="1095"/>
      <c r="BI5" s="1095"/>
      <c r="BJ5" s="1095"/>
      <c r="BK5" s="1095"/>
      <c r="BL5" s="1095"/>
      <c r="BM5" s="1095"/>
      <c r="BN5" s="1095"/>
      <c r="BO5" s="1095"/>
      <c r="BP5" s="1095"/>
      <c r="BQ5" s="1095"/>
      <c r="BR5" s="1095"/>
      <c r="BS5" s="1095"/>
      <c r="BT5" s="1095"/>
      <c r="BU5" s="1095"/>
    </row>
    <row r="6" spans="1:73" x14ac:dyDescent="0.25">
      <c r="A6" s="1095"/>
      <c r="B6" s="1098" t="s">
        <v>1186</v>
      </c>
      <c r="C6" s="1198">
        <v>1</v>
      </c>
      <c r="D6" s="1101">
        <v>0.05</v>
      </c>
      <c r="E6" s="1101">
        <v>0.05</v>
      </c>
      <c r="F6" s="1111">
        <f>1-D6</f>
        <v>0.95</v>
      </c>
      <c r="G6" s="1108">
        <f t="shared" ref="G6:G9" si="2">1+E6</f>
        <v>1.05</v>
      </c>
      <c r="H6" s="1194">
        <f t="shared" si="0"/>
        <v>0.95</v>
      </c>
      <c r="I6" s="1194">
        <f t="shared" si="1"/>
        <v>1.05</v>
      </c>
      <c r="J6" s="1449"/>
      <c r="K6" s="1449"/>
      <c r="L6" s="1095"/>
      <c r="M6" s="1095"/>
      <c r="N6" s="1095"/>
      <c r="O6" s="1095"/>
      <c r="P6" s="1095"/>
      <c r="Q6" s="1095"/>
      <c r="R6" s="1095"/>
      <c r="S6" s="1095"/>
      <c r="T6" s="1095"/>
      <c r="U6" s="1095"/>
      <c r="V6" s="1095"/>
      <c r="W6" s="1095"/>
      <c r="X6" s="1095"/>
      <c r="Y6" s="1095"/>
      <c r="Z6" s="1095"/>
      <c r="AA6" s="1095"/>
      <c r="AB6" s="1095"/>
      <c r="AC6" s="1095"/>
      <c r="AD6" s="1095"/>
      <c r="AE6" s="1095"/>
      <c r="AF6" s="1095"/>
      <c r="AG6" s="1095"/>
      <c r="AH6" s="1095"/>
      <c r="AI6" s="1095"/>
      <c r="AJ6" s="1095"/>
      <c r="AK6" s="1095"/>
      <c r="AL6" s="1095"/>
      <c r="AM6" s="1095"/>
      <c r="AN6" s="1095"/>
      <c r="AO6" s="1095"/>
      <c r="AP6" s="1095"/>
      <c r="AQ6" s="1095"/>
      <c r="AR6" s="1095"/>
      <c r="AS6" s="1095"/>
      <c r="AT6" s="1095"/>
      <c r="AU6" s="1095"/>
      <c r="AV6" s="1095"/>
      <c r="AW6" s="1095"/>
      <c r="AX6" s="1095"/>
      <c r="AY6" s="1095"/>
      <c r="AZ6" s="1095"/>
      <c r="BA6" s="1095"/>
      <c r="BB6" s="1095"/>
      <c r="BC6" s="1095"/>
      <c r="BD6" s="1095"/>
      <c r="BE6" s="1095"/>
      <c r="BF6" s="1095"/>
      <c r="BG6" s="1095"/>
      <c r="BH6" s="1095"/>
      <c r="BI6" s="1095"/>
      <c r="BJ6" s="1095"/>
      <c r="BK6" s="1095"/>
      <c r="BL6" s="1095"/>
      <c r="BM6" s="1095"/>
      <c r="BN6" s="1095"/>
      <c r="BO6" s="1095"/>
      <c r="BP6" s="1095"/>
      <c r="BQ6" s="1095"/>
      <c r="BR6" s="1095"/>
      <c r="BS6" s="1095"/>
      <c r="BT6" s="1095"/>
      <c r="BU6" s="1095"/>
    </row>
    <row r="7" spans="1:73" x14ac:dyDescent="0.25">
      <c r="A7" s="1095"/>
      <c r="B7" s="1098" t="s">
        <v>1187</v>
      </c>
      <c r="C7" s="1198">
        <v>1</v>
      </c>
      <c r="D7" s="1101">
        <v>0.05</v>
      </c>
      <c r="E7" s="1101">
        <v>0.05</v>
      </c>
      <c r="F7" s="1111">
        <f>1-D7</f>
        <v>0.95</v>
      </c>
      <c r="G7" s="1108">
        <f t="shared" si="2"/>
        <v>1.05</v>
      </c>
      <c r="H7" s="1194">
        <f t="shared" si="0"/>
        <v>0.95</v>
      </c>
      <c r="I7" s="1194">
        <f t="shared" si="1"/>
        <v>1.05</v>
      </c>
      <c r="J7" s="1449"/>
      <c r="K7" s="1449"/>
      <c r="L7" s="1095"/>
      <c r="M7" s="1095"/>
      <c r="N7" s="1095"/>
      <c r="O7" s="1095"/>
      <c r="P7" s="1095"/>
      <c r="Q7" s="1095"/>
      <c r="R7" s="1095"/>
      <c r="S7" s="1095"/>
      <c r="T7" s="1095"/>
      <c r="U7" s="1095"/>
      <c r="V7" s="1095"/>
      <c r="W7" s="1095"/>
      <c r="X7" s="1095"/>
      <c r="Y7" s="1095"/>
      <c r="Z7" s="1095"/>
      <c r="AA7" s="1095"/>
      <c r="AB7" s="1095"/>
      <c r="AC7" s="1095"/>
      <c r="AD7" s="1095"/>
      <c r="AE7" s="1095"/>
      <c r="AF7" s="1095"/>
      <c r="AG7" s="1095"/>
      <c r="AH7" s="1095"/>
      <c r="AI7" s="1095"/>
      <c r="AJ7" s="1095"/>
      <c r="AK7" s="1095"/>
      <c r="AL7" s="1095"/>
      <c r="AM7" s="1095"/>
      <c r="AN7" s="1095"/>
      <c r="AO7" s="1095"/>
      <c r="AP7" s="1095"/>
      <c r="AQ7" s="1095"/>
      <c r="AR7" s="1095"/>
      <c r="AS7" s="1095"/>
      <c r="AT7" s="1095"/>
      <c r="AU7" s="1095"/>
      <c r="AV7" s="1095"/>
      <c r="AW7" s="1095"/>
      <c r="AX7" s="1095"/>
      <c r="AY7" s="1095"/>
      <c r="AZ7" s="1095"/>
      <c r="BA7" s="1095"/>
      <c r="BB7" s="1095"/>
      <c r="BC7" s="1095"/>
      <c r="BD7" s="1095"/>
      <c r="BE7" s="1095"/>
      <c r="BF7" s="1095"/>
      <c r="BG7" s="1095"/>
      <c r="BH7" s="1095"/>
      <c r="BI7" s="1095"/>
      <c r="BJ7" s="1095"/>
      <c r="BK7" s="1095"/>
      <c r="BL7" s="1095"/>
      <c r="BM7" s="1095"/>
      <c r="BN7" s="1095"/>
      <c r="BO7" s="1095"/>
      <c r="BP7" s="1095"/>
      <c r="BQ7" s="1095"/>
      <c r="BR7" s="1095"/>
      <c r="BS7" s="1095"/>
      <c r="BT7" s="1095"/>
      <c r="BU7" s="1095"/>
    </row>
    <row r="8" spans="1:73" x14ac:dyDescent="0.25">
      <c r="A8" s="1095"/>
      <c r="B8" s="1098" t="s">
        <v>117</v>
      </c>
      <c r="C8" s="1103">
        <f ca="1">+total_cap</f>
        <v>426772133.02098882</v>
      </c>
      <c r="D8" s="1101">
        <v>0.05</v>
      </c>
      <c r="E8" s="1101">
        <v>0.05</v>
      </c>
      <c r="F8" s="1111">
        <f>1-D8</f>
        <v>0.95</v>
      </c>
      <c r="G8" s="1108">
        <f t="shared" si="2"/>
        <v>1.05</v>
      </c>
      <c r="H8" s="1105">
        <f t="shared" ca="1" si="0"/>
        <v>405433526.36993939</v>
      </c>
      <c r="I8" s="1105">
        <f t="shared" ca="1" si="1"/>
        <v>448110739.67203826</v>
      </c>
      <c r="J8" s="1449"/>
      <c r="K8" s="1449"/>
      <c r="L8" s="1095"/>
      <c r="M8" s="1095"/>
      <c r="N8" s="1095"/>
      <c r="O8" s="1095"/>
      <c r="P8" s="1095"/>
      <c r="Q8" s="1095"/>
      <c r="R8" s="1095"/>
      <c r="S8" s="1095"/>
      <c r="T8" s="1095"/>
      <c r="U8" s="1095"/>
      <c r="V8" s="1095"/>
      <c r="W8" s="1095"/>
      <c r="X8" s="1095"/>
      <c r="Y8" s="1095"/>
      <c r="Z8" s="1095"/>
      <c r="AA8" s="1095"/>
      <c r="AB8" s="1095"/>
      <c r="AC8" s="1095"/>
      <c r="AD8" s="1095"/>
      <c r="AE8" s="1095"/>
      <c r="AF8" s="1095"/>
      <c r="AG8" s="1095"/>
      <c r="AH8" s="1095"/>
      <c r="AI8" s="1095"/>
      <c r="AJ8" s="1095"/>
      <c r="AK8" s="1095"/>
      <c r="AL8" s="1095"/>
      <c r="AM8" s="1095"/>
      <c r="AN8" s="1095"/>
      <c r="AO8" s="1095"/>
      <c r="AP8" s="1095"/>
      <c r="AQ8" s="1095"/>
      <c r="AR8" s="1095"/>
      <c r="AS8" s="1095"/>
      <c r="AT8" s="1095"/>
      <c r="AU8" s="1095"/>
      <c r="AV8" s="1095"/>
      <c r="AW8" s="1095"/>
      <c r="AX8" s="1095"/>
      <c r="AY8" s="1095"/>
      <c r="AZ8" s="1095"/>
      <c r="BA8" s="1095"/>
      <c r="BB8" s="1095"/>
      <c r="BC8" s="1095"/>
      <c r="BD8" s="1095"/>
      <c r="BE8" s="1095"/>
      <c r="BF8" s="1095"/>
      <c r="BG8" s="1095"/>
      <c r="BH8" s="1095"/>
      <c r="BI8" s="1095"/>
      <c r="BJ8" s="1095"/>
      <c r="BK8" s="1095"/>
      <c r="BL8" s="1095"/>
      <c r="BM8" s="1095"/>
      <c r="BN8" s="1095"/>
      <c r="BO8" s="1095"/>
      <c r="BP8" s="1095"/>
      <c r="BQ8" s="1095"/>
      <c r="BR8" s="1095"/>
      <c r="BS8" s="1095"/>
      <c r="BT8" s="1095"/>
      <c r="BU8" s="1095"/>
    </row>
    <row r="9" spans="1:73" x14ac:dyDescent="0.25">
      <c r="A9" s="1095"/>
      <c r="B9" s="1098" t="s">
        <v>634</v>
      </c>
      <c r="C9" s="1103">
        <f ca="1">+fixed</f>
        <v>13189656.373843029</v>
      </c>
      <c r="D9" s="1101">
        <v>0.05</v>
      </c>
      <c r="E9" s="1101">
        <v>0.05</v>
      </c>
      <c r="F9" s="1111">
        <f>1-D9</f>
        <v>0.95</v>
      </c>
      <c r="G9" s="1108">
        <f t="shared" si="2"/>
        <v>1.05</v>
      </c>
      <c r="H9" s="1105">
        <f t="shared" ca="1" si="0"/>
        <v>12530173.555150878</v>
      </c>
      <c r="I9" s="1105">
        <f t="shared" ca="1" si="1"/>
        <v>13849139.192535181</v>
      </c>
      <c r="J9" s="1449"/>
      <c r="K9" s="1449"/>
      <c r="L9" s="1095"/>
      <c r="M9" s="1095"/>
      <c r="N9" s="1095"/>
      <c r="O9" s="1095"/>
      <c r="P9" s="1095"/>
      <c r="Q9" s="1095"/>
      <c r="R9" s="1095"/>
      <c r="S9" s="1095"/>
      <c r="T9" s="1095"/>
      <c r="U9" s="1095"/>
      <c r="V9" s="1095"/>
      <c r="W9" s="1095"/>
      <c r="X9" s="1095"/>
      <c r="Y9" s="1095"/>
      <c r="Z9" s="1095"/>
      <c r="AA9" s="1095"/>
      <c r="AB9" s="1095"/>
      <c r="AC9" s="1095"/>
      <c r="AD9" s="1095"/>
      <c r="AE9" s="1095"/>
      <c r="AF9" s="1095"/>
      <c r="AG9" s="1095"/>
      <c r="AH9" s="1095"/>
      <c r="AI9" s="1095"/>
      <c r="AJ9" s="1095"/>
      <c r="AK9" s="1095"/>
      <c r="AL9" s="1095"/>
      <c r="AM9" s="1095"/>
      <c r="AN9" s="1095"/>
      <c r="AO9" s="1095"/>
      <c r="AP9" s="1095"/>
      <c r="AQ9" s="1095"/>
      <c r="AR9" s="1095"/>
      <c r="AS9" s="1095"/>
      <c r="AT9" s="1095"/>
      <c r="AU9" s="1095"/>
      <c r="AV9" s="1095"/>
      <c r="AW9" s="1095"/>
      <c r="AX9" s="1095"/>
      <c r="AY9" s="1095"/>
      <c r="AZ9" s="1095"/>
      <c r="BA9" s="1095"/>
      <c r="BB9" s="1095"/>
      <c r="BC9" s="1095"/>
      <c r="BD9" s="1095"/>
      <c r="BE9" s="1095"/>
      <c r="BF9" s="1095"/>
      <c r="BG9" s="1095"/>
      <c r="BH9" s="1095"/>
      <c r="BI9" s="1095"/>
      <c r="BJ9" s="1095"/>
      <c r="BK9" s="1095"/>
      <c r="BL9" s="1095"/>
      <c r="BM9" s="1095"/>
      <c r="BN9" s="1095"/>
      <c r="BO9" s="1095"/>
      <c r="BP9" s="1095"/>
      <c r="BQ9" s="1095"/>
      <c r="BR9" s="1095"/>
      <c r="BS9" s="1095"/>
      <c r="BT9" s="1095"/>
      <c r="BU9" s="1095"/>
    </row>
    <row r="10" spans="1:73" x14ac:dyDescent="0.25">
      <c r="A10" s="1095"/>
      <c r="B10" s="1095"/>
      <c r="C10" s="1095"/>
      <c r="D10" s="1095"/>
      <c r="E10" s="1095"/>
      <c r="F10" s="1095"/>
      <c r="G10" s="1095"/>
      <c r="H10" s="1095"/>
      <c r="I10" s="1095"/>
      <c r="J10" s="1095"/>
      <c r="K10" s="1095"/>
      <c r="L10" s="1095"/>
      <c r="M10" s="1095"/>
      <c r="N10" s="1095"/>
      <c r="O10" s="1095"/>
      <c r="P10" s="1095"/>
      <c r="Q10" s="1095"/>
      <c r="R10" s="1095"/>
      <c r="S10" s="1095"/>
      <c r="T10" s="1095"/>
      <c r="U10" s="1095"/>
      <c r="V10" s="1095"/>
      <c r="W10" s="1095"/>
      <c r="X10" s="1095"/>
      <c r="Y10" s="1095"/>
      <c r="Z10" s="1095"/>
      <c r="AA10" s="1095"/>
      <c r="AB10" s="1095"/>
      <c r="AC10" s="1095"/>
      <c r="AD10" s="1095"/>
      <c r="AE10" s="1095"/>
      <c r="AF10" s="1095"/>
      <c r="AG10" s="1095"/>
      <c r="AH10" s="1095"/>
      <c r="AI10" s="1095"/>
      <c r="AJ10" s="1095"/>
      <c r="AK10" s="1095"/>
      <c r="AL10" s="1095"/>
      <c r="AM10" s="1095"/>
      <c r="AN10" s="1095"/>
      <c r="AO10" s="1095"/>
      <c r="AP10" s="1095"/>
      <c r="AQ10" s="1095"/>
      <c r="AR10" s="1095"/>
      <c r="AS10" s="1095"/>
      <c r="AT10" s="1095"/>
      <c r="AU10" s="1095"/>
      <c r="AV10" s="1095"/>
      <c r="AW10" s="1095"/>
      <c r="AX10" s="1095"/>
      <c r="AY10" s="1095"/>
      <c r="AZ10" s="1095"/>
      <c r="BA10" s="1095"/>
      <c r="BB10" s="1095"/>
      <c r="BC10" s="1095"/>
      <c r="BD10" s="1095"/>
      <c r="BE10" s="1095"/>
      <c r="BF10" s="1095"/>
      <c r="BG10" s="1095"/>
      <c r="BH10" s="1095"/>
      <c r="BI10" s="1095"/>
      <c r="BJ10" s="1095"/>
      <c r="BK10" s="1095"/>
      <c r="BL10" s="1095"/>
      <c r="BM10" s="1095"/>
      <c r="BN10" s="1095"/>
      <c r="BO10" s="1095"/>
      <c r="BP10" s="1095"/>
      <c r="BQ10" s="1095"/>
      <c r="BR10" s="1095"/>
      <c r="BS10" s="1095"/>
      <c r="BT10" s="1095"/>
      <c r="BU10" s="1095"/>
    </row>
    <row r="11" spans="1:73" x14ac:dyDescent="0.25">
      <c r="A11" s="1095"/>
      <c r="B11" s="1621" t="s">
        <v>1303</v>
      </c>
      <c r="C11" s="1621"/>
      <c r="D11" s="1101" t="s">
        <v>23</v>
      </c>
      <c r="E11" s="1461" t="str">
        <f>IF(RunRiskAnalysis="Yes","          Please click Update Charts and Risk Analysis button before using results below","")</f>
        <v xml:space="preserve">          Please click Update Charts and Risk Analysis button before using results below</v>
      </c>
      <c r="F11" s="1095"/>
      <c r="H11" s="1095"/>
      <c r="I11" s="1095"/>
      <c r="J11" s="1095"/>
      <c r="K11" s="1095"/>
      <c r="L11" s="1095"/>
      <c r="M11" s="1095"/>
      <c r="N11" s="1095"/>
      <c r="O11" s="1095"/>
      <c r="P11" s="1095"/>
      <c r="Q11" s="1095"/>
      <c r="R11" s="1095"/>
      <c r="S11" s="1095"/>
      <c r="T11" s="1095"/>
      <c r="U11" s="1095"/>
      <c r="V11" s="1095"/>
      <c r="W11" s="1095"/>
      <c r="X11" s="1095"/>
      <c r="Y11" s="1095"/>
      <c r="Z11" s="1095"/>
      <c r="AA11" s="1095"/>
      <c r="AB11" s="1095"/>
      <c r="AC11" s="1095"/>
      <c r="AD11" s="1095"/>
      <c r="AE11" s="1095"/>
      <c r="AF11" s="1095"/>
      <c r="AG11" s="1095"/>
      <c r="AH11" s="1095"/>
      <c r="AI11" s="1095"/>
      <c r="AJ11" s="1095"/>
      <c r="AK11" s="1095"/>
      <c r="AL11" s="1095"/>
      <c r="AM11" s="1095"/>
      <c r="AN11" s="1095"/>
      <c r="AO11" s="1095"/>
      <c r="AP11" s="1095"/>
      <c r="AQ11" s="1095"/>
      <c r="AR11" s="1095"/>
      <c r="AS11" s="1095"/>
      <c r="AT11" s="1095"/>
      <c r="AU11" s="1095"/>
      <c r="AV11" s="1095"/>
      <c r="AW11" s="1095"/>
      <c r="AX11" s="1095"/>
      <c r="AY11" s="1095"/>
      <c r="AZ11" s="1095"/>
      <c r="BA11" s="1095"/>
      <c r="BB11" s="1095"/>
      <c r="BC11" s="1095"/>
      <c r="BD11" s="1095"/>
      <c r="BE11" s="1095"/>
      <c r="BF11" s="1095"/>
      <c r="BG11" s="1095"/>
      <c r="BH11" s="1095"/>
      <c r="BI11" s="1095"/>
      <c r="BJ11" s="1095"/>
      <c r="BK11" s="1095"/>
      <c r="BL11" s="1095"/>
      <c r="BM11" s="1095"/>
      <c r="BN11" s="1095"/>
      <c r="BO11" s="1095"/>
      <c r="BP11" s="1095"/>
      <c r="BQ11" s="1095"/>
      <c r="BR11" s="1095"/>
      <c r="BS11" s="1095"/>
      <c r="BT11" s="1095"/>
      <c r="BU11" s="1095"/>
    </row>
    <row r="12" spans="1:73" ht="12.75" customHeight="1" x14ac:dyDescent="0.25">
      <c r="A12" s="1095"/>
      <c r="B12" s="1095"/>
      <c r="C12" s="1095"/>
      <c r="D12" s="1095"/>
      <c r="E12" s="1095"/>
      <c r="F12" s="1095"/>
      <c r="G12" s="1095"/>
      <c r="H12" s="1095"/>
      <c r="I12" s="1095"/>
      <c r="J12" s="1095"/>
      <c r="K12" s="1095"/>
      <c r="L12" s="1095"/>
      <c r="M12" s="1095"/>
      <c r="N12" s="1095"/>
      <c r="P12" s="1621" t="s">
        <v>1321</v>
      </c>
      <c r="Q12" s="1621"/>
      <c r="R12" s="1622" t="s">
        <v>1344</v>
      </c>
      <c r="S12" s="1622"/>
      <c r="T12" s="1622"/>
      <c r="U12" s="1622"/>
      <c r="V12" s="1095"/>
      <c r="W12" s="1095"/>
      <c r="X12" s="1095"/>
      <c r="Y12" s="1095"/>
      <c r="Z12" s="1095"/>
      <c r="AA12" s="1095"/>
      <c r="AB12" s="1095"/>
      <c r="AC12" s="1095"/>
      <c r="AD12" s="1095"/>
      <c r="AE12" s="1095"/>
      <c r="AF12" s="1095"/>
      <c r="AG12" s="1095"/>
      <c r="AH12" s="1095"/>
      <c r="AI12" s="1095"/>
      <c r="AJ12" s="1095"/>
      <c r="AK12" s="1095"/>
      <c r="AL12" s="1095"/>
      <c r="AM12" s="1095"/>
      <c r="AN12" s="1095"/>
      <c r="AO12" s="1095"/>
      <c r="AP12" s="1095"/>
      <c r="AQ12" s="1095"/>
      <c r="AR12" s="1095"/>
      <c r="AS12" s="1095"/>
      <c r="AT12" s="1095"/>
      <c r="AU12" s="1095"/>
      <c r="AV12" s="1095"/>
      <c r="AW12" s="1095"/>
      <c r="AX12" s="1095"/>
      <c r="AY12" s="1095"/>
      <c r="AZ12" s="1095"/>
      <c r="BA12" s="1095"/>
      <c r="BB12" s="1095"/>
      <c r="BC12" s="1095"/>
      <c r="BD12" s="1095"/>
      <c r="BE12" s="1095"/>
      <c r="BF12" s="1095"/>
      <c r="BG12" s="1095"/>
      <c r="BH12" s="1095"/>
      <c r="BI12" s="1095"/>
      <c r="BJ12" s="1095"/>
      <c r="BK12" s="1095"/>
      <c r="BL12" s="1095"/>
      <c r="BM12" s="1095"/>
      <c r="BN12" s="1095"/>
      <c r="BO12" s="1095"/>
      <c r="BP12" s="1095"/>
      <c r="BQ12" s="1095"/>
      <c r="BR12" s="1095"/>
      <c r="BS12" s="1095"/>
      <c r="BT12" s="1095"/>
      <c r="BU12" s="1095"/>
    </row>
    <row r="13" spans="1:73" ht="13" x14ac:dyDescent="0.3">
      <c r="A13" s="1095"/>
      <c r="B13" s="1095"/>
      <c r="C13" s="1095"/>
      <c r="D13" s="1095"/>
      <c r="E13" s="1095"/>
      <c r="F13" s="1095"/>
      <c r="G13" s="1095"/>
      <c r="H13" s="1095"/>
      <c r="I13" s="1095"/>
      <c r="J13" s="1095"/>
      <c r="K13" s="1095"/>
      <c r="L13" s="1095"/>
      <c r="M13" s="1095"/>
      <c r="N13" s="1095"/>
      <c r="O13" s="1095"/>
      <c r="P13" s="1095"/>
      <c r="Q13" s="1095"/>
      <c r="R13" s="1095"/>
      <c r="S13" s="1095"/>
      <c r="T13" s="1095"/>
      <c r="U13" s="1095"/>
      <c r="V13" s="1106" t="s">
        <v>1307</v>
      </c>
      <c r="W13" s="1106" t="s">
        <v>1092</v>
      </c>
      <c r="X13" s="1095"/>
      <c r="Y13" s="1095"/>
      <c r="Z13" s="1095"/>
      <c r="AA13" s="1095"/>
      <c r="AB13" s="1095"/>
      <c r="AC13" s="1095"/>
      <c r="AD13" s="1095"/>
      <c r="AE13" s="1095"/>
      <c r="AF13" s="1095"/>
      <c r="AG13" s="1095"/>
      <c r="AH13" s="1095"/>
      <c r="AI13" s="1095"/>
      <c r="AJ13" s="1095"/>
      <c r="AK13" s="1095"/>
      <c r="AL13" s="1095"/>
      <c r="AM13" s="1095"/>
      <c r="AN13" s="1095"/>
      <c r="AO13" s="1095"/>
      <c r="AP13" s="1095"/>
      <c r="AQ13" s="1095"/>
      <c r="AR13" s="1095"/>
      <c r="AS13" s="1095"/>
      <c r="AT13" s="1095"/>
      <c r="AU13" s="1095"/>
      <c r="AV13" s="1095"/>
      <c r="AW13" s="1095"/>
      <c r="AX13" s="1095"/>
      <c r="AY13" s="1095"/>
      <c r="AZ13" s="1095"/>
      <c r="BA13" s="1095"/>
      <c r="BB13" s="1095"/>
      <c r="BC13" s="1095"/>
      <c r="BD13" s="1095"/>
      <c r="BE13" s="1095"/>
      <c r="BF13" s="1095"/>
      <c r="BG13" s="1095"/>
      <c r="BH13" s="1095"/>
      <c r="BI13" s="1095"/>
      <c r="BJ13" s="1095"/>
      <c r="BK13" s="1095"/>
      <c r="BL13" s="1095"/>
      <c r="BM13" s="1095"/>
      <c r="BN13" s="1095"/>
      <c r="BO13" s="1095"/>
      <c r="BP13" s="1095"/>
      <c r="BQ13" s="1095"/>
      <c r="BR13" s="1095"/>
      <c r="BS13" s="1095"/>
      <c r="BT13" s="1095"/>
      <c r="BU13" s="1095"/>
    </row>
    <row r="14" spans="1:73" x14ac:dyDescent="0.25">
      <c r="A14" s="1095"/>
      <c r="B14" s="1095"/>
      <c r="C14" s="1095"/>
      <c r="D14" s="1095"/>
      <c r="E14" s="1095"/>
      <c r="F14" s="1095"/>
      <c r="G14" s="1095"/>
      <c r="H14" s="1095"/>
      <c r="I14" s="1095"/>
      <c r="J14" s="1095"/>
      <c r="K14" s="1095"/>
      <c r="L14" s="1095"/>
      <c r="M14" s="1095"/>
      <c r="N14" s="1095"/>
      <c r="O14" s="1095"/>
      <c r="P14" s="1095"/>
      <c r="Q14" s="1095"/>
      <c r="R14" s="1095"/>
      <c r="S14" s="1095"/>
      <c r="T14" s="1095"/>
      <c r="U14" s="1095"/>
      <c r="V14" s="1108">
        <v>0</v>
      </c>
      <c r="W14" s="1109">
        <f ca="1">+MIN(OFFSET($B$251:$B$2250,0,$C$194))*$C$198</f>
        <v>1.6614674722145049</v>
      </c>
      <c r="X14" s="1095"/>
      <c r="Y14" s="1095"/>
      <c r="Z14" s="1095"/>
      <c r="AA14" s="1095"/>
      <c r="AB14" s="1095"/>
      <c r="AC14" s="1095"/>
      <c r="AD14" s="1095"/>
      <c r="AE14" s="1095"/>
      <c r="AF14" s="1095"/>
      <c r="AG14" s="1095"/>
      <c r="AH14" s="1095"/>
      <c r="AI14" s="1095"/>
      <c r="AJ14" s="1095"/>
      <c r="AK14" s="1095"/>
      <c r="AL14" s="1095"/>
      <c r="AM14" s="1095"/>
      <c r="AN14" s="1095"/>
      <c r="AO14" s="1095"/>
      <c r="AP14" s="1095"/>
      <c r="AQ14" s="1095"/>
      <c r="AR14" s="1095"/>
      <c r="AS14" s="1095"/>
      <c r="AT14" s="1095"/>
      <c r="AU14" s="1095"/>
      <c r="AV14" s="1095"/>
      <c r="AW14" s="1095"/>
      <c r="AX14" s="1095"/>
      <c r="AY14" s="1095"/>
      <c r="AZ14" s="1095"/>
      <c r="BA14" s="1095"/>
      <c r="BB14" s="1095"/>
      <c r="BC14" s="1095"/>
      <c r="BD14" s="1095"/>
      <c r="BE14" s="1095"/>
      <c r="BF14" s="1095"/>
      <c r="BG14" s="1095"/>
      <c r="BH14" s="1095"/>
      <c r="BI14" s="1095"/>
      <c r="BJ14" s="1095"/>
      <c r="BK14" s="1095"/>
      <c r="BL14" s="1095"/>
      <c r="BM14" s="1095"/>
      <c r="BN14" s="1095"/>
      <c r="BO14" s="1095"/>
      <c r="BP14" s="1095"/>
      <c r="BQ14" s="1095"/>
      <c r="BR14" s="1095"/>
      <c r="BS14" s="1095"/>
      <c r="BT14" s="1095"/>
      <c r="BU14" s="1095"/>
    </row>
    <row r="15" spans="1:73" x14ac:dyDescent="0.25">
      <c r="A15" s="1095"/>
      <c r="B15" s="1095"/>
      <c r="C15" s="1095"/>
      <c r="D15" s="1095"/>
      <c r="E15" s="1095"/>
      <c r="F15" s="1095"/>
      <c r="G15" s="1095"/>
      <c r="H15" s="1095"/>
      <c r="I15" s="1095"/>
      <c r="J15" s="1095"/>
      <c r="K15" s="1095"/>
      <c r="L15" s="1095"/>
      <c r="M15" s="1095"/>
      <c r="N15" s="1095"/>
      <c r="O15" s="1095"/>
      <c r="P15" s="1095"/>
      <c r="Q15" s="1095"/>
      <c r="R15" s="1095"/>
      <c r="S15" s="1095"/>
      <c r="T15" s="1095"/>
      <c r="U15" s="1095"/>
      <c r="V15" s="1459">
        <v>0.05</v>
      </c>
      <c r="W15" s="1460">
        <f t="shared" ref="W15:W33" ca="1" si="3">+PERCENTILE(OFFSET($B$251:$B$2250,0,$C$194),V15)*$C$198</f>
        <v>1.6921259239474069</v>
      </c>
      <c r="X15" s="1095"/>
      <c r="Y15" s="1095"/>
      <c r="Z15" s="1095"/>
      <c r="AA15" s="1095"/>
      <c r="AB15" s="1095"/>
      <c r="AC15" s="1095"/>
      <c r="AD15" s="1095"/>
      <c r="AE15" s="1095"/>
      <c r="AF15" s="1095"/>
      <c r="AG15" s="1095"/>
      <c r="AH15" s="1095"/>
      <c r="AI15" s="1095"/>
      <c r="AJ15" s="1095"/>
      <c r="AK15" s="1095"/>
      <c r="AL15" s="1095"/>
      <c r="AM15" s="1095"/>
      <c r="AN15" s="1095"/>
      <c r="AO15" s="1095"/>
      <c r="AP15" s="1095"/>
      <c r="AQ15" s="1095"/>
      <c r="AR15" s="1095"/>
      <c r="AS15" s="1095"/>
      <c r="AT15" s="1095"/>
      <c r="AU15" s="1095"/>
      <c r="AV15" s="1095"/>
      <c r="AW15" s="1095"/>
      <c r="AX15" s="1095"/>
      <c r="AY15" s="1095"/>
      <c r="AZ15" s="1095"/>
      <c r="BA15" s="1095"/>
      <c r="BB15" s="1095"/>
      <c r="BC15" s="1095"/>
      <c r="BD15" s="1095"/>
      <c r="BE15" s="1095"/>
      <c r="BF15" s="1095"/>
      <c r="BG15" s="1095"/>
      <c r="BH15" s="1095"/>
      <c r="BI15" s="1095"/>
      <c r="BJ15" s="1095"/>
      <c r="BK15" s="1095"/>
      <c r="BL15" s="1095"/>
      <c r="BM15" s="1095"/>
      <c r="BN15" s="1095"/>
      <c r="BO15" s="1095"/>
      <c r="BP15" s="1095"/>
      <c r="BQ15" s="1095"/>
      <c r="BR15" s="1095"/>
      <c r="BS15" s="1095"/>
      <c r="BT15" s="1095"/>
      <c r="BU15" s="1095"/>
    </row>
    <row r="16" spans="1:73" x14ac:dyDescent="0.25">
      <c r="A16" s="1095"/>
      <c r="B16" s="1096"/>
      <c r="C16" s="1095"/>
      <c r="D16" s="1095"/>
      <c r="E16" s="1095"/>
      <c r="F16" s="1095"/>
      <c r="G16" s="1095"/>
      <c r="H16" s="1095"/>
      <c r="I16" s="1095"/>
      <c r="J16" s="1095"/>
      <c r="K16" s="1095"/>
      <c r="L16" s="1095"/>
      <c r="M16" s="1095"/>
      <c r="N16" s="1095"/>
      <c r="O16" s="1095"/>
      <c r="P16" s="1095"/>
      <c r="Q16" s="1095"/>
      <c r="R16" s="1095"/>
      <c r="S16" s="1095"/>
      <c r="T16" s="1095"/>
      <c r="U16" s="1095"/>
      <c r="V16" s="1458">
        <f t="shared" ref="V16:V33" si="4">+V15+0.05</f>
        <v>0.1</v>
      </c>
      <c r="W16" s="1109">
        <f t="shared" ca="1" si="3"/>
        <v>1.7016008032048024</v>
      </c>
      <c r="X16" s="1095"/>
      <c r="Y16" s="1095"/>
      <c r="Z16" s="1095"/>
      <c r="AA16" s="1095"/>
      <c r="AB16" s="1095"/>
      <c r="AC16" s="1095"/>
      <c r="AD16" s="1095"/>
      <c r="AE16" s="1095"/>
      <c r="AF16" s="1095"/>
      <c r="AG16" s="1095"/>
      <c r="AH16" s="1095"/>
      <c r="AI16" s="1095"/>
      <c r="AJ16" s="1095"/>
      <c r="AK16" s="1095"/>
      <c r="AL16" s="1095"/>
      <c r="AM16" s="1095"/>
      <c r="AN16" s="1095"/>
      <c r="AO16" s="1095"/>
      <c r="AP16" s="1095"/>
      <c r="AQ16" s="1095"/>
      <c r="AR16" s="1095"/>
      <c r="AS16" s="1095"/>
      <c r="AT16" s="1095"/>
      <c r="AU16" s="1095"/>
      <c r="AV16" s="1095"/>
      <c r="AW16" s="1095"/>
      <c r="AX16" s="1095"/>
      <c r="AY16" s="1095"/>
      <c r="AZ16" s="1095"/>
      <c r="BA16" s="1095"/>
      <c r="BB16" s="1095"/>
      <c r="BC16" s="1095"/>
      <c r="BD16" s="1095"/>
      <c r="BE16" s="1095"/>
      <c r="BF16" s="1095"/>
      <c r="BG16" s="1095"/>
      <c r="BH16" s="1095"/>
      <c r="BI16" s="1095"/>
      <c r="BJ16" s="1095"/>
      <c r="BK16" s="1095"/>
      <c r="BL16" s="1095"/>
      <c r="BM16" s="1095"/>
      <c r="BN16" s="1095"/>
      <c r="BO16" s="1095"/>
      <c r="BP16" s="1095"/>
      <c r="BQ16" s="1095"/>
      <c r="BR16" s="1095"/>
      <c r="BS16" s="1095"/>
      <c r="BT16" s="1095"/>
      <c r="BU16" s="1095"/>
    </row>
    <row r="17" spans="1:73" x14ac:dyDescent="0.25">
      <c r="A17" s="1095"/>
      <c r="B17" s="1095"/>
      <c r="C17" s="1095"/>
      <c r="D17" s="1095"/>
      <c r="E17" s="1095"/>
      <c r="F17" s="1095"/>
      <c r="G17" s="1095"/>
      <c r="H17" s="1095"/>
      <c r="I17" s="1095"/>
      <c r="J17" s="1095"/>
      <c r="K17" s="1095"/>
      <c r="L17" s="1095"/>
      <c r="M17" s="1095"/>
      <c r="N17" s="1095"/>
      <c r="O17" s="1095"/>
      <c r="P17" s="1095"/>
      <c r="Q17" s="1095"/>
      <c r="R17" s="1095"/>
      <c r="S17" s="1095"/>
      <c r="T17" s="1095"/>
      <c r="U17" s="1095"/>
      <c r="V17" s="1458">
        <f t="shared" si="4"/>
        <v>0.15000000000000002</v>
      </c>
      <c r="W17" s="1109">
        <f t="shared" ca="1" si="3"/>
        <v>1.7081797395919478</v>
      </c>
      <c r="X17" s="1095"/>
      <c r="Y17" s="1095"/>
      <c r="Z17" s="1095"/>
      <c r="AA17" s="1095"/>
      <c r="AB17" s="1095"/>
      <c r="AC17" s="1095"/>
      <c r="AD17" s="1095"/>
      <c r="AE17" s="1095"/>
      <c r="AF17" s="1095"/>
      <c r="AG17" s="1095"/>
      <c r="AH17" s="1095"/>
      <c r="AI17" s="1095"/>
      <c r="AJ17" s="1095"/>
      <c r="AK17" s="1095"/>
      <c r="AL17" s="1095"/>
      <c r="AM17" s="1095"/>
      <c r="AN17" s="1095"/>
      <c r="AO17" s="1095"/>
      <c r="AP17" s="1095"/>
      <c r="AQ17" s="1095"/>
      <c r="AR17" s="1095"/>
      <c r="AS17" s="1095"/>
      <c r="AT17" s="1095"/>
      <c r="AU17" s="1095"/>
      <c r="AV17" s="1095"/>
      <c r="AW17" s="1095"/>
      <c r="AX17" s="1095"/>
      <c r="AY17" s="1095"/>
      <c r="AZ17" s="1095"/>
      <c r="BA17" s="1095"/>
      <c r="BB17" s="1095"/>
      <c r="BC17" s="1095"/>
      <c r="BD17" s="1095"/>
      <c r="BE17" s="1095"/>
      <c r="BF17" s="1095"/>
      <c r="BG17" s="1095"/>
      <c r="BH17" s="1095"/>
      <c r="BI17" s="1095"/>
      <c r="BJ17" s="1095"/>
      <c r="BK17" s="1095"/>
      <c r="BL17" s="1095"/>
      <c r="BM17" s="1095"/>
      <c r="BN17" s="1095"/>
      <c r="BO17" s="1095"/>
      <c r="BP17" s="1095"/>
      <c r="BQ17" s="1095"/>
      <c r="BR17" s="1095"/>
      <c r="BS17" s="1095"/>
      <c r="BT17" s="1095"/>
      <c r="BU17" s="1095"/>
    </row>
    <row r="18" spans="1:73" x14ac:dyDescent="0.25">
      <c r="A18" s="1095"/>
      <c r="B18" s="1095"/>
      <c r="C18" s="1095"/>
      <c r="D18" s="1095"/>
      <c r="E18" s="1095"/>
      <c r="F18" s="1095"/>
      <c r="G18" s="1095"/>
      <c r="H18" s="1095"/>
      <c r="I18" s="1095"/>
      <c r="J18" s="1095"/>
      <c r="K18" s="1095"/>
      <c r="L18" s="1095"/>
      <c r="M18" s="1095"/>
      <c r="N18" s="1095"/>
      <c r="O18" s="1095"/>
      <c r="P18" s="1095"/>
      <c r="Q18" s="1095"/>
      <c r="R18" s="1095"/>
      <c r="S18" s="1095"/>
      <c r="T18" s="1095"/>
      <c r="U18" s="1095"/>
      <c r="V18" s="1458">
        <f t="shared" si="4"/>
        <v>0.2</v>
      </c>
      <c r="W18" s="1109">
        <f t="shared" ca="1" si="3"/>
        <v>1.713728420356897</v>
      </c>
      <c r="X18" s="1095"/>
      <c r="Y18" s="1095"/>
      <c r="Z18" s="1095"/>
      <c r="AA18" s="1095"/>
      <c r="AB18" s="1095"/>
      <c r="AC18" s="1095"/>
      <c r="AD18" s="1095"/>
      <c r="AE18" s="1095"/>
      <c r="AF18" s="1095"/>
      <c r="AG18" s="1095"/>
      <c r="AH18" s="1095"/>
      <c r="AI18" s="1095"/>
      <c r="AJ18" s="1095"/>
      <c r="AK18" s="1095"/>
      <c r="AL18" s="1095"/>
      <c r="AM18" s="1095"/>
      <c r="AN18" s="1095"/>
      <c r="AO18" s="1095"/>
      <c r="AP18" s="1095"/>
      <c r="AQ18" s="1095"/>
      <c r="AR18" s="1095"/>
      <c r="AS18" s="1095"/>
      <c r="AT18" s="1095"/>
      <c r="AU18" s="1095"/>
      <c r="AV18" s="1095"/>
      <c r="AW18" s="1095"/>
      <c r="AX18" s="1095"/>
      <c r="AY18" s="1095"/>
      <c r="AZ18" s="1095"/>
      <c r="BA18" s="1095"/>
      <c r="BB18" s="1095"/>
      <c r="BC18" s="1095"/>
      <c r="BD18" s="1095"/>
      <c r="BE18" s="1095"/>
      <c r="BF18" s="1095"/>
      <c r="BG18" s="1095"/>
      <c r="BH18" s="1095"/>
      <c r="BI18" s="1095"/>
      <c r="BJ18" s="1095"/>
      <c r="BK18" s="1095"/>
      <c r="BL18" s="1095"/>
      <c r="BM18" s="1095"/>
      <c r="BN18" s="1095"/>
      <c r="BO18" s="1095"/>
      <c r="BP18" s="1095"/>
      <c r="BQ18" s="1095"/>
      <c r="BR18" s="1095"/>
      <c r="BS18" s="1095"/>
      <c r="BT18" s="1095"/>
      <c r="BU18" s="1095"/>
    </row>
    <row r="19" spans="1:73" x14ac:dyDescent="0.25">
      <c r="A19" s="1095"/>
      <c r="B19" s="1095"/>
      <c r="C19" s="1095"/>
      <c r="D19" s="1095"/>
      <c r="E19" s="1095"/>
      <c r="F19" s="1095"/>
      <c r="G19" s="1095"/>
      <c r="H19" s="1095"/>
      <c r="I19" s="1095"/>
      <c r="J19" s="1095"/>
      <c r="K19" s="1095"/>
      <c r="L19" s="1095"/>
      <c r="M19" s="1095"/>
      <c r="N19" s="1095"/>
      <c r="O19" s="1095"/>
      <c r="P19" s="1095"/>
      <c r="Q19" s="1095"/>
      <c r="R19" s="1095"/>
      <c r="S19" s="1095"/>
      <c r="T19" s="1095"/>
      <c r="U19" s="1095"/>
      <c r="V19" s="1458">
        <f t="shared" si="4"/>
        <v>0.25</v>
      </c>
      <c r="W19" s="1109">
        <f t="shared" ca="1" si="3"/>
        <v>1.7185700043144378</v>
      </c>
      <c r="X19" s="1095"/>
      <c r="Y19" s="1095"/>
      <c r="Z19" s="1095"/>
      <c r="AA19" s="1095"/>
      <c r="AB19" s="1095"/>
      <c r="AC19" s="1095"/>
      <c r="AD19" s="1095"/>
      <c r="AE19" s="1095"/>
      <c r="AF19" s="1095"/>
      <c r="AG19" s="1095"/>
      <c r="AH19" s="1095"/>
      <c r="AI19" s="1095"/>
      <c r="AJ19" s="1095"/>
      <c r="AK19" s="1095"/>
      <c r="AL19" s="1095"/>
      <c r="AM19" s="1095"/>
      <c r="AN19" s="1095"/>
      <c r="AO19" s="1095"/>
      <c r="AP19" s="1095"/>
      <c r="AQ19" s="1095"/>
      <c r="AR19" s="1095"/>
      <c r="AS19" s="1095"/>
      <c r="AT19" s="1095"/>
      <c r="AU19" s="1095"/>
      <c r="AV19" s="1095"/>
      <c r="AW19" s="1095"/>
      <c r="AX19" s="1095"/>
      <c r="AY19" s="1095"/>
      <c r="AZ19" s="1095"/>
      <c r="BA19" s="1095"/>
      <c r="BB19" s="1095"/>
      <c r="BC19" s="1095"/>
      <c r="BD19" s="1095"/>
      <c r="BE19" s="1095"/>
      <c r="BF19" s="1095"/>
      <c r="BG19" s="1095"/>
      <c r="BH19" s="1095"/>
      <c r="BI19" s="1095"/>
      <c r="BJ19" s="1095"/>
      <c r="BK19" s="1095"/>
      <c r="BL19" s="1095"/>
      <c r="BM19" s="1095"/>
      <c r="BN19" s="1095"/>
      <c r="BO19" s="1095"/>
      <c r="BP19" s="1095"/>
      <c r="BQ19" s="1095"/>
      <c r="BR19" s="1095"/>
      <c r="BS19" s="1095"/>
      <c r="BT19" s="1095"/>
      <c r="BU19" s="1095"/>
    </row>
    <row r="20" spans="1:73" x14ac:dyDescent="0.25">
      <c r="A20" s="1095"/>
      <c r="B20" s="1095"/>
      <c r="C20" s="1095"/>
      <c r="D20" s="1095"/>
      <c r="E20" s="1095"/>
      <c r="F20" s="1095"/>
      <c r="G20" s="1095"/>
      <c r="H20" s="1095"/>
      <c r="I20" s="1095"/>
      <c r="J20" s="1095"/>
      <c r="K20" s="1095"/>
      <c r="L20" s="1095"/>
      <c r="M20" s="1095"/>
      <c r="N20" s="1095"/>
      <c r="O20" s="1095"/>
      <c r="P20" s="1095"/>
      <c r="Q20" s="1095"/>
      <c r="R20" s="1095"/>
      <c r="S20" s="1095"/>
      <c r="T20" s="1095"/>
      <c r="U20" s="1095"/>
      <c r="V20" s="1458">
        <f t="shared" si="4"/>
        <v>0.3</v>
      </c>
      <c r="W20" s="1109">
        <f t="shared" ca="1" si="3"/>
        <v>1.7227795185099424</v>
      </c>
      <c r="X20" s="1095"/>
      <c r="Y20" s="1095"/>
      <c r="Z20" s="1095"/>
      <c r="AA20" s="1095"/>
      <c r="AB20" s="1095"/>
      <c r="AC20" s="1095"/>
      <c r="AD20" s="1095"/>
      <c r="AE20" s="1095"/>
      <c r="AF20" s="1095"/>
      <c r="AG20" s="1095"/>
      <c r="AH20" s="1095"/>
      <c r="AI20" s="1095"/>
      <c r="AJ20" s="1095"/>
      <c r="AK20" s="1095"/>
      <c r="AL20" s="1095"/>
      <c r="AM20" s="1095"/>
      <c r="AN20" s="1095"/>
      <c r="AO20" s="1095"/>
      <c r="AP20" s="1095"/>
      <c r="AQ20" s="1095"/>
      <c r="AR20" s="1095"/>
      <c r="AS20" s="1095"/>
      <c r="AT20" s="1095"/>
      <c r="AU20" s="1095"/>
      <c r="AV20" s="1095"/>
      <c r="AW20" s="1095"/>
      <c r="AX20" s="1095"/>
      <c r="AY20" s="1095"/>
      <c r="AZ20" s="1095"/>
      <c r="BA20" s="1095"/>
      <c r="BB20" s="1095"/>
      <c r="BC20" s="1095"/>
      <c r="BD20" s="1095"/>
      <c r="BE20" s="1095"/>
      <c r="BF20" s="1095"/>
      <c r="BG20" s="1095"/>
      <c r="BH20" s="1095"/>
      <c r="BI20" s="1095"/>
      <c r="BJ20" s="1095"/>
      <c r="BK20" s="1095"/>
      <c r="BL20" s="1095"/>
      <c r="BM20" s="1095"/>
      <c r="BN20" s="1095"/>
      <c r="BO20" s="1095"/>
      <c r="BP20" s="1095"/>
      <c r="BQ20" s="1095"/>
      <c r="BR20" s="1095"/>
      <c r="BS20" s="1095"/>
      <c r="BT20" s="1095"/>
      <c r="BU20" s="1095"/>
    </row>
    <row r="21" spans="1:73" x14ac:dyDescent="0.25">
      <c r="A21" s="1095"/>
      <c r="B21" s="1095"/>
      <c r="C21" s="1095"/>
      <c r="D21" s="1095"/>
      <c r="E21" s="1095"/>
      <c r="F21" s="1095"/>
      <c r="G21" s="1095"/>
      <c r="H21" s="1095"/>
      <c r="I21" s="1095"/>
      <c r="J21" s="1095"/>
      <c r="K21" s="1095"/>
      <c r="L21" s="1095"/>
      <c r="M21" s="1095"/>
      <c r="N21" s="1095"/>
      <c r="O21" s="1095"/>
      <c r="P21" s="1095"/>
      <c r="Q21" s="1095"/>
      <c r="R21" s="1095"/>
      <c r="S21" s="1095"/>
      <c r="T21" s="1095"/>
      <c r="U21" s="1095"/>
      <c r="V21" s="1458">
        <f t="shared" si="4"/>
        <v>0.35</v>
      </c>
      <c r="W21" s="1109">
        <f t="shared" ca="1" si="3"/>
        <v>1.7267112352512681</v>
      </c>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095"/>
      <c r="BN21" s="1095"/>
      <c r="BO21" s="1095"/>
      <c r="BP21" s="1095"/>
      <c r="BQ21" s="1095"/>
      <c r="BR21" s="1095"/>
      <c r="BS21" s="1095"/>
      <c r="BT21" s="1095"/>
      <c r="BU21" s="1095"/>
    </row>
    <row r="22" spans="1:73" x14ac:dyDescent="0.25">
      <c r="A22" s="1095"/>
      <c r="B22" s="1095"/>
      <c r="C22" s="1095"/>
      <c r="D22" s="1095"/>
      <c r="E22" s="1095"/>
      <c r="F22" s="1095"/>
      <c r="G22" s="1095"/>
      <c r="H22" s="1095"/>
      <c r="I22" s="1095"/>
      <c r="J22" s="1095"/>
      <c r="K22" s="1095"/>
      <c r="L22" s="1095"/>
      <c r="M22" s="1095"/>
      <c r="N22" s="1095"/>
      <c r="O22" s="1095"/>
      <c r="P22" s="1095"/>
      <c r="Q22" s="1095"/>
      <c r="R22" s="1095"/>
      <c r="S22" s="1095"/>
      <c r="T22" s="1095"/>
      <c r="U22" s="1095"/>
      <c r="V22" s="1458">
        <f t="shared" si="4"/>
        <v>0.39999999999999997</v>
      </c>
      <c r="W22" s="1109">
        <f t="shared" ca="1" si="3"/>
        <v>1.73063201998261</v>
      </c>
      <c r="X22" s="1095"/>
      <c r="Y22" s="1095"/>
      <c r="Z22" s="1095"/>
      <c r="AA22" s="1095"/>
      <c r="AB22" s="1095"/>
      <c r="AC22" s="1095"/>
      <c r="AD22" s="1095"/>
      <c r="AE22" s="1095"/>
      <c r="AF22" s="1095"/>
      <c r="AG22" s="1095"/>
      <c r="AH22" s="1095"/>
      <c r="AI22" s="1095"/>
      <c r="AJ22" s="1095"/>
      <c r="AK22" s="1095"/>
      <c r="AL22" s="1095"/>
      <c r="AM22" s="1095"/>
      <c r="AN22" s="1095"/>
      <c r="AO22" s="1095"/>
      <c r="AP22" s="1095"/>
      <c r="AQ22" s="1095"/>
      <c r="AR22" s="1095"/>
      <c r="AS22" s="1095"/>
      <c r="AT22" s="1095"/>
      <c r="AU22" s="1095"/>
      <c r="AV22" s="1095"/>
      <c r="AW22" s="1095"/>
      <c r="AX22" s="1095"/>
      <c r="AY22" s="1095"/>
      <c r="AZ22" s="1095"/>
      <c r="BA22" s="1095"/>
      <c r="BB22" s="1095"/>
      <c r="BC22" s="1095"/>
      <c r="BD22" s="1095"/>
      <c r="BE22" s="1095"/>
      <c r="BF22" s="1095"/>
      <c r="BG22" s="1095"/>
      <c r="BH22" s="1095"/>
      <c r="BI22" s="1095"/>
      <c r="BJ22" s="1095"/>
      <c r="BK22" s="1095"/>
      <c r="BL22" s="1095"/>
      <c r="BM22" s="1095"/>
      <c r="BN22" s="1095"/>
      <c r="BO22" s="1095"/>
      <c r="BP22" s="1095"/>
      <c r="BQ22" s="1095"/>
      <c r="BR22" s="1095"/>
      <c r="BS22" s="1095"/>
      <c r="BT22" s="1095"/>
      <c r="BU22" s="1095"/>
    </row>
    <row r="23" spans="1:73" x14ac:dyDescent="0.25">
      <c r="A23" s="1095"/>
      <c r="B23" s="1095"/>
      <c r="C23" s="1095"/>
      <c r="D23" s="1095"/>
      <c r="E23" s="1095"/>
      <c r="F23" s="1095"/>
      <c r="G23" s="1095"/>
      <c r="H23" s="1095"/>
      <c r="I23" s="1095"/>
      <c r="J23" s="1095"/>
      <c r="K23" s="1095"/>
      <c r="L23" s="1095"/>
      <c r="M23" s="1095"/>
      <c r="N23" s="1095"/>
      <c r="O23" s="1095"/>
      <c r="P23" s="1095"/>
      <c r="Q23" s="1095"/>
      <c r="R23" s="1095"/>
      <c r="S23" s="1095"/>
      <c r="T23" s="1095"/>
      <c r="U23" s="1095"/>
      <c r="V23" s="1458">
        <f t="shared" si="4"/>
        <v>0.44999999999999996</v>
      </c>
      <c r="W23" s="1109">
        <f t="shared" ca="1" si="3"/>
        <v>1.7347196344928031</v>
      </c>
      <c r="X23" s="1095"/>
      <c r="Y23" s="1095"/>
      <c r="Z23" s="1095"/>
      <c r="AA23" s="1095"/>
      <c r="AB23" s="1095"/>
      <c r="AC23" s="1095"/>
      <c r="AD23" s="1095"/>
      <c r="AE23" s="1095"/>
      <c r="AF23" s="1095"/>
      <c r="AG23" s="1095"/>
      <c r="AH23" s="1095"/>
      <c r="AI23" s="1095"/>
      <c r="AJ23" s="1095"/>
      <c r="AK23" s="1095"/>
      <c r="AL23" s="1095"/>
      <c r="AM23" s="1095"/>
      <c r="AN23" s="1095"/>
      <c r="AO23" s="1095"/>
      <c r="AP23" s="1095"/>
      <c r="AQ23" s="1095"/>
      <c r="AR23" s="1095"/>
      <c r="AS23" s="1095"/>
      <c r="AT23" s="1095"/>
      <c r="AU23" s="1095"/>
      <c r="AV23" s="1095"/>
      <c r="AW23" s="1095"/>
      <c r="AX23" s="1095"/>
      <c r="AY23" s="1095"/>
      <c r="AZ23" s="1095"/>
      <c r="BA23" s="1095"/>
      <c r="BB23" s="1095"/>
      <c r="BC23" s="1095"/>
      <c r="BD23" s="1095"/>
      <c r="BE23" s="1095"/>
      <c r="BF23" s="1095"/>
      <c r="BG23" s="1095"/>
      <c r="BH23" s="1095"/>
      <c r="BI23" s="1095"/>
      <c r="BJ23" s="1095"/>
      <c r="BK23" s="1095"/>
      <c r="BL23" s="1095"/>
      <c r="BM23" s="1095"/>
      <c r="BN23" s="1095"/>
      <c r="BO23" s="1095"/>
      <c r="BP23" s="1095"/>
      <c r="BQ23" s="1095"/>
      <c r="BR23" s="1095"/>
      <c r="BS23" s="1095"/>
      <c r="BT23" s="1095"/>
      <c r="BU23" s="1095"/>
    </row>
    <row r="24" spans="1:73" x14ac:dyDescent="0.25">
      <c r="A24" s="1095"/>
      <c r="B24" s="1095"/>
      <c r="C24" s="1095"/>
      <c r="D24" s="1095"/>
      <c r="E24" s="1095"/>
      <c r="F24" s="1095"/>
      <c r="G24" s="1095"/>
      <c r="H24" s="1095"/>
      <c r="I24" s="1095"/>
      <c r="J24" s="1095"/>
      <c r="K24" s="1095"/>
      <c r="L24" s="1095"/>
      <c r="M24" s="1095"/>
      <c r="N24" s="1095"/>
      <c r="O24" s="1095"/>
      <c r="P24" s="1095"/>
      <c r="Q24" s="1095"/>
      <c r="R24" s="1095"/>
      <c r="S24" s="1095"/>
      <c r="T24" s="1095"/>
      <c r="U24" s="1095"/>
      <c r="V24" s="1459">
        <f t="shared" si="4"/>
        <v>0.49999999999999994</v>
      </c>
      <c r="W24" s="1460">
        <f t="shared" ca="1" si="3"/>
        <v>1.73779725112161</v>
      </c>
      <c r="X24" s="1095"/>
      <c r="Y24" s="1095"/>
      <c r="Z24" s="1095"/>
      <c r="AA24" s="1095"/>
      <c r="AB24" s="1095"/>
      <c r="AC24" s="1095"/>
      <c r="AD24" s="1095"/>
      <c r="AE24" s="1095"/>
      <c r="AF24" s="1095"/>
      <c r="AG24" s="1095"/>
      <c r="AH24" s="1095"/>
      <c r="AI24" s="1095"/>
      <c r="AJ24" s="1095"/>
      <c r="AK24" s="1095"/>
      <c r="AL24" s="1095"/>
      <c r="AM24" s="1095"/>
      <c r="AN24" s="1095"/>
      <c r="AO24" s="1095"/>
      <c r="AP24" s="1095"/>
      <c r="AQ24" s="1095"/>
      <c r="AR24" s="1095"/>
      <c r="AS24" s="1095"/>
      <c r="AT24" s="1095"/>
      <c r="AU24" s="1095"/>
      <c r="AV24" s="1095"/>
      <c r="AW24" s="1095"/>
      <c r="AX24" s="1095"/>
      <c r="AY24" s="1095"/>
      <c r="AZ24" s="1095"/>
      <c r="BA24" s="1095"/>
      <c r="BB24" s="1095"/>
      <c r="BC24" s="1095"/>
      <c r="BD24" s="1095"/>
      <c r="BE24" s="1095"/>
      <c r="BF24" s="1095"/>
      <c r="BG24" s="1095"/>
      <c r="BH24" s="1095"/>
      <c r="BI24" s="1095"/>
      <c r="BJ24" s="1095"/>
      <c r="BK24" s="1095"/>
      <c r="BL24" s="1095"/>
      <c r="BM24" s="1095"/>
      <c r="BN24" s="1095"/>
      <c r="BO24" s="1095"/>
      <c r="BP24" s="1095"/>
      <c r="BQ24" s="1095"/>
      <c r="BR24" s="1095"/>
      <c r="BS24" s="1095"/>
      <c r="BT24" s="1095"/>
      <c r="BU24" s="1095"/>
    </row>
    <row r="25" spans="1:73" x14ac:dyDescent="0.25">
      <c r="A25" s="1095"/>
      <c r="B25" s="1095"/>
      <c r="C25" s="1095"/>
      <c r="D25" s="1095"/>
      <c r="E25" s="1095"/>
      <c r="F25" s="1095"/>
      <c r="G25" s="1095"/>
      <c r="H25" s="1095"/>
      <c r="I25" s="1095"/>
      <c r="J25" s="1095"/>
      <c r="K25" s="1095"/>
      <c r="L25" s="1095"/>
      <c r="M25" s="1095"/>
      <c r="N25" s="1095"/>
      <c r="O25" s="1095"/>
      <c r="P25" s="1095"/>
      <c r="Q25" s="1095"/>
      <c r="R25" s="1095"/>
      <c r="S25" s="1095"/>
      <c r="T25" s="1095"/>
      <c r="U25" s="1095"/>
      <c r="V25" s="1458">
        <f t="shared" si="4"/>
        <v>0.54999999999999993</v>
      </c>
      <c r="W25" s="1109">
        <f t="shared" ca="1" si="3"/>
        <v>1.7415443157938062</v>
      </c>
      <c r="X25" s="1095"/>
      <c r="Y25" s="1095"/>
      <c r="Z25" s="1095"/>
      <c r="AA25" s="1095"/>
      <c r="AB25" s="1095"/>
      <c r="AC25" s="1095"/>
      <c r="AD25" s="1095"/>
      <c r="AE25" s="1095"/>
      <c r="AF25" s="1095"/>
      <c r="AG25" s="1095"/>
      <c r="AH25" s="1095"/>
      <c r="AI25" s="1095"/>
      <c r="AJ25" s="1095"/>
      <c r="AK25" s="1095"/>
      <c r="AL25" s="1095"/>
      <c r="AM25" s="1095"/>
      <c r="AN25" s="1095"/>
      <c r="AO25" s="1095"/>
      <c r="AP25" s="1095"/>
      <c r="AQ25" s="1095"/>
      <c r="AR25" s="1095"/>
      <c r="AS25" s="1095"/>
      <c r="AT25" s="1095"/>
      <c r="AU25" s="1095"/>
      <c r="AV25" s="1095"/>
      <c r="AW25" s="1095"/>
      <c r="AX25" s="1095"/>
      <c r="AY25" s="1095"/>
      <c r="AZ25" s="1095"/>
      <c r="BA25" s="1095"/>
      <c r="BB25" s="1095"/>
      <c r="BC25" s="1095"/>
      <c r="BD25" s="1095"/>
      <c r="BE25" s="1095"/>
      <c r="BF25" s="1095"/>
      <c r="BG25" s="1095"/>
      <c r="BH25" s="1095"/>
      <c r="BI25" s="1095"/>
      <c r="BJ25" s="1095"/>
      <c r="BK25" s="1095"/>
      <c r="BL25" s="1095"/>
      <c r="BM25" s="1095"/>
      <c r="BN25" s="1095"/>
      <c r="BO25" s="1095"/>
      <c r="BP25" s="1095"/>
      <c r="BQ25" s="1095"/>
      <c r="BR25" s="1095"/>
      <c r="BS25" s="1095"/>
      <c r="BT25" s="1095"/>
      <c r="BU25" s="1095"/>
    </row>
    <row r="26" spans="1:73" x14ac:dyDescent="0.25">
      <c r="A26" s="1095"/>
      <c r="B26" s="1095"/>
      <c r="C26" s="1095"/>
      <c r="D26" s="1095"/>
      <c r="E26" s="1095"/>
      <c r="F26" s="1095"/>
      <c r="G26" s="1095"/>
      <c r="H26" s="1095"/>
      <c r="I26" s="1095"/>
      <c r="J26" s="1095"/>
      <c r="K26" s="1095"/>
      <c r="L26" s="1095"/>
      <c r="M26" s="1095"/>
      <c r="N26" s="1095"/>
      <c r="O26" s="1095"/>
      <c r="P26" s="1095"/>
      <c r="Q26" s="1095"/>
      <c r="R26" s="1095"/>
      <c r="S26" s="1095"/>
      <c r="T26" s="1095"/>
      <c r="U26" s="1095"/>
      <c r="V26" s="1458">
        <f t="shared" si="4"/>
        <v>0.6</v>
      </c>
      <c r="W26" s="1109">
        <f t="shared" ca="1" si="3"/>
        <v>1.7446232303275082</v>
      </c>
      <c r="X26" s="1095"/>
      <c r="Y26" s="1095"/>
      <c r="Z26" s="1095"/>
      <c r="AA26" s="1095"/>
      <c r="AB26" s="1095"/>
      <c r="AC26" s="1095"/>
      <c r="AD26" s="1095"/>
      <c r="AE26" s="1095"/>
      <c r="AF26" s="1095"/>
      <c r="AG26" s="1095"/>
      <c r="AH26" s="1095"/>
      <c r="AI26" s="1095"/>
      <c r="AJ26" s="1095"/>
      <c r="AK26" s="1095"/>
      <c r="AL26" s="1095"/>
      <c r="AM26" s="1095"/>
      <c r="AN26" s="1095"/>
      <c r="AO26" s="1095"/>
      <c r="AP26" s="1095"/>
      <c r="AQ26" s="1095"/>
      <c r="AR26" s="1095"/>
      <c r="AS26" s="1095"/>
      <c r="AT26" s="1095"/>
      <c r="AU26" s="1095"/>
      <c r="AV26" s="1095"/>
      <c r="AW26" s="1095"/>
      <c r="AX26" s="1095"/>
      <c r="AY26" s="1095"/>
      <c r="AZ26" s="1095"/>
      <c r="BA26" s="1095"/>
      <c r="BB26" s="1095"/>
      <c r="BC26" s="1095"/>
      <c r="BD26" s="1095"/>
      <c r="BE26" s="1095"/>
      <c r="BF26" s="1095"/>
      <c r="BG26" s="1095"/>
      <c r="BH26" s="1095"/>
      <c r="BI26" s="1095"/>
      <c r="BJ26" s="1095"/>
      <c r="BK26" s="1095"/>
      <c r="BL26" s="1095"/>
      <c r="BM26" s="1095"/>
      <c r="BN26" s="1095"/>
      <c r="BO26" s="1095"/>
      <c r="BP26" s="1095"/>
      <c r="BQ26" s="1095"/>
      <c r="BR26" s="1095"/>
      <c r="BS26" s="1095"/>
      <c r="BT26" s="1095"/>
      <c r="BU26" s="1095"/>
    </row>
    <row r="27" spans="1:73" x14ac:dyDescent="0.25">
      <c r="A27" s="1095"/>
      <c r="B27" s="1095"/>
      <c r="C27" s="1095"/>
      <c r="D27" s="1095"/>
      <c r="E27" s="1095"/>
      <c r="F27" s="1095"/>
      <c r="G27" s="1095"/>
      <c r="H27" s="1095"/>
      <c r="I27" s="1095"/>
      <c r="J27" s="1095"/>
      <c r="K27" s="1095"/>
      <c r="L27" s="1095"/>
      <c r="M27" s="1095"/>
      <c r="N27" s="1095"/>
      <c r="O27" s="1095"/>
      <c r="P27" s="1095"/>
      <c r="Q27" s="1095"/>
      <c r="R27" s="1095"/>
      <c r="S27" s="1095"/>
      <c r="T27" s="1095"/>
      <c r="U27" s="1095"/>
      <c r="V27" s="1458">
        <f t="shared" si="4"/>
        <v>0.65</v>
      </c>
      <c r="W27" s="1109">
        <f t="shared" ca="1" si="3"/>
        <v>1.7485557566169687</v>
      </c>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095"/>
      <c r="BN27" s="1095"/>
      <c r="BO27" s="1095"/>
      <c r="BP27" s="1095"/>
      <c r="BQ27" s="1095"/>
      <c r="BR27" s="1095"/>
      <c r="BS27" s="1095"/>
      <c r="BT27" s="1095"/>
      <c r="BU27" s="1095"/>
    </row>
    <row r="28" spans="1:73" x14ac:dyDescent="0.25">
      <c r="A28" s="1095"/>
      <c r="B28" s="1095"/>
      <c r="C28" s="1095"/>
      <c r="D28" s="1095"/>
      <c r="E28" s="1095"/>
      <c r="F28" s="1095"/>
      <c r="G28" s="1095"/>
      <c r="H28" s="1095"/>
      <c r="I28" s="1095"/>
      <c r="J28" s="1095"/>
      <c r="K28" s="1095"/>
      <c r="L28" s="1095"/>
      <c r="M28" s="1095"/>
      <c r="N28" s="1095"/>
      <c r="O28" s="1095"/>
      <c r="P28" s="1095"/>
      <c r="Q28" s="1095"/>
      <c r="R28" s="1095"/>
      <c r="S28" s="1095"/>
      <c r="T28" s="1095"/>
      <c r="U28" s="1095"/>
      <c r="V28" s="1458">
        <f t="shared" si="4"/>
        <v>0.70000000000000007</v>
      </c>
      <c r="W28" s="1109">
        <f t="shared" ca="1" si="3"/>
        <v>1.7525201240496668</v>
      </c>
      <c r="X28" s="1095"/>
      <c r="Y28" s="1095"/>
      <c r="Z28" s="1095"/>
      <c r="AA28" s="1095"/>
      <c r="AB28" s="1095"/>
      <c r="AC28" s="1095"/>
      <c r="AD28" s="1095"/>
      <c r="AE28" s="1095"/>
      <c r="AF28" s="1095"/>
      <c r="AG28" s="1095"/>
      <c r="AH28" s="1095"/>
      <c r="AI28" s="1095"/>
      <c r="AJ28" s="1095"/>
      <c r="AK28" s="1095"/>
      <c r="AL28" s="1095"/>
      <c r="AM28" s="1095"/>
      <c r="AN28" s="1095"/>
      <c r="AO28" s="1095"/>
      <c r="AP28" s="1095"/>
      <c r="AQ28" s="1095"/>
      <c r="AR28" s="1095"/>
      <c r="AS28" s="1095"/>
      <c r="AT28" s="1095"/>
      <c r="AU28" s="1095"/>
      <c r="AV28" s="1095"/>
      <c r="AW28" s="1095"/>
      <c r="AX28" s="1095"/>
      <c r="AY28" s="1095"/>
      <c r="AZ28" s="1095"/>
      <c r="BA28" s="1095"/>
      <c r="BB28" s="1095"/>
      <c r="BC28" s="1095"/>
      <c r="BD28" s="1095"/>
      <c r="BE28" s="1095"/>
      <c r="BF28" s="1095"/>
      <c r="BG28" s="1095"/>
      <c r="BH28" s="1095"/>
      <c r="BI28" s="1095"/>
      <c r="BJ28" s="1095"/>
      <c r="BK28" s="1095"/>
      <c r="BL28" s="1095"/>
      <c r="BM28" s="1095"/>
      <c r="BN28" s="1095"/>
      <c r="BO28" s="1095"/>
      <c r="BP28" s="1095"/>
      <c r="BQ28" s="1095"/>
      <c r="BR28" s="1095"/>
      <c r="BS28" s="1095"/>
      <c r="BT28" s="1095"/>
      <c r="BU28" s="1095"/>
    </row>
    <row r="29" spans="1:73" x14ac:dyDescent="0.25">
      <c r="A29" s="1095"/>
      <c r="B29" s="1095"/>
      <c r="C29" s="1095"/>
      <c r="D29" s="1095"/>
      <c r="E29" s="1095"/>
      <c r="F29" s="1095"/>
      <c r="G29" s="1095"/>
      <c r="H29" s="1095"/>
      <c r="I29" s="1095"/>
      <c r="J29" s="1095"/>
      <c r="K29" s="1095"/>
      <c r="L29" s="1095"/>
      <c r="M29" s="1095"/>
      <c r="N29" s="1095"/>
      <c r="O29" s="1095"/>
      <c r="P29" s="1095"/>
      <c r="Q29" s="1095"/>
      <c r="R29" s="1095"/>
      <c r="S29" s="1095"/>
      <c r="T29" s="1095"/>
      <c r="U29" s="1095"/>
      <c r="V29" s="1458">
        <f t="shared" si="4"/>
        <v>0.75000000000000011</v>
      </c>
      <c r="W29" s="1109">
        <f t="shared" ca="1" si="3"/>
        <v>1.7567709987750211</v>
      </c>
      <c r="X29" s="1095"/>
      <c r="Y29" s="1095"/>
      <c r="Z29" s="1095"/>
      <c r="AA29" s="1095"/>
      <c r="AB29" s="1095"/>
      <c r="AC29" s="1095"/>
      <c r="AD29" s="1095"/>
      <c r="AE29" s="1095"/>
      <c r="AF29" s="1095"/>
      <c r="AG29" s="1095"/>
      <c r="AH29" s="1095"/>
      <c r="AI29" s="1095"/>
      <c r="AJ29" s="1095"/>
      <c r="AK29" s="1095"/>
      <c r="AL29" s="1095"/>
      <c r="AM29" s="1095"/>
      <c r="AN29" s="1095"/>
      <c r="AO29" s="1095"/>
      <c r="AP29" s="1095"/>
      <c r="AQ29" s="1095"/>
      <c r="AR29" s="1095"/>
      <c r="AS29" s="1095"/>
      <c r="AT29" s="1095"/>
      <c r="AU29" s="1095"/>
      <c r="AV29" s="1095"/>
      <c r="AW29" s="1095"/>
      <c r="AX29" s="1095"/>
      <c r="AY29" s="1095"/>
      <c r="AZ29" s="1095"/>
      <c r="BA29" s="1095"/>
      <c r="BB29" s="1095"/>
      <c r="BC29" s="1095"/>
      <c r="BD29" s="1095"/>
      <c r="BE29" s="1095"/>
      <c r="BF29" s="1095"/>
      <c r="BG29" s="1095"/>
      <c r="BH29" s="1095"/>
      <c r="BI29" s="1095"/>
      <c r="BJ29" s="1095"/>
      <c r="BK29" s="1095"/>
      <c r="BL29" s="1095"/>
      <c r="BM29" s="1095"/>
      <c r="BN29" s="1095"/>
      <c r="BO29" s="1095"/>
      <c r="BP29" s="1095"/>
      <c r="BQ29" s="1095"/>
      <c r="BR29" s="1095"/>
      <c r="BS29" s="1095"/>
      <c r="BT29" s="1095"/>
      <c r="BU29" s="1095"/>
    </row>
    <row r="30" spans="1:73" x14ac:dyDescent="0.25">
      <c r="A30" s="1095"/>
      <c r="B30" s="1095"/>
      <c r="C30" s="1095"/>
      <c r="D30" s="1095"/>
      <c r="E30" s="1095"/>
      <c r="F30" s="1096"/>
      <c r="G30" s="1095"/>
      <c r="H30" s="1095"/>
      <c r="I30" s="1095"/>
      <c r="J30" s="1095"/>
      <c r="K30" s="1095"/>
      <c r="L30" s="1095"/>
      <c r="M30" s="1095"/>
      <c r="N30" s="1095"/>
      <c r="O30" s="1095"/>
      <c r="P30" s="1095"/>
      <c r="Q30" s="1095"/>
      <c r="R30" s="1095"/>
      <c r="S30" s="1095"/>
      <c r="T30" s="1095"/>
      <c r="U30" s="1095"/>
      <c r="V30" s="1458">
        <f t="shared" si="4"/>
        <v>0.80000000000000016</v>
      </c>
      <c r="W30" s="1109">
        <f t="shared" ca="1" si="3"/>
        <v>1.7618638790266059</v>
      </c>
      <c r="X30" s="1095"/>
      <c r="Y30" s="1095"/>
      <c r="Z30" s="1095"/>
      <c r="AA30" s="1095"/>
      <c r="AB30" s="1095"/>
      <c r="AC30" s="1095"/>
      <c r="AD30" s="1095"/>
      <c r="AE30" s="1095"/>
      <c r="AF30" s="1095"/>
      <c r="AG30" s="1095"/>
      <c r="AH30" s="1095"/>
      <c r="AI30" s="1095"/>
      <c r="AJ30" s="1095"/>
      <c r="AK30" s="1095"/>
      <c r="AL30" s="1095"/>
      <c r="AM30" s="1095"/>
      <c r="AN30" s="1095"/>
      <c r="AO30" s="1095"/>
      <c r="AP30" s="1095"/>
      <c r="AQ30" s="1095"/>
      <c r="AR30" s="1095"/>
      <c r="AS30" s="1095"/>
      <c r="AT30" s="1095"/>
      <c r="AU30" s="1095"/>
      <c r="AV30" s="1095"/>
      <c r="AW30" s="1095"/>
      <c r="AX30" s="1095"/>
      <c r="AY30" s="1095"/>
      <c r="AZ30" s="1095"/>
      <c r="BA30" s="1095"/>
      <c r="BB30" s="1095"/>
      <c r="BC30" s="1095"/>
      <c r="BD30" s="1095"/>
      <c r="BE30" s="1095"/>
      <c r="BF30" s="1095"/>
      <c r="BG30" s="1095"/>
      <c r="BH30" s="1095"/>
      <c r="BI30" s="1095"/>
      <c r="BJ30" s="1095"/>
      <c r="BK30" s="1095"/>
      <c r="BL30" s="1095"/>
      <c r="BM30" s="1095"/>
      <c r="BN30" s="1095"/>
      <c r="BO30" s="1095"/>
      <c r="BP30" s="1095"/>
      <c r="BQ30" s="1095"/>
      <c r="BR30" s="1095"/>
      <c r="BS30" s="1095"/>
      <c r="BT30" s="1095"/>
      <c r="BU30" s="1095"/>
    </row>
    <row r="31" spans="1:73" x14ac:dyDescent="0.25">
      <c r="A31" s="1095"/>
      <c r="B31" s="1095"/>
      <c r="C31" s="1095"/>
      <c r="D31" s="1095"/>
      <c r="E31" s="1095"/>
      <c r="F31" s="1095"/>
      <c r="G31" s="1095"/>
      <c r="H31" s="1095"/>
      <c r="I31" s="1095"/>
      <c r="J31" s="1095"/>
      <c r="K31" s="1095"/>
      <c r="L31" s="1095"/>
      <c r="M31" s="1095"/>
      <c r="N31" s="1095"/>
      <c r="O31" s="1095"/>
      <c r="P31" s="1095"/>
      <c r="Q31" s="1095"/>
      <c r="R31" s="1095"/>
      <c r="S31" s="1095"/>
      <c r="T31" s="1095"/>
      <c r="U31" s="1095"/>
      <c r="V31" s="1458">
        <f t="shared" si="4"/>
        <v>0.8500000000000002</v>
      </c>
      <c r="W31" s="1109">
        <f t="shared" ca="1" si="3"/>
        <v>1.7664351740284212</v>
      </c>
      <c r="X31" s="1095"/>
      <c r="Y31" s="1095"/>
      <c r="Z31" s="1095"/>
      <c r="AA31" s="1095"/>
      <c r="AB31" s="1095"/>
      <c r="AC31" s="1095"/>
      <c r="AD31" s="1095"/>
      <c r="AE31" s="1095"/>
      <c r="AF31" s="1095"/>
      <c r="AG31" s="1095"/>
      <c r="AH31" s="1095"/>
      <c r="AI31" s="1095"/>
      <c r="AJ31" s="1095"/>
      <c r="AK31" s="1095"/>
      <c r="AL31" s="1095"/>
      <c r="AM31" s="1095"/>
      <c r="AN31" s="1095"/>
      <c r="AO31" s="1095"/>
      <c r="AP31" s="1095"/>
      <c r="AQ31" s="1095"/>
      <c r="AR31" s="1095"/>
      <c r="AS31" s="1095"/>
      <c r="AT31" s="1095"/>
      <c r="AU31" s="1095"/>
      <c r="AV31" s="1095"/>
      <c r="AW31" s="1095"/>
      <c r="AX31" s="1095"/>
      <c r="AY31" s="1095"/>
      <c r="AZ31" s="1095"/>
      <c r="BA31" s="1095"/>
      <c r="BB31" s="1095"/>
      <c r="BC31" s="1095"/>
      <c r="BD31" s="1095"/>
      <c r="BE31" s="1095"/>
      <c r="BF31" s="1095"/>
      <c r="BG31" s="1095"/>
      <c r="BH31" s="1095"/>
      <c r="BI31" s="1095"/>
      <c r="BJ31" s="1095"/>
      <c r="BK31" s="1095"/>
      <c r="BL31" s="1095"/>
      <c r="BM31" s="1095"/>
      <c r="BN31" s="1095"/>
      <c r="BO31" s="1095"/>
      <c r="BP31" s="1095"/>
      <c r="BQ31" s="1095"/>
      <c r="BR31" s="1095"/>
      <c r="BS31" s="1095"/>
      <c r="BT31" s="1095"/>
      <c r="BU31" s="1095"/>
    </row>
    <row r="32" spans="1:73" x14ac:dyDescent="0.25">
      <c r="A32" s="1095"/>
      <c r="B32" s="1095"/>
      <c r="C32" s="1095"/>
      <c r="D32" s="1095"/>
      <c r="E32" s="1095"/>
      <c r="F32" s="1095"/>
      <c r="G32" s="1095"/>
      <c r="H32" s="1095"/>
      <c r="I32" s="1095"/>
      <c r="J32" s="1095"/>
      <c r="K32" s="1095"/>
      <c r="L32" s="1095"/>
      <c r="M32" s="1095"/>
      <c r="N32" s="1095"/>
      <c r="O32" s="1095"/>
      <c r="P32" s="1095"/>
      <c r="Q32" s="1095"/>
      <c r="R32" s="1095"/>
      <c r="S32" s="1095"/>
      <c r="T32" s="1095"/>
      <c r="U32" s="1095"/>
      <c r="V32" s="1458">
        <f t="shared" si="4"/>
        <v>0.90000000000000024</v>
      </c>
      <c r="W32" s="1109">
        <f t="shared" ca="1" si="3"/>
        <v>1.7737729549954253</v>
      </c>
      <c r="X32" s="1095"/>
      <c r="Y32" s="1095"/>
      <c r="Z32" s="1095"/>
      <c r="AA32" s="1095"/>
      <c r="AB32" s="1095"/>
      <c r="AC32" s="1095"/>
      <c r="AD32" s="1095"/>
      <c r="AE32" s="1095"/>
      <c r="AF32" s="1095"/>
      <c r="AG32" s="1095"/>
      <c r="AH32" s="1095"/>
      <c r="AI32" s="1095"/>
      <c r="AJ32" s="1095"/>
      <c r="AK32" s="1095"/>
      <c r="AL32" s="1095"/>
      <c r="AM32" s="1095"/>
      <c r="AN32" s="1095"/>
      <c r="AO32" s="1095"/>
      <c r="AP32" s="1095"/>
      <c r="AQ32" s="1095"/>
      <c r="AR32" s="1095"/>
      <c r="AS32" s="1095"/>
      <c r="AT32" s="1095"/>
      <c r="AU32" s="1095"/>
      <c r="AV32" s="1095"/>
      <c r="AW32" s="1095"/>
      <c r="AX32" s="1095"/>
      <c r="AY32" s="1095"/>
      <c r="AZ32" s="1095"/>
      <c r="BA32" s="1095"/>
      <c r="BB32" s="1095"/>
      <c r="BC32" s="1095"/>
      <c r="BD32" s="1095"/>
      <c r="BE32" s="1095"/>
      <c r="BF32" s="1095"/>
      <c r="BG32" s="1095"/>
      <c r="BH32" s="1095"/>
      <c r="BI32" s="1095"/>
      <c r="BJ32" s="1095"/>
      <c r="BK32" s="1095"/>
      <c r="BL32" s="1095"/>
      <c r="BM32" s="1095"/>
      <c r="BN32" s="1095"/>
      <c r="BO32" s="1095"/>
      <c r="BP32" s="1095"/>
      <c r="BQ32" s="1095"/>
      <c r="BR32" s="1095"/>
      <c r="BS32" s="1095"/>
      <c r="BT32" s="1095"/>
      <c r="BU32" s="1095"/>
    </row>
    <row r="33" spans="1:73" x14ac:dyDescent="0.25">
      <c r="A33" s="1095"/>
      <c r="B33" s="1095"/>
      <c r="C33" s="1095"/>
      <c r="D33" s="1095"/>
      <c r="E33" s="1095"/>
      <c r="F33" s="1095"/>
      <c r="G33" s="1095"/>
      <c r="H33" s="1095"/>
      <c r="I33" s="1095"/>
      <c r="J33" s="1095"/>
      <c r="K33" s="1095"/>
      <c r="L33" s="1095"/>
      <c r="M33" s="1095"/>
      <c r="N33" s="1095"/>
      <c r="O33" s="1095"/>
      <c r="P33" s="1095"/>
      <c r="Q33" s="1095"/>
      <c r="R33" s="1095"/>
      <c r="S33" s="1095"/>
      <c r="T33" s="1095"/>
      <c r="U33" s="1095"/>
      <c r="V33" s="1459">
        <f t="shared" si="4"/>
        <v>0.95000000000000029</v>
      </c>
      <c r="W33" s="1460">
        <f t="shared" ca="1" si="3"/>
        <v>1.783633564451788</v>
      </c>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095"/>
      <c r="BN33" s="1095"/>
      <c r="BO33" s="1095"/>
      <c r="BP33" s="1095"/>
      <c r="BQ33" s="1095"/>
      <c r="BR33" s="1095"/>
      <c r="BS33" s="1095"/>
      <c r="BT33" s="1095"/>
      <c r="BU33" s="1095"/>
    </row>
    <row r="34" spans="1:73" x14ac:dyDescent="0.25">
      <c r="A34" s="1095"/>
      <c r="B34" s="1095"/>
      <c r="C34" s="1095"/>
      <c r="D34" s="1095"/>
      <c r="E34" s="1095"/>
      <c r="F34" s="1095"/>
      <c r="G34" s="1095"/>
      <c r="H34" s="1095"/>
      <c r="I34" s="1095"/>
      <c r="J34" s="1095"/>
      <c r="K34" s="1095"/>
      <c r="L34" s="1095"/>
      <c r="M34" s="1095"/>
      <c r="N34" s="1095"/>
      <c r="O34" s="1095"/>
      <c r="P34" s="1095"/>
      <c r="Q34" s="1095"/>
      <c r="R34" s="1095"/>
      <c r="S34" s="1095"/>
      <c r="T34" s="1095"/>
      <c r="U34" s="1095"/>
      <c r="V34" s="1458">
        <v>1</v>
      </c>
      <c r="W34" s="1109">
        <f ca="1">+MAX(OFFSET($B$251:$B$2250,0,$C$194))*$C$198</f>
        <v>1.8190006608294884</v>
      </c>
      <c r="X34" s="1095"/>
      <c r="Y34" s="1095"/>
      <c r="Z34" s="1095"/>
      <c r="AA34" s="1095"/>
      <c r="AB34" s="1095"/>
      <c r="AC34" s="1095"/>
      <c r="AD34" s="1095"/>
      <c r="AE34" s="1095"/>
      <c r="AF34" s="1095"/>
      <c r="AG34" s="1095"/>
      <c r="AH34" s="1095"/>
      <c r="AI34" s="1095"/>
      <c r="AJ34" s="1095"/>
      <c r="AK34" s="1095"/>
      <c r="AL34" s="1095"/>
      <c r="AM34" s="1095"/>
      <c r="AN34" s="1095"/>
      <c r="AO34" s="1095"/>
      <c r="AP34" s="1095"/>
      <c r="AQ34" s="1095"/>
      <c r="AR34" s="1095"/>
      <c r="AS34" s="1095"/>
      <c r="AT34" s="1095"/>
      <c r="AU34" s="1095"/>
      <c r="AV34" s="1095"/>
      <c r="AW34" s="1095"/>
      <c r="AX34" s="1095"/>
      <c r="AY34" s="1095"/>
      <c r="AZ34" s="1095"/>
      <c r="BA34" s="1095"/>
      <c r="BB34" s="1095"/>
      <c r="BC34" s="1095"/>
      <c r="BD34" s="1095"/>
      <c r="BE34" s="1095"/>
      <c r="BF34" s="1095"/>
      <c r="BG34" s="1095"/>
      <c r="BH34" s="1095"/>
      <c r="BI34" s="1095"/>
      <c r="BJ34" s="1095"/>
      <c r="BK34" s="1095"/>
      <c r="BL34" s="1095"/>
      <c r="BM34" s="1095"/>
      <c r="BN34" s="1095"/>
      <c r="BO34" s="1095"/>
      <c r="BP34" s="1095"/>
      <c r="BQ34" s="1095"/>
      <c r="BR34" s="1095"/>
      <c r="BS34" s="1095"/>
      <c r="BT34" s="1095"/>
      <c r="BU34" s="1095"/>
    </row>
    <row r="35" spans="1:73" ht="13" x14ac:dyDescent="0.3">
      <c r="A35" s="1095"/>
      <c r="B35" s="1095"/>
      <c r="C35" s="1095"/>
      <c r="D35" s="1095"/>
      <c r="E35" s="1095"/>
      <c r="F35" s="1095"/>
      <c r="G35" s="1095"/>
      <c r="H35" s="1095"/>
      <c r="I35" s="1095"/>
      <c r="J35" s="1095"/>
      <c r="K35" s="1095"/>
      <c r="L35" s="1095"/>
      <c r="M35" s="1230"/>
      <c r="N35" s="1095"/>
      <c r="O35" s="1095"/>
      <c r="P35" s="1095"/>
      <c r="Q35" s="1095"/>
      <c r="R35" s="1095"/>
      <c r="S35" s="1095"/>
      <c r="T35" s="1095"/>
      <c r="U35" s="1095"/>
      <c r="V35" s="1095"/>
      <c r="W35" s="1095"/>
      <c r="X35" s="1095"/>
      <c r="Y35" s="1095"/>
      <c r="Z35" s="1095"/>
      <c r="AA35" s="1095"/>
      <c r="AB35" s="1095"/>
      <c r="AC35" s="1095"/>
      <c r="AD35" s="1095"/>
      <c r="AE35" s="1095"/>
      <c r="AF35" s="1095"/>
      <c r="AG35" s="1095"/>
      <c r="AH35" s="1095"/>
      <c r="AI35" s="1095"/>
      <c r="AJ35" s="1095"/>
      <c r="AK35" s="1095"/>
      <c r="AL35" s="1095"/>
      <c r="AM35" s="1095"/>
      <c r="AN35" s="1095"/>
      <c r="AO35" s="1095"/>
      <c r="AP35" s="1095"/>
      <c r="AQ35" s="1095"/>
      <c r="AR35" s="1095"/>
      <c r="AS35" s="1095"/>
      <c r="AT35" s="1095"/>
      <c r="AU35" s="1095"/>
      <c r="AV35" s="1095"/>
      <c r="AW35" s="1095"/>
      <c r="AX35" s="1095"/>
      <c r="AY35" s="1095"/>
      <c r="AZ35" s="1095"/>
      <c r="BA35" s="1095"/>
      <c r="BB35" s="1095"/>
      <c r="BC35" s="1095"/>
      <c r="BD35" s="1095"/>
      <c r="BE35" s="1095"/>
      <c r="BF35" s="1095"/>
      <c r="BG35" s="1095"/>
      <c r="BH35" s="1095"/>
      <c r="BI35" s="1095"/>
      <c r="BJ35" s="1095"/>
      <c r="BK35" s="1095"/>
      <c r="BL35" s="1095"/>
      <c r="BM35" s="1095"/>
      <c r="BN35" s="1095"/>
      <c r="BO35" s="1095"/>
      <c r="BP35" s="1095"/>
      <c r="BQ35" s="1095"/>
      <c r="BR35" s="1095"/>
      <c r="BS35" s="1095"/>
      <c r="BT35" s="1095"/>
      <c r="BU35" s="1095"/>
    </row>
    <row r="36" spans="1:73" x14ac:dyDescent="0.25">
      <c r="A36" s="1095"/>
      <c r="B36" s="1095"/>
      <c r="C36" s="1095"/>
      <c r="D36" s="1095"/>
      <c r="E36" s="1095"/>
      <c r="F36" s="1095"/>
      <c r="G36" s="1095"/>
      <c r="H36" s="1095"/>
      <c r="I36" s="1095"/>
      <c r="J36" s="1095"/>
      <c r="K36" s="1095"/>
      <c r="L36" s="1095"/>
      <c r="M36" s="1095"/>
      <c r="N36" s="1095"/>
      <c r="O36" s="1095"/>
      <c r="P36" s="1095"/>
      <c r="Q36" s="1095"/>
      <c r="R36" s="1095"/>
      <c r="S36" s="1095"/>
      <c r="T36" s="1095"/>
      <c r="U36" s="1095"/>
      <c r="V36" s="1095"/>
      <c r="W36" s="1095"/>
      <c r="X36" s="1095"/>
      <c r="Y36" s="1095"/>
      <c r="Z36" s="1095"/>
      <c r="AA36" s="1095"/>
      <c r="AB36" s="1095"/>
      <c r="AC36" s="1095"/>
      <c r="AD36" s="1095"/>
      <c r="AE36" s="1095"/>
      <c r="AF36" s="1095"/>
      <c r="AG36" s="1095"/>
      <c r="AH36" s="1095"/>
      <c r="AI36" s="1095"/>
      <c r="AJ36" s="1095"/>
      <c r="AK36" s="1095"/>
      <c r="AL36" s="1095"/>
      <c r="AM36" s="1095"/>
      <c r="AN36" s="1095"/>
      <c r="AO36" s="1095"/>
      <c r="AP36" s="1095"/>
      <c r="AQ36" s="1095"/>
      <c r="AR36" s="1095"/>
      <c r="AS36" s="1095"/>
      <c r="AT36" s="1095"/>
      <c r="AU36" s="1095"/>
      <c r="AV36" s="1095"/>
      <c r="AW36" s="1095"/>
      <c r="AX36" s="1095"/>
      <c r="AY36" s="1095"/>
      <c r="AZ36" s="1095"/>
      <c r="BA36" s="1095"/>
      <c r="BB36" s="1095"/>
      <c r="BC36" s="1095"/>
      <c r="BD36" s="1095"/>
      <c r="BE36" s="1095"/>
      <c r="BF36" s="1095"/>
      <c r="BG36" s="1095"/>
      <c r="BH36" s="1095"/>
      <c r="BI36" s="1095"/>
      <c r="BJ36" s="1095"/>
      <c r="BK36" s="1095"/>
      <c r="BL36" s="1095"/>
      <c r="BM36" s="1095"/>
      <c r="BN36" s="1095"/>
      <c r="BO36" s="1095"/>
      <c r="BP36" s="1095"/>
      <c r="BQ36" s="1095"/>
      <c r="BR36" s="1095"/>
      <c r="BS36" s="1095"/>
      <c r="BT36" s="1095"/>
      <c r="BU36" s="1095"/>
    </row>
    <row r="37" spans="1:73" x14ac:dyDescent="0.25">
      <c r="A37" s="1095"/>
      <c r="B37" s="1095"/>
      <c r="C37" s="1095"/>
      <c r="D37" s="1095"/>
      <c r="E37" s="1095"/>
      <c r="F37" s="1095"/>
      <c r="G37" s="1095"/>
      <c r="H37" s="1095"/>
      <c r="I37" s="1095"/>
      <c r="J37" s="1095"/>
      <c r="K37" s="1095"/>
      <c r="L37" s="1095"/>
      <c r="M37" s="1095"/>
      <c r="N37" s="1095"/>
      <c r="O37" s="1095"/>
      <c r="P37" s="1095"/>
      <c r="Q37" s="1095"/>
      <c r="R37" s="1095"/>
      <c r="S37" s="1095"/>
      <c r="T37" s="1095"/>
      <c r="U37" s="1095"/>
      <c r="V37" s="1095"/>
      <c r="W37" s="1095"/>
      <c r="X37" s="1095"/>
      <c r="Y37" s="1095"/>
      <c r="Z37" s="1095"/>
      <c r="AA37" s="1095"/>
      <c r="AB37" s="1095"/>
      <c r="AC37" s="1095"/>
      <c r="AD37" s="1095"/>
      <c r="AE37" s="1095"/>
      <c r="AF37" s="1095"/>
      <c r="AG37" s="1095"/>
      <c r="AH37" s="1095"/>
      <c r="AI37" s="1095"/>
      <c r="AJ37" s="1095"/>
      <c r="AK37" s="1095"/>
      <c r="AL37" s="1095"/>
      <c r="AM37" s="1095"/>
      <c r="AN37" s="1095"/>
      <c r="AO37" s="1095"/>
      <c r="AP37" s="1095"/>
      <c r="AQ37" s="1095"/>
      <c r="AR37" s="1095"/>
      <c r="AS37" s="1095"/>
      <c r="AT37" s="1095"/>
      <c r="AU37" s="1095"/>
      <c r="AV37" s="1095"/>
      <c r="AW37" s="1095"/>
      <c r="AX37" s="1095"/>
      <c r="AY37" s="1095"/>
      <c r="AZ37" s="1095"/>
      <c r="BA37" s="1095"/>
      <c r="BB37" s="1095"/>
      <c r="BC37" s="1095"/>
      <c r="BD37" s="1095"/>
      <c r="BE37" s="1095"/>
      <c r="BF37" s="1095"/>
      <c r="BG37" s="1095"/>
      <c r="BH37" s="1095"/>
      <c r="BI37" s="1095"/>
      <c r="BJ37" s="1095"/>
      <c r="BK37" s="1095"/>
      <c r="BL37" s="1095"/>
      <c r="BM37" s="1095"/>
      <c r="BN37" s="1095"/>
      <c r="BO37" s="1095"/>
      <c r="BP37" s="1095"/>
      <c r="BQ37" s="1095"/>
      <c r="BR37" s="1095"/>
      <c r="BS37" s="1095"/>
      <c r="BT37" s="1095"/>
      <c r="BU37" s="1095"/>
    </row>
    <row r="38" spans="1:73" x14ac:dyDescent="0.25">
      <c r="A38" s="1095"/>
      <c r="B38" s="1095"/>
      <c r="C38" s="1095"/>
      <c r="D38" s="1095"/>
      <c r="E38" s="1095"/>
      <c r="F38" s="1095"/>
      <c r="G38" s="1095"/>
      <c r="H38" s="1095"/>
      <c r="I38" s="1095"/>
      <c r="J38" s="1095"/>
      <c r="K38" s="1095"/>
      <c r="L38" s="1095"/>
      <c r="M38" s="1095"/>
      <c r="N38" s="1095"/>
      <c r="O38" s="1095"/>
      <c r="P38" s="1095"/>
      <c r="Q38" s="1095"/>
      <c r="R38" s="1095"/>
      <c r="S38" s="1095"/>
      <c r="T38" s="1095"/>
      <c r="U38" s="1095"/>
      <c r="V38" s="1095"/>
      <c r="W38" s="1095"/>
      <c r="X38" s="1095"/>
      <c r="Y38" s="1095"/>
      <c r="Z38" s="1095"/>
      <c r="AA38" s="1095"/>
      <c r="AB38" s="1095"/>
      <c r="AC38" s="1095"/>
      <c r="AD38" s="1095"/>
      <c r="AE38" s="1095"/>
      <c r="AF38" s="1095"/>
      <c r="AG38" s="1095"/>
      <c r="AH38" s="1095"/>
      <c r="AI38" s="1095"/>
      <c r="AJ38" s="1095"/>
      <c r="AK38" s="1095"/>
      <c r="AL38" s="1095"/>
      <c r="AM38" s="1095"/>
      <c r="AN38" s="1095"/>
      <c r="AO38" s="1095"/>
      <c r="AP38" s="1095"/>
      <c r="AQ38" s="1095"/>
      <c r="AR38" s="1095"/>
      <c r="AS38" s="1095"/>
      <c r="AT38" s="1095"/>
      <c r="AU38" s="1095"/>
      <c r="AV38" s="1095"/>
      <c r="AW38" s="1095"/>
      <c r="AX38" s="1095"/>
      <c r="AY38" s="1095"/>
      <c r="AZ38" s="1095"/>
      <c r="BA38" s="1095"/>
      <c r="BB38" s="1095"/>
      <c r="BC38" s="1095"/>
      <c r="BD38" s="1095"/>
      <c r="BE38" s="1095"/>
      <c r="BF38" s="1095"/>
      <c r="BG38" s="1095"/>
      <c r="BH38" s="1095"/>
      <c r="BI38" s="1095"/>
      <c r="BJ38" s="1095"/>
      <c r="BK38" s="1095"/>
      <c r="BL38" s="1095"/>
      <c r="BM38" s="1095"/>
      <c r="BN38" s="1095"/>
      <c r="BO38" s="1095"/>
      <c r="BP38" s="1095"/>
      <c r="BQ38" s="1095"/>
      <c r="BR38" s="1095"/>
      <c r="BS38" s="1095"/>
      <c r="BT38" s="1095"/>
      <c r="BU38" s="1095"/>
    </row>
    <row r="39" spans="1:73" x14ac:dyDescent="0.25">
      <c r="A39" s="1095"/>
      <c r="B39" s="1095"/>
      <c r="C39" s="1095"/>
      <c r="D39" s="1095"/>
      <c r="E39" s="1095"/>
      <c r="F39" s="1095"/>
      <c r="G39" s="1095"/>
      <c r="H39" s="1095"/>
      <c r="I39" s="1095"/>
      <c r="J39" s="1095"/>
      <c r="K39" s="1095"/>
      <c r="L39" s="1095"/>
      <c r="M39" s="1095"/>
      <c r="N39" s="1095"/>
      <c r="O39" s="1095"/>
      <c r="P39" s="1095"/>
      <c r="Q39" s="1095"/>
      <c r="R39" s="1095"/>
      <c r="S39" s="1095"/>
      <c r="T39" s="1095"/>
      <c r="U39" s="1095"/>
      <c r="V39" s="1095"/>
      <c r="W39" s="1095"/>
      <c r="X39" s="1095"/>
      <c r="Y39" s="1095"/>
      <c r="Z39" s="1095"/>
      <c r="AA39" s="1095"/>
      <c r="AB39" s="1095"/>
      <c r="AC39" s="1095"/>
      <c r="AD39" s="1095"/>
      <c r="AE39" s="1095"/>
      <c r="AF39" s="1095"/>
      <c r="AG39" s="1095"/>
      <c r="AH39" s="1095"/>
      <c r="AI39" s="1095"/>
      <c r="AJ39" s="1095"/>
      <c r="AK39" s="1095"/>
      <c r="AL39" s="1095"/>
      <c r="AM39" s="1095"/>
      <c r="AN39" s="1095"/>
      <c r="AO39" s="1095"/>
      <c r="AP39" s="1095"/>
      <c r="AQ39" s="1095"/>
      <c r="AR39" s="1095"/>
      <c r="AS39" s="1095"/>
      <c r="AT39" s="1095"/>
      <c r="AU39" s="1095"/>
      <c r="AV39" s="1095"/>
      <c r="AW39" s="1095"/>
      <c r="AX39" s="1095"/>
      <c r="AY39" s="1095"/>
      <c r="AZ39" s="1095"/>
      <c r="BA39" s="1095"/>
      <c r="BB39" s="1095"/>
      <c r="BC39" s="1095"/>
      <c r="BD39" s="1095"/>
      <c r="BE39" s="1095"/>
      <c r="BF39" s="1095"/>
      <c r="BG39" s="1095"/>
      <c r="BH39" s="1095"/>
      <c r="BI39" s="1095"/>
      <c r="BJ39" s="1095"/>
      <c r="BK39" s="1095"/>
      <c r="BL39" s="1095"/>
      <c r="BM39" s="1095"/>
      <c r="BN39" s="1095"/>
      <c r="BO39" s="1095"/>
      <c r="BP39" s="1095"/>
      <c r="BQ39" s="1095"/>
      <c r="BR39" s="1095"/>
      <c r="BS39" s="1095"/>
      <c r="BT39" s="1095"/>
      <c r="BU39" s="1095"/>
    </row>
    <row r="40" spans="1:73" x14ac:dyDescent="0.25">
      <c r="A40" s="1095"/>
      <c r="B40" s="1095"/>
      <c r="C40" s="1095"/>
      <c r="D40" s="1095"/>
      <c r="E40" s="1095"/>
      <c r="F40" s="1095"/>
      <c r="G40" s="1095"/>
      <c r="H40" s="1095"/>
      <c r="I40" s="1095"/>
      <c r="J40" s="1095"/>
      <c r="K40" s="1095"/>
      <c r="L40" s="1095"/>
      <c r="M40" s="1095"/>
      <c r="N40" s="1095"/>
      <c r="O40" s="1095"/>
      <c r="P40" s="1095"/>
      <c r="Q40" s="1095"/>
      <c r="R40" s="1095"/>
      <c r="S40" s="1095"/>
      <c r="T40" s="1095"/>
      <c r="U40" s="1095"/>
      <c r="V40" s="1095"/>
      <c r="W40" s="1095"/>
      <c r="X40" s="1095"/>
      <c r="Y40" s="1095"/>
      <c r="Z40" s="1095"/>
      <c r="AA40" s="1095"/>
      <c r="AB40" s="1095"/>
      <c r="AC40" s="1095"/>
      <c r="AD40" s="1095"/>
      <c r="AE40" s="1095"/>
      <c r="AF40" s="1095"/>
      <c r="AG40" s="1095"/>
      <c r="AH40" s="1095"/>
      <c r="AI40" s="1095"/>
      <c r="AJ40" s="1095"/>
      <c r="AK40" s="1095"/>
      <c r="AL40" s="1095"/>
      <c r="AM40" s="1095"/>
      <c r="AN40" s="1095"/>
      <c r="AO40" s="1095"/>
      <c r="AP40" s="1095"/>
      <c r="AQ40" s="1095"/>
      <c r="AR40" s="1095"/>
      <c r="AS40" s="1095"/>
      <c r="AT40" s="1095"/>
      <c r="AU40" s="1095"/>
      <c r="AV40" s="1095"/>
      <c r="AW40" s="1095"/>
      <c r="AX40" s="1095"/>
      <c r="AY40" s="1095"/>
      <c r="AZ40" s="1095"/>
      <c r="BA40" s="1095"/>
      <c r="BB40" s="1095"/>
      <c r="BC40" s="1095"/>
      <c r="BD40" s="1095"/>
      <c r="BE40" s="1095"/>
      <c r="BF40" s="1095"/>
      <c r="BG40" s="1095"/>
      <c r="BH40" s="1095"/>
      <c r="BI40" s="1095"/>
      <c r="BJ40" s="1095"/>
      <c r="BK40" s="1095"/>
      <c r="BL40" s="1095"/>
      <c r="BM40" s="1095"/>
      <c r="BN40" s="1095"/>
      <c r="BO40" s="1095"/>
      <c r="BP40" s="1095"/>
      <c r="BQ40" s="1095"/>
      <c r="BR40" s="1095"/>
      <c r="BS40" s="1095"/>
      <c r="BT40" s="1095"/>
      <c r="BU40" s="1095"/>
    </row>
    <row r="41" spans="1:73" x14ac:dyDescent="0.25">
      <c r="A41" s="1095"/>
      <c r="B41" s="1095"/>
      <c r="C41" s="1095"/>
      <c r="D41" s="1095"/>
      <c r="E41" s="1095"/>
      <c r="F41" s="1095"/>
      <c r="G41" s="1095"/>
      <c r="H41" s="1095"/>
      <c r="I41" s="1095"/>
      <c r="J41" s="1095"/>
      <c r="K41" s="1095"/>
      <c r="L41" s="1095"/>
      <c r="M41" s="1095"/>
      <c r="N41" s="1095"/>
      <c r="O41" s="1095"/>
      <c r="P41" s="1095"/>
      <c r="Q41" s="1095"/>
      <c r="R41" s="1095"/>
      <c r="S41" s="1095"/>
      <c r="T41" s="1095"/>
      <c r="U41" s="1095"/>
      <c r="V41" s="1095"/>
      <c r="W41" s="1095"/>
      <c r="X41" s="1095"/>
      <c r="Y41" s="1095"/>
      <c r="Z41" s="1095"/>
      <c r="AA41" s="1095"/>
      <c r="AB41" s="1095"/>
      <c r="AC41" s="1095"/>
      <c r="AD41" s="1095"/>
      <c r="AE41" s="1095"/>
      <c r="AF41" s="1095"/>
      <c r="AG41" s="1095"/>
      <c r="AH41" s="1095"/>
      <c r="AI41" s="1095"/>
      <c r="AJ41" s="1095"/>
      <c r="AK41" s="1095"/>
      <c r="AL41" s="1095"/>
      <c r="AM41" s="1095"/>
      <c r="AN41" s="1095"/>
      <c r="AO41" s="1095"/>
      <c r="AP41" s="1095"/>
      <c r="AQ41" s="1095"/>
      <c r="AR41" s="1095"/>
      <c r="AS41" s="1095"/>
      <c r="AT41" s="1095"/>
      <c r="AU41" s="1095"/>
      <c r="AV41" s="1095"/>
      <c r="AW41" s="1095"/>
      <c r="AX41" s="1095"/>
      <c r="AY41" s="1095"/>
      <c r="AZ41" s="1095"/>
      <c r="BA41" s="1095"/>
      <c r="BB41" s="1095"/>
      <c r="BC41" s="1095"/>
      <c r="BD41" s="1095"/>
      <c r="BE41" s="1095"/>
      <c r="BF41" s="1095"/>
      <c r="BG41" s="1095"/>
      <c r="BH41" s="1095"/>
      <c r="BI41" s="1095"/>
      <c r="BJ41" s="1095"/>
      <c r="BK41" s="1095"/>
      <c r="BL41" s="1095"/>
      <c r="BM41" s="1095"/>
      <c r="BN41" s="1095"/>
      <c r="BO41" s="1095"/>
      <c r="BP41" s="1095"/>
      <c r="BQ41" s="1095"/>
      <c r="BR41" s="1095"/>
      <c r="BS41" s="1095"/>
      <c r="BT41" s="1095"/>
      <c r="BU41" s="1095"/>
    </row>
    <row r="42" spans="1:73" x14ac:dyDescent="0.25">
      <c r="A42" s="1095"/>
      <c r="B42" s="1095"/>
      <c r="C42" s="1095"/>
      <c r="D42" s="1095"/>
      <c r="E42" s="1095"/>
      <c r="F42" s="1095"/>
      <c r="G42" s="1095"/>
      <c r="H42" s="1095"/>
      <c r="I42" s="1095"/>
      <c r="J42" s="1095"/>
      <c r="K42" s="1095"/>
      <c r="L42" s="1095"/>
      <c r="M42" s="1095"/>
      <c r="N42" s="1095"/>
      <c r="O42" s="1095"/>
      <c r="P42" s="1095"/>
      <c r="Q42" s="1095"/>
      <c r="R42" s="1095"/>
      <c r="S42" s="1095"/>
      <c r="T42" s="1095"/>
      <c r="U42" s="1095"/>
      <c r="V42" s="1095"/>
      <c r="W42" s="1095"/>
      <c r="X42" s="1095"/>
      <c r="Y42" s="1095"/>
      <c r="Z42" s="1095"/>
      <c r="AA42" s="1095"/>
      <c r="AB42" s="1095"/>
      <c r="AC42" s="1095"/>
      <c r="AD42" s="1095"/>
      <c r="AE42" s="1095"/>
      <c r="AF42" s="1095"/>
      <c r="AG42" s="1095"/>
      <c r="AH42" s="1095"/>
      <c r="AI42" s="1095"/>
      <c r="AJ42" s="1095"/>
      <c r="AK42" s="1095"/>
      <c r="AL42" s="1095"/>
      <c r="AM42" s="1095"/>
      <c r="AN42" s="1095"/>
      <c r="AO42" s="1095"/>
      <c r="AP42" s="1095"/>
      <c r="AQ42" s="1095"/>
      <c r="AR42" s="1095"/>
      <c r="AS42" s="1095"/>
      <c r="AT42" s="1095"/>
      <c r="AU42" s="1095"/>
      <c r="AV42" s="1095"/>
      <c r="AW42" s="1095"/>
      <c r="AX42" s="1095"/>
      <c r="AY42" s="1095"/>
      <c r="AZ42" s="1095"/>
      <c r="BA42" s="1095"/>
      <c r="BB42" s="1095"/>
      <c r="BC42" s="1095"/>
      <c r="BD42" s="1095"/>
      <c r="BE42" s="1095"/>
      <c r="BF42" s="1095"/>
      <c r="BG42" s="1095"/>
      <c r="BH42" s="1095"/>
      <c r="BI42" s="1095"/>
      <c r="BJ42" s="1095"/>
      <c r="BK42" s="1095"/>
      <c r="BL42" s="1095"/>
      <c r="BM42" s="1095"/>
      <c r="BN42" s="1095"/>
      <c r="BO42" s="1095"/>
      <c r="BP42" s="1095"/>
      <c r="BQ42" s="1095"/>
      <c r="BR42" s="1095"/>
      <c r="BS42" s="1095"/>
      <c r="BT42" s="1095"/>
      <c r="BU42" s="1095"/>
    </row>
    <row r="43" spans="1:73" x14ac:dyDescent="0.25">
      <c r="A43" s="1095"/>
      <c r="B43" s="1095"/>
      <c r="C43" s="1095"/>
      <c r="D43" s="1095"/>
      <c r="E43" s="1095"/>
      <c r="F43" s="1095"/>
      <c r="G43" s="1095"/>
      <c r="H43" s="1095"/>
      <c r="I43" s="1095"/>
      <c r="J43" s="1095"/>
      <c r="K43" s="1095"/>
      <c r="L43" s="1095"/>
      <c r="M43" s="1095"/>
      <c r="N43" s="1095"/>
      <c r="O43" s="1095"/>
      <c r="P43" s="1095"/>
      <c r="Q43" s="1095"/>
      <c r="R43" s="1095"/>
      <c r="S43" s="1095"/>
      <c r="T43" s="1095"/>
      <c r="U43" s="1095"/>
      <c r="V43" s="1095"/>
      <c r="W43" s="1095"/>
      <c r="X43" s="1095"/>
      <c r="Y43" s="1095"/>
      <c r="Z43" s="1095"/>
      <c r="AA43" s="1095"/>
      <c r="AB43" s="1095"/>
      <c r="AC43" s="1095"/>
      <c r="AD43" s="1095"/>
      <c r="AE43" s="1095"/>
      <c r="AF43" s="1095"/>
      <c r="AG43" s="1095"/>
      <c r="AH43" s="1095"/>
      <c r="AI43" s="1095"/>
      <c r="AJ43" s="1095"/>
      <c r="AK43" s="1095"/>
      <c r="AL43" s="1095"/>
      <c r="AM43" s="1095"/>
      <c r="AN43" s="1095"/>
      <c r="AO43" s="1095"/>
      <c r="AP43" s="1095"/>
      <c r="AQ43" s="1095"/>
      <c r="AR43" s="1095"/>
      <c r="AS43" s="1095"/>
      <c r="AT43" s="1095"/>
      <c r="AU43" s="1095"/>
      <c r="AV43" s="1095"/>
      <c r="AW43" s="1095"/>
      <c r="AX43" s="1095"/>
      <c r="AY43" s="1095"/>
      <c r="AZ43" s="1095"/>
      <c r="BA43" s="1095"/>
      <c r="BB43" s="1095"/>
      <c r="BC43" s="1095"/>
      <c r="BD43" s="1095"/>
      <c r="BE43" s="1095"/>
      <c r="BF43" s="1095"/>
      <c r="BG43" s="1095"/>
      <c r="BH43" s="1095"/>
      <c r="BI43" s="1095"/>
      <c r="BJ43" s="1095"/>
      <c r="BK43" s="1095"/>
      <c r="BL43" s="1095"/>
      <c r="BM43" s="1095"/>
      <c r="BN43" s="1095"/>
      <c r="BO43" s="1095"/>
      <c r="BP43" s="1095"/>
      <c r="BQ43" s="1095"/>
      <c r="BR43" s="1095"/>
      <c r="BS43" s="1095"/>
      <c r="BT43" s="1095"/>
      <c r="BU43" s="1095"/>
    </row>
    <row r="44" spans="1:73" x14ac:dyDescent="0.25">
      <c r="A44" s="1095"/>
      <c r="B44" s="1095"/>
      <c r="C44" s="1095"/>
      <c r="D44" s="1095"/>
      <c r="E44" s="1095"/>
      <c r="F44" s="1095"/>
      <c r="G44" s="1095"/>
      <c r="H44" s="1095"/>
      <c r="I44" s="1095"/>
      <c r="J44" s="1095"/>
      <c r="K44" s="1095"/>
      <c r="L44" s="1095"/>
      <c r="M44" s="1095"/>
      <c r="N44" s="1095"/>
      <c r="O44" s="1095"/>
      <c r="P44" s="1095"/>
      <c r="Q44" s="1095"/>
      <c r="R44" s="1095"/>
      <c r="S44" s="1095"/>
      <c r="T44" s="1095"/>
      <c r="U44" s="1095"/>
      <c r="V44" s="1095"/>
      <c r="W44" s="1095"/>
      <c r="X44" s="1095"/>
      <c r="Y44" s="1095"/>
      <c r="Z44" s="1095"/>
      <c r="AA44" s="1095"/>
      <c r="AB44" s="1095"/>
      <c r="AC44" s="1095"/>
      <c r="AD44" s="1095"/>
      <c r="AE44" s="1095"/>
      <c r="AF44" s="1095"/>
      <c r="AG44" s="1095"/>
      <c r="AH44" s="1095"/>
      <c r="AI44" s="1095"/>
      <c r="AJ44" s="1095"/>
      <c r="AK44" s="1095"/>
      <c r="AL44" s="1095"/>
      <c r="AM44" s="1095"/>
      <c r="AN44" s="1095"/>
      <c r="AO44" s="1095"/>
      <c r="AP44" s="1095"/>
      <c r="AQ44" s="1095"/>
      <c r="AR44" s="1095"/>
      <c r="AS44" s="1095"/>
      <c r="AT44" s="1095"/>
      <c r="AU44" s="1095"/>
      <c r="AV44" s="1095"/>
      <c r="AW44" s="1095"/>
      <c r="AX44" s="1095"/>
      <c r="AY44" s="1095"/>
      <c r="AZ44" s="1095"/>
      <c r="BA44" s="1095"/>
      <c r="BB44" s="1095"/>
      <c r="BC44" s="1095"/>
      <c r="BD44" s="1095"/>
      <c r="BE44" s="1095"/>
      <c r="BF44" s="1095"/>
      <c r="BG44" s="1095"/>
      <c r="BH44" s="1095"/>
      <c r="BI44" s="1095"/>
      <c r="BJ44" s="1095"/>
      <c r="BK44" s="1095"/>
      <c r="BL44" s="1095"/>
      <c r="BM44" s="1095"/>
      <c r="BN44" s="1095"/>
      <c r="BO44" s="1095"/>
      <c r="BP44" s="1095"/>
      <c r="BQ44" s="1095"/>
      <c r="BR44" s="1095"/>
      <c r="BS44" s="1095"/>
      <c r="BT44" s="1095"/>
      <c r="BU44" s="1095"/>
    </row>
    <row r="45" spans="1:73" ht="13.5" thickBot="1" x14ac:dyDescent="0.35">
      <c r="A45" s="1095"/>
      <c r="B45" s="1193" t="s">
        <v>1322</v>
      </c>
      <c r="C45" s="1193"/>
      <c r="D45" s="1193"/>
      <c r="E45" s="1193"/>
      <c r="F45" s="1193"/>
      <c r="G45" s="1193"/>
      <c r="H45" s="1193"/>
      <c r="I45" s="1193"/>
      <c r="J45" s="1193"/>
      <c r="K45" s="1193"/>
      <c r="L45" s="1193"/>
      <c r="M45" s="1193"/>
      <c r="N45" s="1193"/>
      <c r="O45" s="1193"/>
      <c r="P45" s="1193"/>
      <c r="Q45" s="1193"/>
      <c r="R45" s="1193"/>
      <c r="S45" s="1193"/>
      <c r="T45" s="1193"/>
      <c r="U45" s="1193"/>
      <c r="V45" s="1193"/>
      <c r="W45" s="1193"/>
      <c r="X45" s="1193"/>
      <c r="Y45" s="1095"/>
      <c r="Z45" s="1095"/>
      <c r="AA45" s="1095"/>
      <c r="AB45" s="1095"/>
      <c r="AC45" s="1095"/>
      <c r="AD45" s="1095"/>
      <c r="AE45" s="1095"/>
      <c r="AF45" s="1095"/>
      <c r="AG45" s="1095"/>
      <c r="AH45" s="1095"/>
      <c r="AI45" s="1095"/>
      <c r="AJ45" s="1095"/>
      <c r="AK45" s="1095"/>
      <c r="AL45" s="1095"/>
      <c r="AM45" s="1095"/>
      <c r="AN45" s="1095"/>
      <c r="AO45" s="1095"/>
      <c r="AP45" s="1095"/>
      <c r="AQ45" s="1095"/>
      <c r="AR45" s="1095"/>
      <c r="AS45" s="1095"/>
      <c r="AT45" s="1095"/>
      <c r="AU45" s="1095"/>
      <c r="AV45" s="1095"/>
      <c r="AW45" s="1095"/>
      <c r="AX45" s="1095"/>
      <c r="AY45" s="1095"/>
      <c r="AZ45" s="1095"/>
      <c r="BA45" s="1095"/>
      <c r="BB45" s="1095"/>
      <c r="BC45" s="1095"/>
      <c r="BD45" s="1095"/>
      <c r="BE45" s="1095"/>
      <c r="BF45" s="1095"/>
      <c r="BG45" s="1095"/>
      <c r="BH45" s="1095"/>
      <c r="BI45" s="1095"/>
      <c r="BJ45" s="1095"/>
      <c r="BK45" s="1095"/>
      <c r="BL45" s="1095"/>
      <c r="BM45" s="1095"/>
      <c r="BN45" s="1095"/>
      <c r="BO45" s="1095"/>
      <c r="BP45" s="1095"/>
      <c r="BQ45" s="1095"/>
      <c r="BR45" s="1095"/>
      <c r="BS45" s="1095"/>
      <c r="BT45" s="1095"/>
      <c r="BU45" s="1095"/>
    </row>
    <row r="46" spans="1:73" ht="13" thickTop="1" x14ac:dyDescent="0.25">
      <c r="A46" s="1095"/>
      <c r="B46" s="1095"/>
      <c r="C46" s="1095"/>
      <c r="D46" s="1095"/>
      <c r="E46" s="1095"/>
      <c r="F46" s="1095"/>
      <c r="G46" s="1095"/>
      <c r="H46" s="1095"/>
      <c r="I46" s="1095"/>
      <c r="J46" s="1095"/>
      <c r="K46" s="1095"/>
      <c r="L46" s="1095"/>
      <c r="M46" s="1095"/>
      <c r="N46" s="1095"/>
      <c r="O46" s="1095"/>
      <c r="P46" s="1095"/>
      <c r="Q46" s="1095"/>
      <c r="R46" s="1095"/>
      <c r="S46" s="1095"/>
      <c r="T46" s="1095"/>
      <c r="U46" s="1095"/>
      <c r="V46" s="1095"/>
      <c r="W46" s="1095"/>
      <c r="X46" s="1095"/>
      <c r="Y46" s="1095"/>
      <c r="Z46" s="1095"/>
      <c r="AA46" s="1095"/>
      <c r="AB46" s="1095"/>
      <c r="AC46" s="1095"/>
      <c r="AD46" s="1095"/>
      <c r="AE46" s="1095"/>
      <c r="AF46" s="1095"/>
      <c r="AG46" s="1095"/>
      <c r="AH46" s="1095"/>
      <c r="AI46" s="1095"/>
      <c r="AJ46" s="1095"/>
      <c r="AK46" s="1095"/>
      <c r="AL46" s="1095"/>
      <c r="AM46" s="1095"/>
      <c r="AN46" s="1095"/>
      <c r="AO46" s="1095"/>
      <c r="AP46" s="1095"/>
      <c r="AQ46" s="1095"/>
      <c r="AR46" s="1095"/>
      <c r="AS46" s="1095"/>
      <c r="AT46" s="1095"/>
      <c r="AU46" s="1095"/>
      <c r="AV46" s="1095"/>
      <c r="AW46" s="1095"/>
      <c r="AX46" s="1095"/>
      <c r="AY46" s="1095"/>
      <c r="AZ46" s="1095"/>
      <c r="BA46" s="1095"/>
      <c r="BB46" s="1095"/>
      <c r="BC46" s="1095"/>
      <c r="BD46" s="1095"/>
      <c r="BE46" s="1095"/>
      <c r="BF46" s="1095"/>
      <c r="BG46" s="1095"/>
      <c r="BH46" s="1095"/>
      <c r="BI46" s="1095"/>
      <c r="BJ46" s="1095"/>
      <c r="BK46" s="1095"/>
      <c r="BL46" s="1095"/>
      <c r="BM46" s="1095"/>
      <c r="BN46" s="1095"/>
      <c r="BO46" s="1095"/>
      <c r="BP46" s="1095"/>
      <c r="BQ46" s="1095"/>
      <c r="BR46" s="1095"/>
      <c r="BS46" s="1095"/>
      <c r="BT46" s="1095"/>
      <c r="BU46" s="1095"/>
    </row>
    <row r="47" spans="1:73" x14ac:dyDescent="0.25">
      <c r="A47" s="1095"/>
      <c r="B47" s="1110" t="s">
        <v>1153</v>
      </c>
      <c r="C47" s="1095"/>
      <c r="D47" s="1095"/>
      <c r="E47" s="1095"/>
      <c r="F47" s="1095"/>
      <c r="G47" s="1095"/>
      <c r="H47" s="1095"/>
      <c r="I47" s="1095"/>
      <c r="J47" s="1095"/>
      <c r="K47" s="1095"/>
      <c r="L47" s="1095"/>
      <c r="M47" s="1095"/>
      <c r="N47" s="1095"/>
      <c r="O47" s="1095"/>
      <c r="P47" s="1095"/>
      <c r="Q47" s="1095"/>
      <c r="R47" s="1095"/>
      <c r="S47" s="1095"/>
      <c r="T47" s="1095"/>
      <c r="U47" s="1095"/>
      <c r="V47" s="1095"/>
      <c r="W47" s="1095"/>
      <c r="X47" s="1095"/>
      <c r="Y47" s="1095"/>
      <c r="Z47" s="1095"/>
      <c r="AA47" s="1095"/>
      <c r="AB47" s="1095"/>
      <c r="AC47" s="1095"/>
      <c r="AD47" s="1095"/>
      <c r="AE47" s="1095"/>
      <c r="AF47" s="1095"/>
      <c r="AG47" s="1095"/>
      <c r="AH47" s="1095"/>
      <c r="AI47" s="1095"/>
      <c r="AJ47" s="1095"/>
      <c r="AK47" s="1095"/>
      <c r="AL47" s="1095"/>
      <c r="AM47" s="1095"/>
      <c r="AN47" s="1095"/>
      <c r="AO47" s="1095"/>
      <c r="AP47" s="1095"/>
      <c r="AQ47" s="1095"/>
      <c r="AR47" s="1095"/>
      <c r="AS47" s="1095"/>
      <c r="AT47" s="1095"/>
      <c r="AU47" s="1095"/>
      <c r="AV47" s="1095"/>
      <c r="AW47" s="1095"/>
      <c r="AX47" s="1095"/>
      <c r="AY47" s="1095"/>
      <c r="AZ47" s="1095"/>
      <c r="BA47" s="1095"/>
      <c r="BB47" s="1095"/>
      <c r="BC47" s="1095"/>
      <c r="BD47" s="1095"/>
      <c r="BE47" s="1095"/>
      <c r="BF47" s="1095"/>
      <c r="BG47" s="1095"/>
      <c r="BH47" s="1095"/>
      <c r="BI47" s="1095"/>
      <c r="BJ47" s="1095"/>
      <c r="BK47" s="1095"/>
      <c r="BL47" s="1095"/>
      <c r="BM47" s="1095"/>
      <c r="BN47" s="1095"/>
      <c r="BO47" s="1095"/>
      <c r="BP47" s="1095"/>
      <c r="BQ47" s="1095"/>
      <c r="BR47" s="1095"/>
      <c r="BS47" s="1095"/>
      <c r="BT47" s="1095"/>
      <c r="BU47" s="1095"/>
    </row>
    <row r="48" spans="1:73" x14ac:dyDescent="0.25">
      <c r="A48" s="1095"/>
      <c r="B48" s="1098">
        <v>1</v>
      </c>
      <c r="C48" s="1100">
        <f t="shared" ref="C48:E48" ca="1" si="5">+OFFSET(C50,$B$48,0)</f>
        <v>1</v>
      </c>
      <c r="D48" s="1100">
        <f t="shared" ca="1" si="5"/>
        <v>1</v>
      </c>
      <c r="E48" s="1100">
        <f t="shared" ca="1" si="5"/>
        <v>1</v>
      </c>
      <c r="F48" s="1100">
        <f ca="1">+OFFSET(F50,$B$48,0)</f>
        <v>1</v>
      </c>
      <c r="G48" s="1100">
        <f ca="1">+OFFSET(G50,$B$48,0)</f>
        <v>1</v>
      </c>
      <c r="H48" s="1100">
        <f ca="1">+OFFSET(H50,$B$48,0)</f>
        <v>1</v>
      </c>
      <c r="I48" s="1100">
        <f ca="1">+OFFSET(I50,$B$48,0)</f>
        <v>1</v>
      </c>
      <c r="J48" s="1095"/>
      <c r="K48" s="1112">
        <f ca="1">+'Cash Flow Analysis'!F118</f>
        <v>1.738021291813364</v>
      </c>
      <c r="L48" s="1112">
        <f ca="1">+'Cash Flow Analysis'!Q118</f>
        <v>0</v>
      </c>
      <c r="M48" s="1112">
        <f ca="1">+'Cash Flow Analysis'!L118</f>
        <v>1.3752474814784693E-3</v>
      </c>
      <c r="N48" s="1112">
        <f ca="1">+'Cash Flow Analysis'!H117</f>
        <v>0.12650642153831423</v>
      </c>
      <c r="O48" s="1112">
        <f ca="1">+'Cash Flow Analysis'!I117</f>
        <v>0.12749490878546157</v>
      </c>
      <c r="P48" s="1112">
        <f ca="1">+'Cash Flow Analysis'!J117</f>
        <v>1.8390777839810975E-2</v>
      </c>
      <c r="Q48" s="1112">
        <f ca="1">+'Cash Flow Analysis'!K117</f>
        <v>8.987958215351487E-4</v>
      </c>
      <c r="R48" s="1112">
        <f ca="1">+'Cash Flow Analysis'!M117</f>
        <v>1.371700464116358E-3</v>
      </c>
      <c r="S48" s="1112">
        <f ca="1">+'Cash Flow Analysis'!N117</f>
        <v>0.10796906793131673</v>
      </c>
      <c r="T48" s="1112">
        <f ca="1">+'Cash Flow Analysis'!O117</f>
        <v>1.0310552346010684</v>
      </c>
      <c r="U48" s="1112">
        <f ca="1">+'Cash Flow Analysis'!P117</f>
        <v>0</v>
      </c>
      <c r="V48" s="1112">
        <f ca="1">+'Cash Flow Analysis'!R117</f>
        <v>0.20920159808505334</v>
      </c>
      <c r="W48" s="1112">
        <f ca="1">+'Cash Flow Analysis'!S117</f>
        <v>8.3106119156208025E-2</v>
      </c>
      <c r="X48" s="1112">
        <f ca="1">+'Cash Flow Analysis'!X117</f>
        <v>2.9668598589567396E-2</v>
      </c>
      <c r="Y48" s="1112">
        <f ca="1">+'Cash Flow Analysis'!Z117</f>
        <v>3.7333164823882565E-3</v>
      </c>
      <c r="Z48" s="1095"/>
      <c r="AA48" s="1095"/>
      <c r="AB48" s="1095"/>
      <c r="AC48" s="1095"/>
      <c r="AD48" s="1095"/>
      <c r="AE48" s="1095"/>
      <c r="AF48" s="1095"/>
      <c r="AG48" s="1095"/>
      <c r="AH48" s="1095"/>
      <c r="AI48" s="1095"/>
      <c r="AJ48" s="1095"/>
      <c r="AK48" s="1095"/>
      <c r="AL48" s="1095"/>
      <c r="AM48" s="1095"/>
      <c r="AN48" s="1095"/>
      <c r="AO48" s="1095"/>
      <c r="AP48" s="1095"/>
      <c r="AQ48" s="1095"/>
      <c r="AR48" s="1095"/>
      <c r="AS48" s="1095"/>
      <c r="AT48" s="1095"/>
      <c r="AU48" s="1095"/>
      <c r="AV48" s="1095"/>
      <c r="AW48" s="1095"/>
      <c r="AX48" s="1095"/>
      <c r="AY48" s="1095"/>
      <c r="AZ48" s="1095"/>
      <c r="BA48" s="1095"/>
      <c r="BB48" s="1095"/>
      <c r="BC48" s="1095"/>
      <c r="BD48" s="1095"/>
      <c r="BE48" s="1095"/>
      <c r="BF48" s="1095"/>
      <c r="BG48" s="1095"/>
      <c r="BH48" s="1095"/>
      <c r="BI48" s="1095"/>
      <c r="BJ48" s="1095"/>
      <c r="BK48" s="1095"/>
      <c r="BL48" s="1095"/>
      <c r="BM48" s="1095"/>
      <c r="BN48" s="1095"/>
      <c r="BO48" s="1095"/>
      <c r="BP48" s="1095"/>
      <c r="BQ48" s="1095"/>
      <c r="BR48" s="1095"/>
      <c r="BS48" s="1095"/>
      <c r="BT48" s="1095"/>
      <c r="BU48" s="1095"/>
    </row>
    <row r="49" spans="1:73" ht="13" x14ac:dyDescent="0.3">
      <c r="A49" s="1095"/>
      <c r="B49" s="1097"/>
      <c r="C49" s="1097"/>
      <c r="D49" s="1097"/>
      <c r="E49" s="1097"/>
      <c r="F49" s="1097"/>
      <c r="G49" s="1097"/>
      <c r="H49" s="1097"/>
      <c r="I49" s="1097"/>
      <c r="J49" s="1097"/>
      <c r="K49" s="1097"/>
      <c r="L49" s="1097"/>
      <c r="M49" s="1097"/>
      <c r="N49" s="1095"/>
      <c r="O49" s="1095"/>
      <c r="P49" s="1095"/>
      <c r="Q49" s="1095"/>
      <c r="R49" s="1095"/>
      <c r="S49" s="1095"/>
      <c r="T49" s="1095"/>
      <c r="U49" s="1095"/>
      <c r="V49" s="1095"/>
      <c r="W49" s="1095"/>
      <c r="X49" s="1095"/>
      <c r="Y49" s="1095"/>
      <c r="Z49" s="1095"/>
      <c r="AA49" s="1095"/>
      <c r="AB49" s="1095"/>
      <c r="AC49" s="1095"/>
      <c r="AD49" s="1095"/>
      <c r="AE49" s="1095"/>
      <c r="AF49" s="1095"/>
      <c r="AG49" s="1095"/>
      <c r="AH49" s="1095"/>
      <c r="AI49" s="1095"/>
      <c r="AJ49" s="1095"/>
      <c r="AK49" s="1095"/>
      <c r="AL49" s="1095"/>
      <c r="AM49" s="1095"/>
      <c r="AN49" s="1095"/>
      <c r="AO49" s="1095"/>
      <c r="AP49" s="1095"/>
      <c r="AQ49" s="1095"/>
      <c r="AR49" s="1095"/>
      <c r="AS49" s="1095"/>
      <c r="AT49" s="1095"/>
      <c r="AU49" s="1095"/>
      <c r="AV49" s="1095"/>
      <c r="AW49" s="1095"/>
      <c r="AX49" s="1095"/>
      <c r="AY49" s="1095"/>
      <c r="AZ49" s="1095"/>
      <c r="BA49" s="1095"/>
      <c r="BB49" s="1095"/>
      <c r="BC49" s="1095"/>
      <c r="BD49" s="1095"/>
      <c r="BE49" s="1095"/>
      <c r="BF49" s="1095"/>
      <c r="BG49" s="1095"/>
      <c r="BH49" s="1095"/>
      <c r="BI49" s="1095"/>
      <c r="BJ49" s="1095"/>
      <c r="BK49" s="1095"/>
      <c r="BL49" s="1095"/>
      <c r="BM49" s="1095"/>
      <c r="BN49" s="1095"/>
      <c r="BO49" s="1095"/>
      <c r="BP49" s="1095"/>
      <c r="BQ49" s="1095"/>
      <c r="BR49" s="1095"/>
      <c r="BS49" s="1095"/>
      <c r="BT49" s="1095"/>
      <c r="BU49" s="1095"/>
    </row>
    <row r="50" spans="1:73" ht="52" x14ac:dyDescent="0.3">
      <c r="A50" s="1095"/>
      <c r="B50" s="1106" t="s">
        <v>1137</v>
      </c>
      <c r="C50" s="1106" t="s">
        <v>1323</v>
      </c>
      <c r="D50" s="1106" t="s">
        <v>1324</v>
      </c>
      <c r="E50" s="1106" t="s">
        <v>1325</v>
      </c>
      <c r="F50" s="1106" t="s">
        <v>1326</v>
      </c>
      <c r="G50" s="1106" t="s">
        <v>1327</v>
      </c>
      <c r="H50" s="1106" t="s">
        <v>1343</v>
      </c>
      <c r="I50" s="1106" t="s">
        <v>1342</v>
      </c>
      <c r="J50" s="1095"/>
      <c r="K50" s="1106" t="s">
        <v>1344</v>
      </c>
      <c r="L50" s="1106" t="s">
        <v>1328</v>
      </c>
      <c r="M50" s="1106" t="s">
        <v>1329</v>
      </c>
      <c r="N50" s="1106" t="s">
        <v>1330</v>
      </c>
      <c r="O50" s="1106" t="s">
        <v>1331</v>
      </c>
      <c r="P50" s="1106" t="s">
        <v>1332</v>
      </c>
      <c r="Q50" s="1106" t="s">
        <v>1333</v>
      </c>
      <c r="R50" s="1106" t="s">
        <v>1334</v>
      </c>
      <c r="S50" s="1106" t="s">
        <v>1335</v>
      </c>
      <c r="T50" s="1106" t="s">
        <v>1336</v>
      </c>
      <c r="U50" s="1106" t="s">
        <v>1337</v>
      </c>
      <c r="V50" s="1106" t="s">
        <v>1338</v>
      </c>
      <c r="W50" s="1106" t="s">
        <v>1339</v>
      </c>
      <c r="X50" s="1106" t="s">
        <v>1340</v>
      </c>
      <c r="Y50" s="1106" t="s">
        <v>1341</v>
      </c>
      <c r="Z50" s="1095"/>
      <c r="AA50" s="1095"/>
      <c r="AB50" s="1095"/>
      <c r="AC50" s="1095"/>
      <c r="AD50" s="1095"/>
      <c r="AE50" s="1095"/>
      <c r="AF50" s="1095"/>
      <c r="AG50" s="1095"/>
      <c r="AH50" s="1095"/>
      <c r="AI50" s="1095"/>
      <c r="AJ50" s="1095"/>
      <c r="AK50" s="1095"/>
      <c r="AL50" s="1095"/>
      <c r="AM50" s="1095"/>
      <c r="AN50" s="1095"/>
      <c r="AO50" s="1095"/>
      <c r="AP50" s="1095"/>
      <c r="AQ50" s="1095"/>
      <c r="AR50" s="1095"/>
      <c r="AS50" s="1095"/>
      <c r="AT50" s="1095"/>
      <c r="AU50" s="1095"/>
      <c r="AV50" s="1095"/>
      <c r="AW50" s="1095"/>
      <c r="AX50" s="1095"/>
      <c r="AY50" s="1095"/>
      <c r="AZ50" s="1095"/>
      <c r="BA50" s="1095"/>
      <c r="BB50" s="1095"/>
      <c r="BC50" s="1095"/>
      <c r="BD50" s="1095"/>
      <c r="BE50" s="1095"/>
      <c r="BF50" s="1095"/>
      <c r="BG50" s="1095"/>
      <c r="BH50" s="1095"/>
      <c r="BI50" s="1095"/>
      <c r="BJ50" s="1095"/>
      <c r="BK50" s="1095"/>
      <c r="BL50" s="1095"/>
      <c r="BM50" s="1095"/>
      <c r="BN50" s="1095"/>
      <c r="BO50" s="1095"/>
      <c r="BP50" s="1095"/>
      <c r="BQ50" s="1095"/>
      <c r="BR50" s="1095"/>
      <c r="BS50" s="1095"/>
      <c r="BT50" s="1095"/>
      <c r="BU50" s="1095"/>
    </row>
    <row r="51" spans="1:73" x14ac:dyDescent="0.25">
      <c r="A51" s="1095"/>
      <c r="B51" s="1107">
        <v>1</v>
      </c>
      <c r="C51" s="1100">
        <v>1</v>
      </c>
      <c r="D51" s="1100">
        <v>1</v>
      </c>
      <c r="E51" s="1100">
        <v>1</v>
      </c>
      <c r="F51" s="1100">
        <v>1</v>
      </c>
      <c r="G51" s="1100">
        <v>1</v>
      </c>
      <c r="H51" s="1100">
        <v>1</v>
      </c>
      <c r="I51" s="1100">
        <v>1</v>
      </c>
      <c r="J51" s="1095"/>
      <c r="K51" s="1113">
        <v>1.738021291813364</v>
      </c>
      <c r="L51" s="1114">
        <v>0</v>
      </c>
      <c r="M51" s="1114">
        <v>1.3752474814784693E-3</v>
      </c>
      <c r="N51" s="1114">
        <v>0.12650642153831423</v>
      </c>
      <c r="O51" s="1114">
        <v>0.12749490878546157</v>
      </c>
      <c r="P51" s="1114">
        <v>1.8390777839810975E-2</v>
      </c>
      <c r="Q51" s="1114">
        <v>8.987958215351487E-4</v>
      </c>
      <c r="R51" s="1114">
        <v>1.371700464116358E-3</v>
      </c>
      <c r="S51" s="1114">
        <v>0.10796906793131673</v>
      </c>
      <c r="T51" s="1114">
        <v>1.0310552346010684</v>
      </c>
      <c r="U51" s="1114">
        <v>0</v>
      </c>
      <c r="V51" s="1114">
        <v>0.20920159808505334</v>
      </c>
      <c r="W51" s="1114">
        <v>8.3106119156208025E-2</v>
      </c>
      <c r="X51" s="1114">
        <v>2.9668598589567396E-2</v>
      </c>
      <c r="Y51" s="1114">
        <v>3.7333164823882565E-3</v>
      </c>
      <c r="Z51" s="1229"/>
      <c r="AA51" s="1095"/>
      <c r="AB51" s="1095"/>
      <c r="AC51" s="1095"/>
      <c r="AD51" s="1095"/>
      <c r="AE51" s="1095"/>
      <c r="AF51" s="1095"/>
      <c r="AG51" s="1095"/>
      <c r="AH51" s="1095"/>
      <c r="AI51" s="1095"/>
      <c r="AJ51" s="1095"/>
      <c r="AK51" s="1095"/>
      <c r="AL51" s="1095"/>
      <c r="AM51" s="1095"/>
      <c r="AN51" s="1095"/>
      <c r="AO51" s="1095"/>
      <c r="AP51" s="1095"/>
      <c r="AQ51" s="1095"/>
      <c r="AR51" s="1095"/>
      <c r="AS51" s="1095"/>
      <c r="AT51" s="1095"/>
      <c r="AU51" s="1095"/>
      <c r="AV51" s="1095"/>
      <c r="AW51" s="1095"/>
      <c r="AX51" s="1095"/>
      <c r="AY51" s="1095"/>
      <c r="AZ51" s="1095"/>
      <c r="BA51" s="1095"/>
      <c r="BB51" s="1095"/>
      <c r="BC51" s="1095"/>
      <c r="BD51" s="1095"/>
      <c r="BE51" s="1095"/>
      <c r="BF51" s="1095"/>
      <c r="BG51" s="1095"/>
      <c r="BH51" s="1095"/>
      <c r="BI51" s="1095"/>
      <c r="BJ51" s="1095"/>
      <c r="BK51" s="1095"/>
      <c r="BL51" s="1095"/>
      <c r="BM51" s="1095"/>
      <c r="BN51" s="1095"/>
      <c r="BO51" s="1095"/>
      <c r="BP51" s="1095"/>
      <c r="BQ51" s="1095"/>
      <c r="BR51" s="1095"/>
      <c r="BS51" s="1095"/>
      <c r="BT51" s="1095"/>
      <c r="BU51" s="1095"/>
    </row>
    <row r="52" spans="1:73" x14ac:dyDescent="0.25">
      <c r="A52" s="1095"/>
      <c r="B52" s="1115">
        <f>+B51+1</f>
        <v>2</v>
      </c>
      <c r="C52" s="1116">
        <f>+F3</f>
        <v>1.05</v>
      </c>
      <c r="D52" s="1116">
        <v>1</v>
      </c>
      <c r="E52" s="1116">
        <v>1</v>
      </c>
      <c r="F52" s="1116">
        <v>1</v>
      </c>
      <c r="G52" s="1116">
        <v>1</v>
      </c>
      <c r="H52" s="1116">
        <v>1</v>
      </c>
      <c r="I52" s="1116">
        <v>1</v>
      </c>
      <c r="J52" s="1095"/>
      <c r="K52" s="1113">
        <v>1.7165781287165258</v>
      </c>
      <c r="L52" s="1114">
        <v>0</v>
      </c>
      <c r="M52" s="1114">
        <v>1.3149767678771E-3</v>
      </c>
      <c r="N52" s="1114">
        <v>0.12096347330831042</v>
      </c>
      <c r="O52" s="1114">
        <v>0.12500291909681963</v>
      </c>
      <c r="P52" s="1114">
        <v>1.8269158981494636E-2</v>
      </c>
      <c r="Q52" s="1114">
        <v>8.5599602050966529E-4</v>
      </c>
      <c r="R52" s="1114">
        <v>1.3115986561036607E-3</v>
      </c>
      <c r="S52" s="1114">
        <v>0.1030927495365045</v>
      </c>
      <c r="T52" s="1114">
        <v>1.0310552346010686</v>
      </c>
      <c r="U52" s="1114">
        <v>0</v>
      </c>
      <c r="V52" s="1114">
        <v>0.20516606109005878</v>
      </c>
      <c r="W52" s="1114">
        <v>7.9464778973805647E-2</v>
      </c>
      <c r="X52" s="1114">
        <v>2.9141396046192713E-2</v>
      </c>
      <c r="Y52" s="1114">
        <v>3.5697391735333805E-3</v>
      </c>
      <c r="Z52" s="1229"/>
      <c r="AA52" s="1095"/>
      <c r="AB52" s="1095"/>
      <c r="AC52" s="1095"/>
      <c r="AD52" s="1095"/>
      <c r="AE52" s="1095"/>
      <c r="AF52" s="1095"/>
      <c r="AG52" s="1095"/>
      <c r="AH52" s="1095"/>
      <c r="AI52" s="1095"/>
      <c r="AJ52" s="1095"/>
      <c r="AK52" s="1095"/>
      <c r="AL52" s="1095"/>
      <c r="AM52" s="1095"/>
      <c r="AN52" s="1095"/>
      <c r="AO52" s="1095"/>
      <c r="AP52" s="1095"/>
      <c r="AQ52" s="1095"/>
      <c r="AR52" s="1095"/>
      <c r="AS52" s="1095"/>
      <c r="AT52" s="1095"/>
      <c r="AU52" s="1095"/>
      <c r="AV52" s="1095"/>
      <c r="AW52" s="1095"/>
      <c r="AX52" s="1095"/>
      <c r="AY52" s="1095"/>
      <c r="AZ52" s="1095"/>
      <c r="BA52" s="1095"/>
      <c r="BB52" s="1095"/>
      <c r="BC52" s="1095"/>
      <c r="BD52" s="1095"/>
      <c r="BE52" s="1095"/>
      <c r="BF52" s="1095"/>
      <c r="BG52" s="1095"/>
      <c r="BH52" s="1095"/>
      <c r="BI52" s="1095"/>
      <c r="BJ52" s="1095"/>
      <c r="BK52" s="1095"/>
      <c r="BL52" s="1095"/>
      <c r="BM52" s="1095"/>
      <c r="BN52" s="1095"/>
      <c r="BO52" s="1095"/>
      <c r="BP52" s="1095"/>
      <c r="BQ52" s="1095"/>
      <c r="BR52" s="1095"/>
      <c r="BS52" s="1095"/>
      <c r="BT52" s="1095"/>
      <c r="BU52" s="1095"/>
    </row>
    <row r="53" spans="1:73" x14ac:dyDescent="0.25">
      <c r="A53" s="1095"/>
      <c r="B53" s="1115">
        <f t="shared" ref="B53:B70" si="6">+B52+1</f>
        <v>3</v>
      </c>
      <c r="C53" s="1116">
        <f>+G3</f>
        <v>0.95</v>
      </c>
      <c r="D53" s="1116">
        <v>1</v>
      </c>
      <c r="E53" s="1116">
        <v>1</v>
      </c>
      <c r="F53" s="1116">
        <v>1</v>
      </c>
      <c r="G53" s="1116">
        <v>1</v>
      </c>
      <c r="H53" s="1116">
        <v>1</v>
      </c>
      <c r="I53" s="1116">
        <v>1</v>
      </c>
      <c r="J53" s="1095"/>
      <c r="K53" s="1113">
        <v>1.7614775669064853</v>
      </c>
      <c r="L53" s="1114">
        <v>0</v>
      </c>
      <c r="M53" s="1114">
        <v>1.4413464108199215E-3</v>
      </c>
      <c r="N53" s="1114">
        <v>0.13258524294983873</v>
      </c>
      <c r="O53" s="1114">
        <v>0.13016799807527862</v>
      </c>
      <c r="P53" s="1114">
        <v>1.8524285200485137E-2</v>
      </c>
      <c r="Q53" s="1114">
        <v>9.4610086477384071E-4</v>
      </c>
      <c r="R53" s="1114">
        <v>1.437612708333488E-3</v>
      </c>
      <c r="S53" s="1114">
        <v>0.11333246378979916</v>
      </c>
      <c r="T53" s="1114">
        <v>1.0310552346010686</v>
      </c>
      <c r="U53" s="1114">
        <v>0</v>
      </c>
      <c r="V53" s="1114">
        <v>0.21362121045628565</v>
      </c>
      <c r="W53" s="1114">
        <v>8.7099491590685238E-2</v>
      </c>
      <c r="X53" s="1114">
        <v>3.0236565197573489E-2</v>
      </c>
      <c r="Y53" s="1114">
        <v>3.912707883181819E-3</v>
      </c>
      <c r="Z53" s="1229"/>
      <c r="AA53" s="1095"/>
      <c r="AB53" s="1095"/>
      <c r="AC53" s="1095"/>
      <c r="AD53" s="1095"/>
      <c r="AE53" s="1095"/>
      <c r="AF53" s="1095"/>
      <c r="AG53" s="1095"/>
      <c r="AH53" s="1095"/>
      <c r="AI53" s="1095"/>
      <c r="AJ53" s="1095"/>
      <c r="AK53" s="1095"/>
      <c r="AL53" s="1095"/>
      <c r="AM53" s="1095"/>
      <c r="AN53" s="1095"/>
      <c r="AO53" s="1095"/>
      <c r="AP53" s="1095"/>
      <c r="AQ53" s="1095"/>
      <c r="AR53" s="1095"/>
      <c r="AS53" s="1095"/>
      <c r="AT53" s="1095"/>
      <c r="AU53" s="1095"/>
      <c r="AV53" s="1095"/>
      <c r="AW53" s="1095"/>
      <c r="AX53" s="1095"/>
      <c r="AY53" s="1095"/>
      <c r="AZ53" s="1095"/>
      <c r="BA53" s="1095"/>
      <c r="BB53" s="1095"/>
      <c r="BC53" s="1095"/>
      <c r="BD53" s="1095"/>
      <c r="BE53" s="1095"/>
      <c r="BF53" s="1095"/>
      <c r="BG53" s="1095"/>
      <c r="BH53" s="1095"/>
      <c r="BI53" s="1095"/>
      <c r="BJ53" s="1095"/>
      <c r="BK53" s="1095"/>
      <c r="BL53" s="1095"/>
      <c r="BM53" s="1095"/>
      <c r="BN53" s="1095"/>
      <c r="BO53" s="1095"/>
      <c r="BP53" s="1095"/>
      <c r="BQ53" s="1095"/>
      <c r="BR53" s="1095"/>
      <c r="BS53" s="1095"/>
      <c r="BT53" s="1095"/>
      <c r="BU53" s="1095"/>
    </row>
    <row r="54" spans="1:73" x14ac:dyDescent="0.25">
      <c r="A54" s="1095"/>
      <c r="B54" s="1107">
        <f t="shared" si="6"/>
        <v>4</v>
      </c>
      <c r="C54" s="1100">
        <v>1</v>
      </c>
      <c r="D54" s="1100">
        <f>+F4</f>
        <v>1.05</v>
      </c>
      <c r="E54" s="1100">
        <v>1</v>
      </c>
      <c r="F54" s="1100">
        <v>1</v>
      </c>
      <c r="G54" s="1100">
        <v>1</v>
      </c>
      <c r="H54" s="1100">
        <v>1</v>
      </c>
      <c r="I54" s="1100">
        <v>1</v>
      </c>
      <c r="J54" s="1095"/>
      <c r="K54" s="1113">
        <v>1.7245796722694182</v>
      </c>
      <c r="L54" s="1114">
        <v>0</v>
      </c>
      <c r="M54" s="1114">
        <v>1.3362584836579534E-3</v>
      </c>
      <c r="N54" s="1114">
        <v>0.12291694528994847</v>
      </c>
      <c r="O54" s="1114">
        <v>0.12527727760354695</v>
      </c>
      <c r="P54" s="1114">
        <v>1.8327286308433242E-2</v>
      </c>
      <c r="Q54" s="1114">
        <v>8.814249204278056E-4</v>
      </c>
      <c r="R54" s="1114">
        <v>1.3327800190041958E-3</v>
      </c>
      <c r="S54" s="1114">
        <v>0.1047621560798369</v>
      </c>
      <c r="T54" s="1114">
        <v>1.0310552346010686</v>
      </c>
      <c r="U54" s="1114">
        <v>0</v>
      </c>
      <c r="V54" s="1114">
        <v>0.2077560460540612</v>
      </c>
      <c r="W54" s="1114">
        <v>8.0748077270447166E-2</v>
      </c>
      <c r="X54" s="1114">
        <v>2.9231314745386219E-2</v>
      </c>
      <c r="Y54" s="1114">
        <v>3.627387860914235E-3</v>
      </c>
      <c r="Z54" s="1229"/>
      <c r="AA54" s="1095"/>
      <c r="AB54" s="1095"/>
      <c r="AC54" s="1095"/>
      <c r="AD54" s="1095"/>
      <c r="AE54" s="1095"/>
      <c r="AF54" s="1095"/>
      <c r="AG54" s="1095"/>
      <c r="AH54" s="1095"/>
      <c r="AI54" s="1095"/>
      <c r="AJ54" s="1095"/>
      <c r="AK54" s="1095"/>
      <c r="AL54" s="1095"/>
      <c r="AM54" s="1095"/>
      <c r="AN54" s="1095"/>
      <c r="AO54" s="1095"/>
      <c r="AP54" s="1095"/>
      <c r="AQ54" s="1095"/>
      <c r="AR54" s="1095"/>
      <c r="AS54" s="1095"/>
      <c r="AT54" s="1095"/>
      <c r="AU54" s="1095"/>
      <c r="AV54" s="1095"/>
      <c r="AW54" s="1095"/>
      <c r="AX54" s="1095"/>
      <c r="AY54" s="1095"/>
      <c r="AZ54" s="1095"/>
      <c r="BA54" s="1095"/>
      <c r="BB54" s="1095"/>
      <c r="BC54" s="1095"/>
      <c r="BD54" s="1095"/>
      <c r="BE54" s="1095"/>
      <c r="BF54" s="1095"/>
      <c r="BG54" s="1095"/>
      <c r="BH54" s="1095"/>
      <c r="BI54" s="1095"/>
      <c r="BJ54" s="1095"/>
      <c r="BK54" s="1095"/>
      <c r="BL54" s="1095"/>
      <c r="BM54" s="1095"/>
      <c r="BN54" s="1095"/>
      <c r="BO54" s="1095"/>
      <c r="BP54" s="1095"/>
      <c r="BQ54" s="1095"/>
      <c r="BR54" s="1095"/>
      <c r="BS54" s="1095"/>
      <c r="BT54" s="1095"/>
      <c r="BU54" s="1095"/>
    </row>
    <row r="55" spans="1:73" x14ac:dyDescent="0.25">
      <c r="A55" s="1095"/>
      <c r="B55" s="1107">
        <f t="shared" si="6"/>
        <v>5</v>
      </c>
      <c r="C55" s="1100">
        <v>1</v>
      </c>
      <c r="D55" s="1100">
        <f>+G4</f>
        <v>0.95</v>
      </c>
      <c r="E55" s="1100">
        <v>1</v>
      </c>
      <c r="F55" s="1100">
        <v>1</v>
      </c>
      <c r="G55" s="1100">
        <v>1</v>
      </c>
      <c r="H55" s="1100">
        <v>1</v>
      </c>
      <c r="I55" s="1100">
        <v>1</v>
      </c>
      <c r="J55" s="1095"/>
      <c r="K55" s="1113">
        <v>1.7525081099268174</v>
      </c>
      <c r="L55" s="1114">
        <v>0</v>
      </c>
      <c r="M55" s="1114">
        <v>1.4173543561985015E-3</v>
      </c>
      <c r="N55" s="1114">
        <v>0.13038298828560441</v>
      </c>
      <c r="O55" s="1114">
        <v>0.12985869888553245</v>
      </c>
      <c r="P55" s="1114">
        <v>1.8459440218349516E-2</v>
      </c>
      <c r="Q55" s="1114">
        <v>9.1742718017115757E-4</v>
      </c>
      <c r="R55" s="1114">
        <v>1.4137338118450781E-3</v>
      </c>
      <c r="S55" s="1114">
        <v>0.11144343751203706</v>
      </c>
      <c r="T55" s="1114">
        <v>1.0310552346010688</v>
      </c>
      <c r="U55" s="1114">
        <v>0</v>
      </c>
      <c r="V55" s="1114">
        <v>0.21075859614177697</v>
      </c>
      <c r="W55" s="1114">
        <v>8.5652759983604373E-2</v>
      </c>
      <c r="X55" s="1114">
        <v>3.0135430264407664E-2</v>
      </c>
      <c r="Y55" s="1114">
        <v>3.8477173986164771E-3</v>
      </c>
      <c r="Z55" s="1229"/>
      <c r="AA55" s="1095"/>
      <c r="AB55" s="1095"/>
      <c r="AC55" s="1095"/>
      <c r="AD55" s="1095"/>
      <c r="AE55" s="1095"/>
      <c r="AF55" s="1095"/>
      <c r="AG55" s="1095"/>
      <c r="AH55" s="1095"/>
      <c r="AI55" s="1095"/>
      <c r="AJ55" s="1095"/>
      <c r="AK55" s="1095"/>
      <c r="AL55" s="1095"/>
      <c r="AM55" s="1095"/>
      <c r="AN55" s="1095"/>
      <c r="AO55" s="1095"/>
      <c r="AP55" s="1095"/>
      <c r="AQ55" s="1095"/>
      <c r="AR55" s="1095"/>
      <c r="AS55" s="1095"/>
      <c r="AT55" s="1095"/>
      <c r="AU55" s="1095"/>
      <c r="AV55" s="1095"/>
      <c r="AW55" s="1095"/>
      <c r="AX55" s="1095"/>
      <c r="AY55" s="1095"/>
      <c r="AZ55" s="1095"/>
      <c r="BA55" s="1095"/>
      <c r="BB55" s="1095"/>
      <c r="BC55" s="1095"/>
      <c r="BD55" s="1095"/>
      <c r="BE55" s="1095"/>
      <c r="BF55" s="1095"/>
      <c r="BG55" s="1095"/>
      <c r="BH55" s="1095"/>
      <c r="BI55" s="1095"/>
      <c r="BJ55" s="1095"/>
      <c r="BK55" s="1095"/>
      <c r="BL55" s="1095"/>
      <c r="BM55" s="1095"/>
      <c r="BN55" s="1095"/>
      <c r="BO55" s="1095"/>
      <c r="BP55" s="1095"/>
      <c r="BQ55" s="1095"/>
      <c r="BR55" s="1095"/>
      <c r="BS55" s="1095"/>
      <c r="BT55" s="1095"/>
      <c r="BU55" s="1095"/>
    </row>
    <row r="56" spans="1:73" x14ac:dyDescent="0.25">
      <c r="A56" s="1095"/>
      <c r="B56" s="1115">
        <f t="shared" si="6"/>
        <v>6</v>
      </c>
      <c r="C56" s="1116">
        <v>1</v>
      </c>
      <c r="D56" s="1116">
        <v>1</v>
      </c>
      <c r="E56" s="1116">
        <f>+F5</f>
        <v>0.95</v>
      </c>
      <c r="F56" s="1116">
        <v>1</v>
      </c>
      <c r="G56" s="1116">
        <v>1</v>
      </c>
      <c r="H56" s="1116">
        <v>1</v>
      </c>
      <c r="I56" s="1116">
        <v>1</v>
      </c>
      <c r="J56" s="1095"/>
      <c r="K56" s="1113">
        <v>1.7294862297438136</v>
      </c>
      <c r="L56" s="1114">
        <v>0</v>
      </c>
      <c r="M56" s="1114">
        <v>1.5249139575490536E-3</v>
      </c>
      <c r="N56" s="1114">
        <v>0.12057337854587141</v>
      </c>
      <c r="O56" s="1114">
        <v>0.12729412824163427</v>
      </c>
      <c r="P56" s="1114">
        <v>1.7719232066163829E-2</v>
      </c>
      <c r="Q56" s="1114">
        <v>8.5279214492318825E-4</v>
      </c>
      <c r="R56" s="1114">
        <v>1.5209809226909659E-3</v>
      </c>
      <c r="S56" s="1114">
        <v>0.10788236942826793</v>
      </c>
      <c r="T56" s="1114">
        <v>1.0325789537263574</v>
      </c>
      <c r="U56" s="1114">
        <v>0</v>
      </c>
      <c r="V56" s="1114">
        <v>0.20905891705123886</v>
      </c>
      <c r="W56" s="1114">
        <v>8.1646371512934537E-2</v>
      </c>
      <c r="X56" s="1114">
        <v>2.7744411380940946E-2</v>
      </c>
      <c r="Y56" s="1114">
        <v>4.1396086803383953E-3</v>
      </c>
      <c r="Z56" s="1229"/>
      <c r="AA56" s="1095"/>
      <c r="AB56" s="1095"/>
      <c r="AC56" s="1095"/>
      <c r="AD56" s="1095"/>
      <c r="AE56" s="1095"/>
      <c r="AF56" s="1095"/>
      <c r="AG56" s="1095"/>
      <c r="AH56" s="1095"/>
      <c r="AI56" s="1095"/>
      <c r="AJ56" s="1095"/>
      <c r="AK56" s="1095"/>
      <c r="AL56" s="1095"/>
      <c r="AM56" s="1095"/>
      <c r="AN56" s="1095"/>
      <c r="AO56" s="1095"/>
      <c r="AP56" s="1095"/>
      <c r="AQ56" s="1095"/>
      <c r="AR56" s="1095"/>
      <c r="AS56" s="1095"/>
      <c r="AT56" s="1095"/>
      <c r="AU56" s="1095"/>
      <c r="AV56" s="1095"/>
      <c r="AW56" s="1095"/>
      <c r="AX56" s="1095"/>
      <c r="AY56" s="1095"/>
      <c r="AZ56" s="1095"/>
      <c r="BA56" s="1095"/>
      <c r="BB56" s="1095"/>
      <c r="BC56" s="1095"/>
      <c r="BD56" s="1095"/>
      <c r="BE56" s="1095"/>
      <c r="BF56" s="1095"/>
      <c r="BG56" s="1095"/>
      <c r="BH56" s="1095"/>
      <c r="BI56" s="1095"/>
      <c r="BJ56" s="1095"/>
      <c r="BK56" s="1095"/>
      <c r="BL56" s="1095"/>
      <c r="BM56" s="1095"/>
      <c r="BN56" s="1095"/>
      <c r="BO56" s="1095"/>
      <c r="BP56" s="1095"/>
      <c r="BQ56" s="1095"/>
      <c r="BR56" s="1095"/>
      <c r="BS56" s="1095"/>
      <c r="BT56" s="1095"/>
      <c r="BU56" s="1095"/>
    </row>
    <row r="57" spans="1:73" x14ac:dyDescent="0.25">
      <c r="A57" s="1095"/>
      <c r="B57" s="1115">
        <f t="shared" si="6"/>
        <v>7</v>
      </c>
      <c r="C57" s="1116">
        <v>1</v>
      </c>
      <c r="D57" s="1116">
        <v>1</v>
      </c>
      <c r="E57" s="1116">
        <f>+G5</f>
        <v>1.05</v>
      </c>
      <c r="F57" s="1116">
        <v>1</v>
      </c>
      <c r="G57" s="1116">
        <v>1</v>
      </c>
      <c r="H57" s="1116">
        <v>1</v>
      </c>
      <c r="I57" s="1116">
        <v>1</v>
      </c>
      <c r="J57" s="1095"/>
      <c r="K57" s="1113">
        <v>1.7468427694552915</v>
      </c>
      <c r="L57" s="1114">
        <v>0</v>
      </c>
      <c r="M57" s="1114">
        <v>1.2392724667617989E-3</v>
      </c>
      <c r="N57" s="1114">
        <v>0.13255105889529045</v>
      </c>
      <c r="O57" s="1114">
        <v>0.12769726967023903</v>
      </c>
      <c r="P57" s="1114">
        <v>1.9056903769543058E-2</v>
      </c>
      <c r="Q57" s="1114">
        <v>9.4597380273744066E-4</v>
      </c>
      <c r="R57" s="1114">
        <v>1.2360761540870322E-3</v>
      </c>
      <c r="S57" s="1114">
        <v>0.10805644883711274</v>
      </c>
      <c r="T57" s="1114">
        <v>1.0296058938063528</v>
      </c>
      <c r="U57" s="1114">
        <v>0</v>
      </c>
      <c r="V57" s="1114">
        <v>0.20934615597520159</v>
      </c>
      <c r="W57" s="1114">
        <v>8.4576198622847265E-2</v>
      </c>
      <c r="X57" s="1114">
        <v>3.1645870569609873E-2</v>
      </c>
      <c r="Y57" s="1114">
        <v>3.3641918190302181E-3</v>
      </c>
      <c r="Z57" s="1229"/>
      <c r="AA57" s="1095"/>
      <c r="AB57" s="1095"/>
      <c r="AC57" s="1095"/>
      <c r="AD57" s="1095"/>
      <c r="AE57" s="1095"/>
      <c r="AF57" s="1095"/>
      <c r="AG57" s="1095"/>
      <c r="AH57" s="1095"/>
      <c r="AI57" s="1095"/>
      <c r="AJ57" s="1095"/>
      <c r="AK57" s="1095"/>
      <c r="AL57" s="1095"/>
      <c r="AM57" s="1095"/>
      <c r="AN57" s="1095"/>
      <c r="AO57" s="1095"/>
      <c r="AP57" s="1095"/>
      <c r="AQ57" s="1095"/>
      <c r="AR57" s="1095"/>
      <c r="AS57" s="1095"/>
      <c r="AT57" s="1095"/>
      <c r="AU57" s="1095"/>
      <c r="AV57" s="1095"/>
      <c r="AW57" s="1095"/>
      <c r="AX57" s="1095"/>
      <c r="AY57" s="1095"/>
      <c r="AZ57" s="1095"/>
      <c r="BA57" s="1095"/>
      <c r="BB57" s="1095"/>
      <c r="BC57" s="1095"/>
      <c r="BD57" s="1095"/>
      <c r="BE57" s="1095"/>
      <c r="BF57" s="1095"/>
      <c r="BG57" s="1095"/>
      <c r="BH57" s="1095"/>
      <c r="BI57" s="1095"/>
      <c r="BJ57" s="1095"/>
      <c r="BK57" s="1095"/>
      <c r="BL57" s="1095"/>
      <c r="BM57" s="1095"/>
      <c r="BN57" s="1095"/>
      <c r="BO57" s="1095"/>
      <c r="BP57" s="1095"/>
      <c r="BQ57" s="1095"/>
      <c r="BR57" s="1095"/>
      <c r="BS57" s="1095"/>
      <c r="BT57" s="1095"/>
      <c r="BU57" s="1095"/>
    </row>
    <row r="58" spans="1:73" x14ac:dyDescent="0.25">
      <c r="A58" s="1095"/>
      <c r="B58" s="1107">
        <f t="shared" si="6"/>
        <v>8</v>
      </c>
      <c r="C58" s="1100">
        <v>1</v>
      </c>
      <c r="D58" s="1100">
        <v>1</v>
      </c>
      <c r="E58" s="1100">
        <v>1</v>
      </c>
      <c r="F58" s="1100">
        <f>+F6</f>
        <v>0.95</v>
      </c>
      <c r="G58" s="1100">
        <v>1</v>
      </c>
      <c r="H58" s="1100">
        <v>1</v>
      </c>
      <c r="I58" s="1100">
        <v>1</v>
      </c>
      <c r="J58" s="1095"/>
      <c r="K58" s="1113">
        <v>1.6770445332498354</v>
      </c>
      <c r="L58" s="1114">
        <v>0</v>
      </c>
      <c r="M58" s="1114">
        <v>1.3690324835518666E-3</v>
      </c>
      <c r="N58" s="1114">
        <v>0.12593323725491529</v>
      </c>
      <c r="O58" s="1114">
        <v>0.12365640391750458</v>
      </c>
      <c r="P58" s="1114">
        <v>1.7647423808294729E-2</v>
      </c>
      <c r="Q58" s="1114">
        <v>8.987958215351487E-4</v>
      </c>
      <c r="R58" s="1114">
        <v>1.3654854661897557E-3</v>
      </c>
      <c r="S58" s="1114">
        <v>0.10765331161265509</v>
      </c>
      <c r="T58" s="1114">
        <v>0.97950247287101511</v>
      </c>
      <c r="U58" s="1114">
        <v>0</v>
      </c>
      <c r="V58" s="1114">
        <v>0.20656932369311512</v>
      </c>
      <c r="W58" s="1114">
        <v>8.2729576046574674E-2</v>
      </c>
      <c r="X58" s="1114">
        <v>2.8741133934781823E-2</v>
      </c>
      <c r="Y58" s="1114">
        <v>3.7164013068055612E-3</v>
      </c>
      <c r="Z58" s="1229"/>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095"/>
      <c r="BN58" s="1095"/>
      <c r="BO58" s="1095"/>
      <c r="BP58" s="1095"/>
      <c r="BQ58" s="1095"/>
      <c r="BR58" s="1095"/>
      <c r="BS58" s="1095"/>
      <c r="BT58" s="1095"/>
      <c r="BU58" s="1095"/>
    </row>
    <row r="59" spans="1:73" x14ac:dyDescent="0.25">
      <c r="A59" s="1095"/>
      <c r="B59" s="1107">
        <f t="shared" si="6"/>
        <v>9</v>
      </c>
      <c r="C59" s="1100">
        <v>1</v>
      </c>
      <c r="D59" s="1100">
        <v>1</v>
      </c>
      <c r="E59" s="1100">
        <v>1</v>
      </c>
      <c r="F59" s="1100">
        <f>+G6</f>
        <v>1.05</v>
      </c>
      <c r="G59" s="1100">
        <v>1</v>
      </c>
      <c r="H59" s="1100">
        <v>1</v>
      </c>
      <c r="I59" s="1100">
        <v>1</v>
      </c>
      <c r="J59" s="1095"/>
      <c r="K59" s="1113">
        <v>1.7987661930009131</v>
      </c>
      <c r="L59" s="1114">
        <v>0</v>
      </c>
      <c r="M59" s="1114">
        <v>1.380972221570458E-3</v>
      </c>
      <c r="N59" s="1114">
        <v>0.12703439131175961</v>
      </c>
      <c r="O59" s="1114">
        <v>0.1312562594167081</v>
      </c>
      <c r="P59" s="1114">
        <v>1.9133264077050374E-2</v>
      </c>
      <c r="Q59" s="1114">
        <v>8.987958215351487E-4</v>
      </c>
      <c r="R59" s="1114">
        <v>1.3774252042083467E-3</v>
      </c>
      <c r="S59" s="1114">
        <v>0.10825991643651157</v>
      </c>
      <c r="T59" s="1114">
        <v>1.0826079963311221</v>
      </c>
      <c r="U59" s="1114">
        <v>0</v>
      </c>
      <c r="V59" s="1114">
        <v>0.2117951909983371</v>
      </c>
      <c r="W59" s="1114">
        <v>8.3452959406444122E-2</v>
      </c>
      <c r="X59" s="1114">
        <v>3.0582068881047156E-2</v>
      </c>
      <c r="Y59" s="1114">
        <v>3.7488973377585865E-3</v>
      </c>
      <c r="Z59" s="1229"/>
      <c r="AA59" s="1095"/>
      <c r="AB59" s="1095"/>
      <c r="AC59" s="1095"/>
      <c r="AD59" s="1095"/>
      <c r="AE59" s="1095"/>
      <c r="AF59" s="1095"/>
      <c r="AG59" s="1095"/>
      <c r="AH59" s="1095"/>
      <c r="AI59" s="1095"/>
      <c r="AJ59" s="1095"/>
      <c r="AK59" s="1095"/>
      <c r="AL59" s="1095"/>
      <c r="AM59" s="1095"/>
      <c r="AN59" s="1095"/>
      <c r="AO59" s="1095"/>
      <c r="AP59" s="1095"/>
      <c r="AQ59" s="1095"/>
      <c r="AR59" s="1095"/>
      <c r="AS59" s="1095"/>
      <c r="AT59" s="1095"/>
      <c r="AU59" s="1095"/>
      <c r="AV59" s="1095"/>
      <c r="AW59" s="1095"/>
      <c r="AX59" s="1095"/>
      <c r="AY59" s="1095"/>
      <c r="AZ59" s="1095"/>
      <c r="BA59" s="1095"/>
      <c r="BB59" s="1095"/>
      <c r="BC59" s="1095"/>
      <c r="BD59" s="1095"/>
      <c r="BE59" s="1095"/>
      <c r="BF59" s="1095"/>
      <c r="BG59" s="1095"/>
      <c r="BH59" s="1095"/>
      <c r="BI59" s="1095"/>
      <c r="BJ59" s="1095"/>
      <c r="BK59" s="1095"/>
      <c r="BL59" s="1095"/>
      <c r="BM59" s="1095"/>
      <c r="BN59" s="1095"/>
      <c r="BO59" s="1095"/>
      <c r="BP59" s="1095"/>
      <c r="BQ59" s="1095"/>
      <c r="BR59" s="1095"/>
      <c r="BS59" s="1095"/>
      <c r="BT59" s="1095"/>
      <c r="BU59" s="1095"/>
    </row>
    <row r="60" spans="1:73" x14ac:dyDescent="0.25">
      <c r="A60" s="1095"/>
      <c r="B60" s="1115">
        <f t="shared" si="6"/>
        <v>10</v>
      </c>
      <c r="C60" s="1116">
        <v>1</v>
      </c>
      <c r="D60" s="1116">
        <v>1</v>
      </c>
      <c r="E60" s="1116">
        <v>1</v>
      </c>
      <c r="F60" s="1116">
        <v>1</v>
      </c>
      <c r="G60" s="1116">
        <f>+F7</f>
        <v>0.95</v>
      </c>
      <c r="H60" s="1116">
        <v>1</v>
      </c>
      <c r="I60" s="1116">
        <v>1</v>
      </c>
      <c r="J60" s="1095"/>
      <c r="K60" s="1113">
        <v>1.735558000703026</v>
      </c>
      <c r="L60" s="1114">
        <v>0</v>
      </c>
      <c r="M60" s="1114">
        <v>1.3752474814784693E-3</v>
      </c>
      <c r="N60" s="1114">
        <v>0.12650642153831423</v>
      </c>
      <c r="O60" s="1114">
        <v>0.12749490878546157</v>
      </c>
      <c r="P60" s="1114">
        <v>1.8357771197497531E-2</v>
      </c>
      <c r="Q60" s="1114">
        <v>8.987958215351487E-4</v>
      </c>
      <c r="R60" s="1114">
        <v>1.371700464116358E-3</v>
      </c>
      <c r="S60" s="1114">
        <v>0.10796906793131673</v>
      </c>
      <c r="T60" s="1114">
        <v>1.0310552346010684</v>
      </c>
      <c r="U60" s="1114">
        <v>0</v>
      </c>
      <c r="V60" s="1114">
        <v>0.20678275437885416</v>
      </c>
      <c r="W60" s="1114">
        <v>8.3106119156208025E-2</v>
      </c>
      <c r="X60" s="1114">
        <v>2.9657157827742048E-2</v>
      </c>
      <c r="Y60" s="1114">
        <v>3.7333164823882565E-3</v>
      </c>
      <c r="Z60" s="1229"/>
      <c r="AA60" s="1095"/>
      <c r="AB60" s="1095"/>
      <c r="AC60" s="1095"/>
      <c r="AD60" s="1095"/>
      <c r="AE60" s="1095"/>
      <c r="AF60" s="1095"/>
      <c r="AG60" s="1095"/>
      <c r="AH60" s="1095"/>
      <c r="AI60" s="1095"/>
      <c r="AJ60" s="1095"/>
      <c r="AK60" s="1095"/>
      <c r="AL60" s="1095"/>
      <c r="AM60" s="1095"/>
      <c r="AN60" s="1095"/>
      <c r="AO60" s="1095"/>
      <c r="AP60" s="1095"/>
      <c r="AQ60" s="1095"/>
      <c r="AR60" s="1095"/>
      <c r="AS60" s="1095"/>
      <c r="AT60" s="1095"/>
      <c r="AU60" s="1095"/>
      <c r="AV60" s="1095"/>
      <c r="AW60" s="1095"/>
      <c r="AX60" s="1095"/>
      <c r="AY60" s="1095"/>
      <c r="AZ60" s="1095"/>
      <c r="BA60" s="1095"/>
      <c r="BB60" s="1095"/>
      <c r="BC60" s="1095"/>
      <c r="BD60" s="1095"/>
      <c r="BE60" s="1095"/>
      <c r="BF60" s="1095"/>
      <c r="BG60" s="1095"/>
      <c r="BH60" s="1095"/>
      <c r="BI60" s="1095"/>
      <c r="BJ60" s="1095"/>
      <c r="BK60" s="1095"/>
      <c r="BL60" s="1095"/>
      <c r="BM60" s="1095"/>
      <c r="BN60" s="1095"/>
      <c r="BO60" s="1095"/>
      <c r="BP60" s="1095"/>
      <c r="BQ60" s="1095"/>
      <c r="BR60" s="1095"/>
      <c r="BS60" s="1095"/>
      <c r="BT60" s="1095"/>
      <c r="BU60" s="1095"/>
    </row>
    <row r="61" spans="1:73" x14ac:dyDescent="0.25">
      <c r="A61" s="1095"/>
      <c r="B61" s="1115">
        <f t="shared" si="6"/>
        <v>11</v>
      </c>
      <c r="C61" s="1116">
        <v>1</v>
      </c>
      <c r="D61" s="1116">
        <v>1</v>
      </c>
      <c r="E61" s="1116">
        <v>1</v>
      </c>
      <c r="F61" s="1116">
        <v>1</v>
      </c>
      <c r="G61" s="1116">
        <f>+G6</f>
        <v>1.05</v>
      </c>
      <c r="H61" s="1116">
        <v>1</v>
      </c>
      <c r="I61" s="1116">
        <v>1</v>
      </c>
      <c r="J61" s="1095"/>
      <c r="K61" s="1113">
        <v>1.7404845829237012</v>
      </c>
      <c r="L61" s="1114">
        <v>0</v>
      </c>
      <c r="M61" s="1114">
        <v>1.3752474814784693E-3</v>
      </c>
      <c r="N61" s="1114">
        <v>0.12650642153831423</v>
      </c>
      <c r="O61" s="1114">
        <v>0.12749490878546157</v>
      </c>
      <c r="P61" s="1114">
        <v>1.8423784482124388E-2</v>
      </c>
      <c r="Q61" s="1114">
        <v>8.987958215351487E-4</v>
      </c>
      <c r="R61" s="1114">
        <v>1.371700464116358E-3</v>
      </c>
      <c r="S61" s="1114">
        <v>0.10796906793131673</v>
      </c>
      <c r="T61" s="1114">
        <v>1.0310552346010684</v>
      </c>
      <c r="U61" s="1114">
        <v>0</v>
      </c>
      <c r="V61" s="1114">
        <v>0.21162044179125258</v>
      </c>
      <c r="W61" s="1114">
        <v>8.3106119156208025E-2</v>
      </c>
      <c r="X61" s="1114">
        <v>2.9680039351392584E-2</v>
      </c>
      <c r="Y61" s="1114">
        <v>3.7333164823882565E-3</v>
      </c>
      <c r="Z61" s="1229"/>
      <c r="AA61" s="1095"/>
      <c r="AB61" s="1095"/>
      <c r="AC61" s="1095"/>
      <c r="AD61" s="1095"/>
      <c r="AE61" s="1095"/>
      <c r="AF61" s="1095"/>
      <c r="AG61" s="1095"/>
      <c r="AH61" s="1095"/>
      <c r="AI61" s="1095"/>
      <c r="AJ61" s="1095"/>
      <c r="AK61" s="1095"/>
      <c r="AL61" s="1095"/>
      <c r="AM61" s="1095"/>
      <c r="AN61" s="1095"/>
      <c r="AO61" s="1095"/>
      <c r="AP61" s="1095"/>
      <c r="AQ61" s="1095"/>
      <c r="AR61" s="1095"/>
      <c r="AS61" s="1095"/>
      <c r="AT61" s="1095"/>
      <c r="AU61" s="1095"/>
      <c r="AV61" s="1095"/>
      <c r="AW61" s="1095"/>
      <c r="AX61" s="1095"/>
      <c r="AY61" s="1095"/>
      <c r="AZ61" s="1095"/>
      <c r="BA61" s="1095"/>
      <c r="BB61" s="1095"/>
      <c r="BC61" s="1095"/>
      <c r="BD61" s="1095"/>
      <c r="BE61" s="1095"/>
      <c r="BF61" s="1095"/>
      <c r="BG61" s="1095"/>
      <c r="BH61" s="1095"/>
      <c r="BI61" s="1095"/>
      <c r="BJ61" s="1095"/>
      <c r="BK61" s="1095"/>
      <c r="BL61" s="1095"/>
      <c r="BM61" s="1095"/>
      <c r="BN61" s="1095"/>
      <c r="BO61" s="1095"/>
      <c r="BP61" s="1095"/>
      <c r="BQ61" s="1095"/>
      <c r="BR61" s="1095"/>
      <c r="BS61" s="1095"/>
      <c r="BT61" s="1095"/>
      <c r="BU61" s="1095"/>
    </row>
    <row r="62" spans="1:73" x14ac:dyDescent="0.25">
      <c r="A62" s="1095"/>
      <c r="B62" s="1107">
        <f t="shared" si="6"/>
        <v>12</v>
      </c>
      <c r="C62" s="1100">
        <v>1</v>
      </c>
      <c r="D62" s="1100">
        <v>1</v>
      </c>
      <c r="E62" s="1100">
        <v>1</v>
      </c>
      <c r="F62" s="1100">
        <v>1</v>
      </c>
      <c r="G62" s="1100">
        <v>1</v>
      </c>
      <c r="H62" s="1100">
        <f>+F8</f>
        <v>0.95</v>
      </c>
      <c r="I62" s="1100">
        <v>1</v>
      </c>
      <c r="J62" s="1095"/>
      <c r="K62" s="1113">
        <v>1.7237253260295189</v>
      </c>
      <c r="L62" s="1114">
        <v>0</v>
      </c>
      <c r="M62" s="1114">
        <v>1.3064851074045458E-3</v>
      </c>
      <c r="N62" s="1114">
        <v>0.12016474410352905</v>
      </c>
      <c r="O62" s="1114">
        <v>0.12749490878546157</v>
      </c>
      <c r="P62" s="1114">
        <v>1.8343102399162137E-2</v>
      </c>
      <c r="Q62" s="1114">
        <v>8.987958215351487E-4</v>
      </c>
      <c r="R62" s="1114">
        <v>1.3029380900424345E-3</v>
      </c>
      <c r="S62" s="1114">
        <v>0.10447555846334336</v>
      </c>
      <c r="T62" s="1114">
        <v>1.0310552346010684</v>
      </c>
      <c r="U62" s="1114">
        <v>0</v>
      </c>
      <c r="V62" s="1114">
        <v>0.20920159808505334</v>
      </c>
      <c r="W62" s="1114">
        <v>7.8940068183168066E-2</v>
      </c>
      <c r="X62" s="1114">
        <v>2.9608694636888335E-2</v>
      </c>
      <c r="Y62" s="1114">
        <v>3.546167967669558E-3</v>
      </c>
      <c r="Z62" s="1229"/>
      <c r="AA62" s="1095"/>
      <c r="AB62" s="1095"/>
      <c r="AC62" s="1095"/>
      <c r="AD62" s="1095"/>
      <c r="AE62" s="1095"/>
      <c r="AF62" s="1095"/>
      <c r="AG62" s="1095"/>
      <c r="AH62" s="1095"/>
      <c r="AI62" s="1095"/>
      <c r="AJ62" s="1095"/>
      <c r="AK62" s="1095"/>
      <c r="AL62" s="1095"/>
      <c r="AM62" s="1095"/>
      <c r="AN62" s="1095"/>
      <c r="AO62" s="1095"/>
      <c r="AP62" s="1095"/>
      <c r="AQ62" s="1095"/>
      <c r="AR62" s="1095"/>
      <c r="AS62" s="1095"/>
      <c r="AT62" s="1095"/>
      <c r="AU62" s="1095"/>
      <c r="AV62" s="1095"/>
      <c r="AW62" s="1095"/>
      <c r="AX62" s="1095"/>
      <c r="AY62" s="1095"/>
      <c r="AZ62" s="1095"/>
      <c r="BA62" s="1095"/>
      <c r="BB62" s="1095"/>
      <c r="BC62" s="1095"/>
      <c r="BD62" s="1095"/>
      <c r="BE62" s="1095"/>
      <c r="BF62" s="1095"/>
      <c r="BG62" s="1095"/>
      <c r="BH62" s="1095"/>
      <c r="BI62" s="1095"/>
      <c r="BJ62" s="1095"/>
      <c r="BK62" s="1095"/>
      <c r="BL62" s="1095"/>
      <c r="BM62" s="1095"/>
      <c r="BN62" s="1095"/>
      <c r="BO62" s="1095"/>
      <c r="BP62" s="1095"/>
      <c r="BQ62" s="1095"/>
      <c r="BR62" s="1095"/>
      <c r="BS62" s="1095"/>
      <c r="BT62" s="1095"/>
      <c r="BU62" s="1095"/>
    </row>
    <row r="63" spans="1:73" x14ac:dyDescent="0.25">
      <c r="A63" s="1095"/>
      <c r="B63" s="1107">
        <f t="shared" si="6"/>
        <v>13</v>
      </c>
      <c r="C63" s="1100">
        <v>1</v>
      </c>
      <c r="D63" s="1100">
        <v>1</v>
      </c>
      <c r="E63" s="1100">
        <v>1</v>
      </c>
      <c r="F63" s="1100">
        <v>1</v>
      </c>
      <c r="G63" s="1100">
        <v>1</v>
      </c>
      <c r="H63" s="1100">
        <f>+G8</f>
        <v>1.05</v>
      </c>
      <c r="I63" s="1100">
        <v>1</v>
      </c>
      <c r="J63" s="1095"/>
      <c r="K63" s="1113">
        <v>1.7523172575972081</v>
      </c>
      <c r="L63" s="1114">
        <v>0</v>
      </c>
      <c r="M63" s="1114">
        <v>1.444009855552393E-3</v>
      </c>
      <c r="N63" s="1114">
        <v>0.13284809897309938</v>
      </c>
      <c r="O63" s="1114">
        <v>0.12749490878546157</v>
      </c>
      <c r="P63" s="1114">
        <v>1.8438453280459802E-2</v>
      </c>
      <c r="Q63" s="1114">
        <v>8.987958215351487E-4</v>
      </c>
      <c r="R63" s="1114">
        <v>1.4404628381902815E-3</v>
      </c>
      <c r="S63" s="1114">
        <v>0.11146257739929009</v>
      </c>
      <c r="T63" s="1114">
        <v>1.0310552346010684</v>
      </c>
      <c r="U63" s="1114">
        <v>0</v>
      </c>
      <c r="V63" s="1114">
        <v>0.20920159808505334</v>
      </c>
      <c r="W63" s="1114">
        <v>8.7272170129247886E-2</v>
      </c>
      <c r="X63" s="1114">
        <v>2.9728502542246252E-2</v>
      </c>
      <c r="Y63" s="1114">
        <v>3.9204649971069545E-3</v>
      </c>
      <c r="Z63" s="1229"/>
      <c r="AA63" s="1095"/>
      <c r="AB63" s="1095"/>
      <c r="AC63" s="1095"/>
      <c r="AD63" s="1095"/>
      <c r="AE63" s="1095"/>
      <c r="AF63" s="1095"/>
      <c r="AG63" s="1095"/>
      <c r="AH63" s="1095"/>
      <c r="AI63" s="1095"/>
      <c r="AJ63" s="1095"/>
      <c r="AK63" s="1095"/>
      <c r="AL63" s="1095"/>
      <c r="AM63" s="1095"/>
      <c r="AN63" s="1095"/>
      <c r="AO63" s="1095"/>
      <c r="AP63" s="1095"/>
      <c r="AQ63" s="1095"/>
      <c r="AR63" s="1095"/>
      <c r="AS63" s="1095"/>
      <c r="AT63" s="1095"/>
      <c r="AU63" s="1095"/>
      <c r="AV63" s="1095"/>
      <c r="AW63" s="1095"/>
      <c r="AX63" s="1095"/>
      <c r="AY63" s="1095"/>
      <c r="AZ63" s="1095"/>
      <c r="BA63" s="1095"/>
      <c r="BB63" s="1095"/>
      <c r="BC63" s="1095"/>
      <c r="BD63" s="1095"/>
      <c r="BE63" s="1095"/>
      <c r="BF63" s="1095"/>
      <c r="BG63" s="1095"/>
      <c r="BH63" s="1095"/>
      <c r="BI63" s="1095"/>
      <c r="BJ63" s="1095"/>
      <c r="BK63" s="1095"/>
      <c r="BL63" s="1095"/>
      <c r="BM63" s="1095"/>
      <c r="BN63" s="1095"/>
      <c r="BO63" s="1095"/>
      <c r="BP63" s="1095"/>
      <c r="BQ63" s="1095"/>
      <c r="BR63" s="1095"/>
      <c r="BS63" s="1095"/>
      <c r="BT63" s="1095"/>
      <c r="BU63" s="1095"/>
    </row>
    <row r="64" spans="1:73" x14ac:dyDescent="0.25">
      <c r="A64" s="1095"/>
      <c r="B64" s="1115">
        <f t="shared" si="6"/>
        <v>14</v>
      </c>
      <c r="C64" s="1100">
        <v>1</v>
      </c>
      <c r="D64" s="1100">
        <v>1</v>
      </c>
      <c r="E64" s="1100">
        <v>1</v>
      </c>
      <c r="F64" s="1100">
        <v>1</v>
      </c>
      <c r="G64" s="1100">
        <v>1</v>
      </c>
      <c r="H64" s="1100">
        <v>1</v>
      </c>
      <c r="I64" s="1100">
        <f>+F9</f>
        <v>0.95</v>
      </c>
      <c r="J64" s="1095"/>
      <c r="K64" s="1113">
        <v>1.732523630300667</v>
      </c>
      <c r="L64" s="1114">
        <v>0</v>
      </c>
      <c r="M64" s="1114">
        <v>1.3752474814784693E-3</v>
      </c>
      <c r="N64" s="1114">
        <v>0.12650642153831423</v>
      </c>
      <c r="O64" s="1114">
        <v>0.12749490878546157</v>
      </c>
      <c r="P64" s="1114">
        <v>1.8317105892772363E-2</v>
      </c>
      <c r="Q64" s="1114">
        <v>8.987958215351487E-4</v>
      </c>
      <c r="R64" s="1114">
        <v>1.371700464116358E-3</v>
      </c>
      <c r="S64" s="1114">
        <v>0.10257061453475087</v>
      </c>
      <c r="T64" s="1114">
        <v>1.0310552346010684</v>
      </c>
      <c r="U64" s="1114">
        <v>0</v>
      </c>
      <c r="V64" s="1114">
        <v>0.20920159808505334</v>
      </c>
      <c r="W64" s="1114">
        <v>8.3106119156208025E-2</v>
      </c>
      <c r="X64" s="1114">
        <v>2.9643062420475388E-2</v>
      </c>
      <c r="Y64" s="1114">
        <v>3.7333164823882565E-3</v>
      </c>
      <c r="Z64" s="1229"/>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095"/>
      <c r="BN64" s="1095"/>
      <c r="BO64" s="1095"/>
      <c r="BP64" s="1095"/>
      <c r="BQ64" s="1095"/>
      <c r="BR64" s="1095"/>
      <c r="BS64" s="1095"/>
      <c r="BT64" s="1095"/>
      <c r="BU64" s="1095"/>
    </row>
    <row r="65" spans="1:73" ht="13" thickBot="1" x14ac:dyDescent="0.3">
      <c r="A65" s="1095"/>
      <c r="B65" s="1218">
        <f t="shared" si="6"/>
        <v>15</v>
      </c>
      <c r="C65" s="1219">
        <v>1</v>
      </c>
      <c r="D65" s="1219">
        <v>1</v>
      </c>
      <c r="E65" s="1219">
        <v>1</v>
      </c>
      <c r="F65" s="1219">
        <v>1</v>
      </c>
      <c r="G65" s="1219">
        <v>1</v>
      </c>
      <c r="H65" s="1219">
        <v>1</v>
      </c>
      <c r="I65" s="1219">
        <f>+G9</f>
        <v>1.05</v>
      </c>
      <c r="J65" s="1220"/>
      <c r="K65" s="1221">
        <v>1.7435189533260593</v>
      </c>
      <c r="L65" s="1222">
        <v>0</v>
      </c>
      <c r="M65" s="1222">
        <v>1.3752474814784693E-3</v>
      </c>
      <c r="N65" s="1222">
        <v>0.12650642153831423</v>
      </c>
      <c r="O65" s="1222">
        <v>0.12749490878546157</v>
      </c>
      <c r="P65" s="1222">
        <v>1.8464449786849579E-2</v>
      </c>
      <c r="Q65" s="1222">
        <v>8.987958215351487E-4</v>
      </c>
      <c r="R65" s="1222">
        <v>1.371700464116358E-3</v>
      </c>
      <c r="S65" s="1222">
        <v>0.11336752132788257</v>
      </c>
      <c r="T65" s="1222">
        <v>1.0310552346010684</v>
      </c>
      <c r="U65" s="1222">
        <v>0</v>
      </c>
      <c r="V65" s="1222">
        <v>0.20920159808505334</v>
      </c>
      <c r="W65" s="1222">
        <v>8.3106119156208025E-2</v>
      </c>
      <c r="X65" s="1222">
        <v>2.9694134758659247E-2</v>
      </c>
      <c r="Y65" s="1222">
        <v>3.7333164823882565E-3</v>
      </c>
      <c r="Z65" s="1229"/>
      <c r="AA65" s="1095"/>
      <c r="AB65" s="1095"/>
      <c r="AC65" s="1095"/>
      <c r="AD65" s="1095"/>
      <c r="AE65" s="1095"/>
      <c r="AF65" s="1095"/>
      <c r="AG65" s="1095"/>
      <c r="AH65" s="1095"/>
      <c r="AI65" s="1095"/>
      <c r="AJ65" s="1095"/>
      <c r="AK65" s="1095"/>
      <c r="AL65" s="1095"/>
      <c r="AM65" s="1095"/>
      <c r="AN65" s="1095"/>
      <c r="AO65" s="1095"/>
      <c r="AP65" s="1095"/>
      <c r="AQ65" s="1095"/>
      <c r="AR65" s="1095"/>
      <c r="AS65" s="1095"/>
      <c r="AT65" s="1095"/>
      <c r="AU65" s="1095"/>
      <c r="AV65" s="1095"/>
      <c r="AW65" s="1095"/>
      <c r="AX65" s="1095"/>
      <c r="AY65" s="1095"/>
      <c r="AZ65" s="1095"/>
      <c r="BA65" s="1095"/>
      <c r="BB65" s="1095"/>
      <c r="BC65" s="1095"/>
      <c r="BD65" s="1095"/>
      <c r="BE65" s="1095"/>
      <c r="BF65" s="1095"/>
      <c r="BG65" s="1095"/>
      <c r="BH65" s="1095"/>
      <c r="BI65" s="1095"/>
      <c r="BJ65" s="1095"/>
      <c r="BK65" s="1095"/>
      <c r="BL65" s="1095"/>
      <c r="BM65" s="1095"/>
      <c r="BN65" s="1095"/>
      <c r="BO65" s="1095"/>
      <c r="BP65" s="1095"/>
      <c r="BQ65" s="1095"/>
      <c r="BR65" s="1095"/>
      <c r="BS65" s="1095"/>
      <c r="BT65" s="1095"/>
      <c r="BU65" s="1095"/>
    </row>
    <row r="66" spans="1:73" ht="13" thickTop="1" x14ac:dyDescent="0.25">
      <c r="A66" s="1095"/>
      <c r="B66" s="1214">
        <f t="shared" si="6"/>
        <v>16</v>
      </c>
      <c r="C66" s="1215">
        <f>(C$72=1)*$F$3
+(C$72=2)
+(C$72=3)
+(C$72=4)
+(C$72=5)</f>
        <v>1</v>
      </c>
      <c r="D66" s="1215">
        <v>1</v>
      </c>
      <c r="E66" s="1215">
        <v>1</v>
      </c>
      <c r="F66" s="1215">
        <f>(F$72=1)*$F$6
+(F$72=2)
+(F$72=3)
+(F$72=4)
+(F$72=5)</f>
        <v>0.95</v>
      </c>
      <c r="G66" s="1215">
        <f>(G$72=1)*$F$7
+(G$72=2)
+(G$72=3)
+(G$72=4)
+(G$72=5)</f>
        <v>1</v>
      </c>
      <c r="H66" s="1215">
        <f>(H$72=1)*$F$8
+(H$72=2)
+(H$72=3)
+(H$72=4)
+(H$72=5)</f>
        <v>1</v>
      </c>
      <c r="I66" s="1215">
        <f>(I$72=1)*$F$9
+(I$72=2)
+(I$72=3)
+(I$72=4)
+(I$72=5)</f>
        <v>1</v>
      </c>
      <c r="J66" s="1095"/>
      <c r="K66" s="1216">
        <v>1.6770445332498354</v>
      </c>
      <c r="L66" s="1217">
        <v>0</v>
      </c>
      <c r="M66" s="1217">
        <v>1.3690324835518666E-3</v>
      </c>
      <c r="N66" s="1217">
        <v>0.12593323725491529</v>
      </c>
      <c r="O66" s="1217">
        <v>0.12365640391750458</v>
      </c>
      <c r="P66" s="1217">
        <v>1.7647423808294729E-2</v>
      </c>
      <c r="Q66" s="1217">
        <v>8.987958215351487E-4</v>
      </c>
      <c r="R66" s="1217">
        <v>1.3654854661897557E-3</v>
      </c>
      <c r="S66" s="1217">
        <v>0.10765331161265509</v>
      </c>
      <c r="T66" s="1217">
        <v>0.97950247287101511</v>
      </c>
      <c r="U66" s="1217">
        <v>0</v>
      </c>
      <c r="V66" s="1217">
        <v>0.20656932369311512</v>
      </c>
      <c r="W66" s="1217">
        <v>8.2729576046574674E-2</v>
      </c>
      <c r="X66" s="1217">
        <v>2.8741133934781823E-2</v>
      </c>
      <c r="Y66" s="1217">
        <v>3.7164013068055612E-3</v>
      </c>
      <c r="Z66" s="1229"/>
      <c r="AA66" s="1095"/>
      <c r="AB66" s="1095"/>
      <c r="AC66" s="1095"/>
      <c r="AD66" s="1095"/>
      <c r="AE66" s="1095"/>
      <c r="AF66" s="1095"/>
      <c r="AG66" s="1095"/>
      <c r="AH66" s="1095"/>
      <c r="AI66" s="1095"/>
      <c r="AJ66" s="1095"/>
      <c r="AK66" s="1095"/>
      <c r="AL66" s="1095"/>
      <c r="AM66" s="1095"/>
      <c r="AN66" s="1095"/>
      <c r="AO66" s="1095"/>
      <c r="AP66" s="1095"/>
      <c r="AQ66" s="1095"/>
      <c r="AR66" s="1095"/>
      <c r="AS66" s="1095"/>
      <c r="AT66" s="1095"/>
      <c r="AU66" s="1095"/>
      <c r="AV66" s="1095"/>
      <c r="AW66" s="1095"/>
      <c r="AX66" s="1095"/>
      <c r="AY66" s="1095"/>
      <c r="AZ66" s="1095"/>
      <c r="BA66" s="1095"/>
      <c r="BB66" s="1095"/>
      <c r="BC66" s="1095"/>
      <c r="BD66" s="1095"/>
      <c r="BE66" s="1095"/>
      <c r="BF66" s="1095"/>
      <c r="BG66" s="1095"/>
      <c r="BH66" s="1095"/>
      <c r="BI66" s="1095"/>
      <c r="BJ66" s="1095"/>
      <c r="BK66" s="1095"/>
      <c r="BL66" s="1095"/>
      <c r="BM66" s="1095"/>
      <c r="BN66" s="1095"/>
      <c r="BO66" s="1095"/>
      <c r="BP66" s="1095"/>
      <c r="BQ66" s="1095"/>
      <c r="BR66" s="1095"/>
      <c r="BS66" s="1095"/>
      <c r="BT66" s="1095"/>
      <c r="BU66" s="1095"/>
    </row>
    <row r="67" spans="1:73" x14ac:dyDescent="0.25">
      <c r="A67" s="1095"/>
      <c r="B67" s="1107">
        <f t="shared" si="6"/>
        <v>17</v>
      </c>
      <c r="C67" s="1215">
        <f>(C$72=1)*$F$3
+(C$72=2)*$F$3
+(C$72=3)
+(C$72=4)
+(C$72=5)</f>
        <v>1.05</v>
      </c>
      <c r="D67" s="1100">
        <v>1</v>
      </c>
      <c r="E67" s="1100">
        <v>1</v>
      </c>
      <c r="F67" s="1215">
        <f>(F$72=1)*$F$6
+(F$72=2)*$F$6
+(F$72=3)
+(F$72=4)
+(F$72=5)</f>
        <v>0.95</v>
      </c>
      <c r="G67" s="1215">
        <f>(G$72=1)*$F$7
+(G$72=2)*$F$7
+(G$72=3)
+(G$72=4)
+(G$72=5)</f>
        <v>1</v>
      </c>
      <c r="H67" s="1215">
        <f>(H$72=1)*$F$8
+(H$72=2)*$F$8
+(H$72=3)
+(H$72=4)
+(H$72=5)</f>
        <v>1</v>
      </c>
      <c r="I67" s="1215">
        <f>(I$72=1)*$F$9
+(I$72=2)*$F$9
+(I$72=3)
+(I$72=4)
+(I$72=5)</f>
        <v>1</v>
      </c>
      <c r="J67" s="1095"/>
      <c r="K67" s="1113">
        <v>1.6558288361723175</v>
      </c>
      <c r="L67" s="1114">
        <v>0</v>
      </c>
      <c r="M67" s="1114">
        <v>1.3092500384246882E-3</v>
      </c>
      <c r="N67" s="1114">
        <v>0.12043532006414763</v>
      </c>
      <c r="O67" s="1114">
        <v>0.12123885005459863</v>
      </c>
      <c r="P67" s="1114">
        <v>1.7526660808368379E-2</v>
      </c>
      <c r="Q67" s="1114">
        <v>8.5599602050966529E-4</v>
      </c>
      <c r="R67" s="1114">
        <v>1.3058719266512489E-3</v>
      </c>
      <c r="S67" s="1114">
        <v>0.10280179996078137</v>
      </c>
      <c r="T67" s="1114">
        <v>0.97950247287101511</v>
      </c>
      <c r="U67" s="1114">
        <v>0</v>
      </c>
      <c r="V67" s="1114">
        <v>0.20257169461748081</v>
      </c>
      <c r="W67" s="1114">
        <v>7.9117818195780384E-2</v>
      </c>
      <c r="X67" s="1114">
        <v>2.8227448787628787E-2</v>
      </c>
      <c r="Y67" s="1114">
        <v>3.5541529037797733E-3</v>
      </c>
      <c r="Z67" s="1229"/>
      <c r="AA67" s="1095"/>
      <c r="AB67" s="1095"/>
      <c r="AC67" s="1095"/>
      <c r="AD67" s="1095"/>
      <c r="AE67" s="1095"/>
      <c r="AF67" s="1095"/>
      <c r="AG67" s="1095"/>
      <c r="AH67" s="1095"/>
      <c r="AI67" s="1095"/>
      <c r="AJ67" s="1095"/>
      <c r="AK67" s="1095"/>
      <c r="AL67" s="1095"/>
      <c r="AM67" s="1095"/>
      <c r="AN67" s="1095"/>
      <c r="AO67" s="1095"/>
      <c r="AP67" s="1095"/>
      <c r="AQ67" s="1095"/>
      <c r="AR67" s="1095"/>
      <c r="AS67" s="1095"/>
      <c r="AT67" s="1095"/>
      <c r="AU67" s="1095"/>
      <c r="AV67" s="1095"/>
      <c r="AW67" s="1095"/>
      <c r="AX67" s="1095"/>
      <c r="AY67" s="1095"/>
      <c r="AZ67" s="1095"/>
      <c r="BA67" s="1095"/>
      <c r="BB67" s="1095"/>
      <c r="BC67" s="1095"/>
      <c r="BD67" s="1095"/>
      <c r="BE67" s="1095"/>
      <c r="BF67" s="1095"/>
      <c r="BG67" s="1095"/>
      <c r="BH67" s="1095"/>
      <c r="BI67" s="1095"/>
      <c r="BJ67" s="1095"/>
      <c r="BK67" s="1095"/>
      <c r="BL67" s="1095"/>
      <c r="BM67" s="1095"/>
      <c r="BN67" s="1095"/>
      <c r="BO67" s="1095"/>
      <c r="BP67" s="1095"/>
      <c r="BQ67" s="1095"/>
      <c r="BR67" s="1095"/>
      <c r="BS67" s="1095"/>
      <c r="BT67" s="1095"/>
      <c r="BU67" s="1095"/>
    </row>
    <row r="68" spans="1:73" x14ac:dyDescent="0.25">
      <c r="A68" s="1095"/>
      <c r="B68" s="1115">
        <f t="shared" si="6"/>
        <v>18</v>
      </c>
      <c r="C68" s="1215">
        <f>(C$72=1)*$F$3
+(C$72=2)*$F$3
+(C$72=3)*$F$3
+(C$72=4)
+(C$72=5)</f>
        <v>1.05</v>
      </c>
      <c r="D68" s="1100">
        <v>1</v>
      </c>
      <c r="E68" s="1100">
        <v>1</v>
      </c>
      <c r="F68" s="1215">
        <f>(F$72=1)*$F$6
+(F$72=2)*$F$6
+(F$72=3)*$F$6
+(F$72=4)
+(F$72=5)</f>
        <v>0.95</v>
      </c>
      <c r="G68" s="1215">
        <f>(G$72=1)*$F$7
+(G$72=2)*$F$7
+(G$72=3)*$F$7
+(G$72=4)
+(G$72=5)</f>
        <v>1</v>
      </c>
      <c r="H68" s="1215">
        <f>(H$72=1)*$F$8
+(H$72=2)*$F$8
+(H$72=3)*$F$8
+(H$72=4)
+(H$72=5)</f>
        <v>0.95</v>
      </c>
      <c r="I68" s="1215">
        <f>(I$72=1)*$F$9
+(I$72=2)*$F$9
+(I$72=3)*$F$9
+(I$72=4)
+(I$72=5)</f>
        <v>1</v>
      </c>
      <c r="J68" s="1095"/>
      <c r="K68" s="1113">
        <v>1.6422189266804679</v>
      </c>
      <c r="L68" s="1114">
        <v>0</v>
      </c>
      <c r="M68" s="1114">
        <v>1.2437875365034535E-3</v>
      </c>
      <c r="N68" s="1114">
        <v>0.11439797657725508</v>
      </c>
      <c r="O68" s="1114">
        <v>0.12123885005459863</v>
      </c>
      <c r="P68" s="1114">
        <v>1.7481273288418649E-2</v>
      </c>
      <c r="Q68" s="1114">
        <v>8.5599602050966529E-4</v>
      </c>
      <c r="R68" s="1114">
        <v>1.2404094247300142E-3</v>
      </c>
      <c r="S68" s="1114">
        <v>9.9475942275687512E-2</v>
      </c>
      <c r="T68" s="1114">
        <v>0.97950247287101511</v>
      </c>
      <c r="U68" s="1114">
        <v>0</v>
      </c>
      <c r="V68" s="1114">
        <v>0.20257169461748081</v>
      </c>
      <c r="W68" s="1114">
        <v>7.5151693938153713E-2</v>
      </c>
      <c r="X68" s="1114">
        <v>2.8170419595863101E-2</v>
      </c>
      <c r="Y68" s="1114">
        <v>3.3759855532581313E-3</v>
      </c>
      <c r="Z68" s="1229"/>
      <c r="AA68" s="1095"/>
      <c r="AB68" s="1095"/>
      <c r="AC68" s="1095"/>
      <c r="AD68" s="1095"/>
      <c r="AE68" s="1095"/>
      <c r="AF68" s="1095"/>
      <c r="AG68" s="1095"/>
      <c r="AH68" s="1095"/>
      <c r="AI68" s="1095"/>
      <c r="AJ68" s="1095"/>
      <c r="AK68" s="1095"/>
      <c r="AL68" s="1095"/>
      <c r="AM68" s="1095"/>
      <c r="AN68" s="1095"/>
      <c r="AO68" s="1095"/>
      <c r="AP68" s="1095"/>
      <c r="AQ68" s="1095"/>
      <c r="AR68" s="1095"/>
      <c r="AS68" s="1095"/>
      <c r="AT68" s="1095"/>
      <c r="AU68" s="1095"/>
      <c r="AV68" s="1095"/>
      <c r="AW68" s="1095"/>
      <c r="AX68" s="1095"/>
      <c r="AY68" s="1095"/>
      <c r="AZ68" s="1095"/>
      <c r="BA68" s="1095"/>
      <c r="BB68" s="1095"/>
      <c r="BC68" s="1095"/>
      <c r="BD68" s="1095"/>
      <c r="BE68" s="1095"/>
      <c r="BF68" s="1095"/>
      <c r="BG68" s="1095"/>
      <c r="BH68" s="1095"/>
      <c r="BI68" s="1095"/>
      <c r="BJ68" s="1095"/>
      <c r="BK68" s="1095"/>
      <c r="BL68" s="1095"/>
      <c r="BM68" s="1095"/>
      <c r="BN68" s="1095"/>
      <c r="BO68" s="1095"/>
      <c r="BP68" s="1095"/>
      <c r="BQ68" s="1095"/>
      <c r="BR68" s="1095"/>
      <c r="BS68" s="1095"/>
      <c r="BT68" s="1095"/>
      <c r="BU68" s="1095"/>
    </row>
    <row r="69" spans="1:73" x14ac:dyDescent="0.25">
      <c r="A69" s="1095"/>
      <c r="B69" s="1115">
        <f t="shared" si="6"/>
        <v>19</v>
      </c>
      <c r="C69" s="1215">
        <f>(C$72=1)*$F$3
+(C$72=2)*$F$3
+(C$72=3)*$F$3
+(C$72=4)*$F$3
+(C$72=5)</f>
        <v>1.05</v>
      </c>
      <c r="D69" s="1100">
        <v>1</v>
      </c>
      <c r="E69" s="1100">
        <v>1</v>
      </c>
      <c r="F69" s="1215">
        <f>(F$72=1)*$F$6
+(F$72=2)*$F$6
+(F$72=3)*$F$6
+(F$72=4)*$F$6
+(F$72=5)</f>
        <v>0.95</v>
      </c>
      <c r="G69" s="1215">
        <f>(G$72=1)*$F$7
+(G$72=2)*$F$7
+(G$72=3)*$F$7
+(G$72=4)*$F$7
+(G$72=5)</f>
        <v>1</v>
      </c>
      <c r="H69" s="1215">
        <f>(H$72=1)*$F$8
+(H$72=2)*$F$8
+(H$72=3)*$F$8
+(H$72=4)*$F$8
+(H$72=5)</f>
        <v>0.95</v>
      </c>
      <c r="I69" s="1215">
        <f>(I$72=1)*$F$9
+(I$72=2)*$F$9
+(I$72=3)*$F$9
+(I$72=4)*$F$9
+(I$72=5)</f>
        <v>0.95</v>
      </c>
      <c r="J69" s="1095"/>
      <c r="K69" s="1113">
        <v>1.63715372541712</v>
      </c>
      <c r="L69" s="1114">
        <v>0</v>
      </c>
      <c r="M69" s="1114">
        <v>1.2437875365034535E-3</v>
      </c>
      <c r="N69" s="1114">
        <v>0.11439797657725508</v>
      </c>
      <c r="O69" s="1114">
        <v>0.12123885005459863</v>
      </c>
      <c r="P69" s="1114">
        <v>1.7413396566952351E-2</v>
      </c>
      <c r="Q69" s="1114">
        <v>8.5599602050966529E-4</v>
      </c>
      <c r="R69" s="1114">
        <v>1.2404094247300142E-3</v>
      </c>
      <c r="S69" s="1114">
        <v>9.4502145161903126E-2</v>
      </c>
      <c r="T69" s="1114">
        <v>0.97950247287101511</v>
      </c>
      <c r="U69" s="1114">
        <v>0</v>
      </c>
      <c r="V69" s="1114">
        <v>0.20257169461748081</v>
      </c>
      <c r="W69" s="1114">
        <v>7.5151693938153713E-2</v>
      </c>
      <c r="X69" s="1114">
        <v>2.8146892167765329E-2</v>
      </c>
      <c r="Y69" s="1114">
        <v>3.3759855532581313E-3</v>
      </c>
      <c r="Z69" s="1229"/>
      <c r="AA69" s="1095"/>
      <c r="AB69" s="1095"/>
      <c r="AC69" s="1095"/>
      <c r="AD69" s="1095"/>
      <c r="AE69" s="1095"/>
      <c r="AF69" s="1095"/>
      <c r="AG69" s="1095"/>
      <c r="AH69" s="1095"/>
      <c r="AI69" s="1095"/>
      <c r="AJ69" s="1095"/>
      <c r="AK69" s="1095"/>
      <c r="AL69" s="1095"/>
      <c r="AM69" s="1095"/>
      <c r="AN69" s="1095"/>
      <c r="AO69" s="1095"/>
      <c r="AP69" s="1095"/>
      <c r="AQ69" s="1095"/>
      <c r="AR69" s="1095"/>
      <c r="AS69" s="1095"/>
      <c r="AT69" s="1095"/>
      <c r="AU69" s="1095"/>
      <c r="AV69" s="1095"/>
      <c r="AW69" s="1095"/>
      <c r="AX69" s="1095"/>
      <c r="AY69" s="1095"/>
      <c r="AZ69" s="1095"/>
      <c r="BA69" s="1095"/>
      <c r="BB69" s="1095"/>
      <c r="BC69" s="1095"/>
      <c r="BD69" s="1095"/>
      <c r="BE69" s="1095"/>
      <c r="BF69" s="1095"/>
      <c r="BG69" s="1095"/>
      <c r="BH69" s="1095"/>
      <c r="BI69" s="1095"/>
      <c r="BJ69" s="1095"/>
      <c r="BK69" s="1095"/>
      <c r="BL69" s="1095"/>
      <c r="BM69" s="1095"/>
      <c r="BN69" s="1095"/>
      <c r="BO69" s="1095"/>
      <c r="BP69" s="1095"/>
      <c r="BQ69" s="1095"/>
      <c r="BR69" s="1095"/>
      <c r="BS69" s="1095"/>
      <c r="BT69" s="1095"/>
      <c r="BU69" s="1095"/>
    </row>
    <row r="70" spans="1:73" x14ac:dyDescent="0.25">
      <c r="A70" s="1095"/>
      <c r="B70" s="1107">
        <f t="shared" si="6"/>
        <v>20</v>
      </c>
      <c r="C70" s="1215">
        <f>(C$72=1)*$F$3
+(C$72=2)*$F$3
+(C$72=3)*$F$3
+(C$72=4)*$F$3
+(C$72=5)*$F$3</f>
        <v>1.05</v>
      </c>
      <c r="D70" s="1100">
        <v>1</v>
      </c>
      <c r="E70" s="1100">
        <v>1</v>
      </c>
      <c r="F70" s="1215">
        <f>(F$72=1)*$F$6
+(F$72=2)*$F$6
+(F$72=3)*$F$6
+(F$72=4)*$F$6
+(F$72=5)*$F$6</f>
        <v>0.95</v>
      </c>
      <c r="G70" s="1215">
        <f>(G$72=1)*$F$7
+(G$72=2)*$F$7
+(G$72=3)*$F$7
+(G$72=4)*$F$7
+(G$72=5)*$F$7</f>
        <v>0.95</v>
      </c>
      <c r="H70" s="1215">
        <f>(H$72=1)*$F$8
+(H$72=2)*$F$8
+(H$72=3)*$F$8
+(H$72=4)*$F$8
+(H$72=5)*$F$8</f>
        <v>0.95</v>
      </c>
      <c r="I70" s="1215">
        <f>(I$72=1)*$F$9
+(I$72=2)*$F$9
+(I$72=3)*$F$9
+(I$72=4)*$F$9
+(I$72=5)*$F$9</f>
        <v>0.95</v>
      </c>
      <c r="J70" s="1095"/>
      <c r="K70" s="1113">
        <v>1.6346904343067814</v>
      </c>
      <c r="L70" s="1114">
        <v>0</v>
      </c>
      <c r="M70" s="1114">
        <v>1.2437875365034535E-3</v>
      </c>
      <c r="N70" s="1114">
        <v>0.11439797657725508</v>
      </c>
      <c r="O70" s="1114">
        <v>0.12123885005459863</v>
      </c>
      <c r="P70" s="1114">
        <v>1.7380389924638938E-2</v>
      </c>
      <c r="Q70" s="1114">
        <v>8.5599602050966529E-4</v>
      </c>
      <c r="R70" s="1114">
        <v>1.2404094247300142E-3</v>
      </c>
      <c r="S70" s="1114">
        <v>9.4502145161903126E-2</v>
      </c>
      <c r="T70" s="1114">
        <v>0.97950247287101511</v>
      </c>
      <c r="U70" s="1114">
        <v>0</v>
      </c>
      <c r="V70" s="1114">
        <v>0.20015285091128157</v>
      </c>
      <c r="W70" s="1114">
        <v>7.5151693938153713E-2</v>
      </c>
      <c r="X70" s="1114">
        <v>2.8135451405939978E-2</v>
      </c>
      <c r="Y70" s="1114">
        <v>3.3759855532581313E-3</v>
      </c>
      <c r="Z70" s="1229"/>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095"/>
      <c r="BN70" s="1095"/>
      <c r="BO70" s="1095"/>
      <c r="BP70" s="1095"/>
      <c r="BQ70" s="1095"/>
      <c r="BR70" s="1095"/>
      <c r="BS70" s="1095"/>
      <c r="BT70" s="1095"/>
      <c r="BU70" s="1095"/>
    </row>
    <row r="71" spans="1:73" x14ac:dyDescent="0.25">
      <c r="A71" s="1095"/>
      <c r="B71" s="1095"/>
      <c r="C71" s="1095"/>
      <c r="D71" s="1095"/>
      <c r="E71" s="1095"/>
      <c r="F71" s="1095"/>
      <c r="G71" s="1095"/>
      <c r="H71" s="1095"/>
      <c r="I71" s="1095"/>
      <c r="J71" s="1095"/>
      <c r="K71" s="1095"/>
      <c r="L71" s="1095"/>
      <c r="M71" s="1095"/>
      <c r="N71" s="1095"/>
      <c r="O71" s="1095"/>
      <c r="P71" s="1095"/>
      <c r="Q71" s="1095"/>
      <c r="R71" s="1095"/>
      <c r="S71" s="1095"/>
      <c r="T71" s="1095"/>
      <c r="U71" s="1095"/>
      <c r="V71" s="1095"/>
      <c r="W71" s="1095"/>
      <c r="X71" s="1095"/>
      <c r="Y71" s="1095"/>
      <c r="Z71" s="1095"/>
      <c r="AA71" s="1095"/>
      <c r="AB71" s="1095"/>
      <c r="AC71" s="1095"/>
      <c r="AD71" s="1095"/>
      <c r="AE71" s="1095"/>
      <c r="AF71" s="1095"/>
      <c r="AG71" s="1095"/>
      <c r="AH71" s="1095"/>
      <c r="AI71" s="1095"/>
      <c r="AJ71" s="1095"/>
      <c r="AK71" s="1095"/>
      <c r="AL71" s="1095"/>
      <c r="AM71" s="1095"/>
      <c r="AN71" s="1095"/>
      <c r="AO71" s="1095"/>
      <c r="AP71" s="1095"/>
      <c r="AQ71" s="1095"/>
      <c r="AR71" s="1095"/>
      <c r="AS71" s="1095"/>
      <c r="AT71" s="1095"/>
      <c r="AU71" s="1095"/>
      <c r="AV71" s="1095"/>
      <c r="AW71" s="1095"/>
      <c r="AX71" s="1095"/>
      <c r="AY71" s="1095"/>
      <c r="AZ71" s="1095"/>
      <c r="BA71" s="1095"/>
      <c r="BB71" s="1095"/>
      <c r="BC71" s="1095"/>
      <c r="BD71" s="1095"/>
      <c r="BE71" s="1095"/>
      <c r="BF71" s="1095"/>
      <c r="BG71" s="1095"/>
      <c r="BH71" s="1095"/>
      <c r="BI71" s="1095"/>
      <c r="BJ71" s="1095"/>
      <c r="BK71" s="1095"/>
      <c r="BL71" s="1095"/>
      <c r="BM71" s="1095"/>
      <c r="BN71" s="1095"/>
      <c r="BO71" s="1095"/>
      <c r="BP71" s="1095"/>
      <c r="BQ71" s="1095"/>
      <c r="BR71" s="1095"/>
      <c r="BS71" s="1095"/>
      <c r="BT71" s="1095"/>
      <c r="BU71" s="1095"/>
    </row>
    <row r="72" spans="1:73" x14ac:dyDescent="0.25">
      <c r="A72" s="1095"/>
      <c r="B72" s="1223" t="s">
        <v>1183</v>
      </c>
      <c r="C72" s="1099">
        <f>6-RANK($N$101,($N$101,$N$104:$N$107))</f>
        <v>2</v>
      </c>
      <c r="D72" s="1224"/>
      <c r="E72" s="1224"/>
      <c r="F72" s="1099">
        <f>6-RANK($N$104,($N$101,$N$104:$N$107))</f>
        <v>1</v>
      </c>
      <c r="G72" s="1099">
        <f>6-RANK($N$105,($N$101,$N$104:$N$107))</f>
        <v>5</v>
      </c>
      <c r="H72" s="1099">
        <f>6-RANK($N$106,($N$101,$N$104:$N$107))</f>
        <v>3</v>
      </c>
      <c r="I72" s="1099">
        <f>6-RANK($N$107,($N$101,$N$104:$N$107))</f>
        <v>4</v>
      </c>
      <c r="J72" s="1095"/>
      <c r="K72" s="1095"/>
      <c r="L72" s="1095"/>
      <c r="M72" s="1095"/>
      <c r="N72" s="1095"/>
      <c r="O72" s="1095"/>
      <c r="P72" s="1095"/>
      <c r="Q72" s="1095"/>
      <c r="R72" s="1095"/>
      <c r="S72" s="1095"/>
      <c r="T72" s="1095"/>
      <c r="U72" s="1095"/>
      <c r="V72" s="1095"/>
      <c r="W72" s="1095"/>
      <c r="X72" s="1095"/>
      <c r="Y72" s="1095"/>
      <c r="Z72" s="1095"/>
      <c r="AA72" s="1095"/>
      <c r="AB72" s="1095"/>
      <c r="AC72" s="1095"/>
      <c r="AD72" s="1095"/>
      <c r="AE72" s="1095"/>
      <c r="AF72" s="1095"/>
      <c r="AG72" s="1095"/>
      <c r="AH72" s="1095"/>
      <c r="AI72" s="1095"/>
      <c r="AJ72" s="1095"/>
      <c r="AK72" s="1095"/>
      <c r="AL72" s="1095"/>
      <c r="AM72" s="1095"/>
      <c r="AN72" s="1095"/>
      <c r="AO72" s="1095"/>
      <c r="AP72" s="1095"/>
      <c r="AQ72" s="1095"/>
      <c r="AR72" s="1095"/>
      <c r="AS72" s="1095"/>
      <c r="AT72" s="1095"/>
      <c r="AU72" s="1095"/>
      <c r="AV72" s="1095"/>
      <c r="AW72" s="1095"/>
      <c r="AX72" s="1095"/>
      <c r="AY72" s="1095"/>
      <c r="AZ72" s="1095"/>
      <c r="BA72" s="1095"/>
      <c r="BB72" s="1095"/>
      <c r="BC72" s="1095"/>
      <c r="BD72" s="1095"/>
      <c r="BE72" s="1095"/>
      <c r="BF72" s="1095"/>
      <c r="BG72" s="1095"/>
      <c r="BH72" s="1095"/>
      <c r="BI72" s="1095"/>
      <c r="BJ72" s="1095"/>
      <c r="BK72" s="1095"/>
      <c r="BL72" s="1095"/>
      <c r="BM72" s="1095"/>
      <c r="BN72" s="1095"/>
      <c r="BO72" s="1095"/>
      <c r="BP72" s="1095"/>
      <c r="BQ72" s="1095"/>
      <c r="BR72" s="1095"/>
      <c r="BS72" s="1095"/>
      <c r="BT72" s="1095"/>
      <c r="BU72" s="1095"/>
    </row>
    <row r="73" spans="1:73" x14ac:dyDescent="0.25">
      <c r="A73" s="1095"/>
      <c r="B73" s="1095"/>
      <c r="C73" s="1095"/>
      <c r="D73" s="1095"/>
      <c r="E73" s="1095"/>
      <c r="F73" s="1095"/>
      <c r="G73" s="1095"/>
      <c r="H73" s="1095"/>
      <c r="I73" s="1095"/>
      <c r="J73" s="1095"/>
      <c r="K73" s="1095"/>
      <c r="L73" s="1095"/>
      <c r="M73" s="1095"/>
      <c r="N73" s="1095"/>
      <c r="O73" s="1095"/>
      <c r="P73" s="1095"/>
      <c r="Q73" s="1095"/>
      <c r="R73" s="1095"/>
      <c r="S73" s="1095"/>
      <c r="T73" s="1095"/>
      <c r="U73" s="1095"/>
      <c r="V73" s="1095"/>
      <c r="W73" s="1095"/>
      <c r="X73" s="1095"/>
      <c r="Y73" s="1095"/>
      <c r="Z73" s="1095"/>
      <c r="AA73" s="1095"/>
      <c r="AB73" s="1095"/>
      <c r="AC73" s="1095"/>
      <c r="AD73" s="1095"/>
      <c r="AE73" s="1095"/>
      <c r="AF73" s="1095"/>
      <c r="AG73" s="1095"/>
      <c r="AH73" s="1095"/>
      <c r="AI73" s="1095"/>
      <c r="AJ73" s="1095"/>
      <c r="AK73" s="1095"/>
      <c r="AL73" s="1095"/>
      <c r="AM73" s="1095"/>
      <c r="AN73" s="1095"/>
      <c r="AO73" s="1095"/>
      <c r="AP73" s="1095"/>
      <c r="AQ73" s="1095"/>
      <c r="AR73" s="1095"/>
      <c r="AS73" s="1095"/>
      <c r="AT73" s="1095"/>
      <c r="AU73" s="1095"/>
      <c r="AV73" s="1095"/>
      <c r="AW73" s="1095"/>
      <c r="AX73" s="1095"/>
      <c r="AY73" s="1095"/>
      <c r="AZ73" s="1095"/>
      <c r="BA73" s="1095"/>
      <c r="BB73" s="1095"/>
      <c r="BC73" s="1095"/>
      <c r="BD73" s="1095"/>
      <c r="BE73" s="1095"/>
      <c r="BF73" s="1095"/>
      <c r="BG73" s="1095"/>
      <c r="BH73" s="1095"/>
      <c r="BI73" s="1095"/>
      <c r="BJ73" s="1095"/>
      <c r="BK73" s="1095"/>
      <c r="BL73" s="1095"/>
      <c r="BM73" s="1095"/>
      <c r="BN73" s="1095"/>
      <c r="BO73" s="1095"/>
      <c r="BP73" s="1095"/>
      <c r="BQ73" s="1095"/>
      <c r="BR73" s="1095"/>
      <c r="BS73" s="1095"/>
      <c r="BT73" s="1095"/>
      <c r="BU73" s="1095"/>
    </row>
    <row r="74" spans="1:73" ht="13" x14ac:dyDescent="0.3">
      <c r="A74" s="1095"/>
      <c r="B74" s="1097" t="s">
        <v>1147</v>
      </c>
      <c r="C74" s="1095"/>
      <c r="D74" s="1095"/>
      <c r="E74" s="1095"/>
      <c r="F74" s="1095"/>
      <c r="G74" s="1095"/>
      <c r="H74" s="1095"/>
      <c r="I74" s="1095"/>
      <c r="J74" s="1095"/>
      <c r="K74" s="1095"/>
      <c r="L74" s="1095"/>
      <c r="M74" s="1095"/>
      <c r="N74" s="1095"/>
      <c r="O74" s="1095"/>
      <c r="P74" s="1095"/>
      <c r="Q74" s="1095"/>
      <c r="R74" s="1095"/>
      <c r="S74" s="1095"/>
      <c r="T74" s="1095"/>
      <c r="U74" s="1095"/>
      <c r="V74" s="1095"/>
      <c r="W74" s="1095"/>
      <c r="X74" s="1095"/>
      <c r="Y74" s="1095"/>
      <c r="Z74" s="1095"/>
      <c r="AA74" s="1095"/>
      <c r="AB74" s="1095"/>
      <c r="AC74" s="1095"/>
      <c r="AD74" s="1095"/>
      <c r="AE74" s="1095"/>
      <c r="AF74" s="1095"/>
      <c r="AG74" s="1095"/>
      <c r="AH74" s="1095"/>
      <c r="AI74" s="1095"/>
      <c r="AJ74" s="1095"/>
      <c r="AK74" s="1095"/>
      <c r="AL74" s="1095"/>
      <c r="AM74" s="1095"/>
      <c r="AN74" s="1095"/>
      <c r="AO74" s="1095"/>
      <c r="AP74" s="1095"/>
      <c r="AQ74" s="1095"/>
      <c r="AR74" s="1095"/>
      <c r="AS74" s="1095"/>
      <c r="AT74" s="1095"/>
      <c r="AU74" s="1095"/>
      <c r="AV74" s="1095"/>
      <c r="AW74" s="1095"/>
      <c r="AX74" s="1095"/>
      <c r="AY74" s="1095"/>
      <c r="AZ74" s="1095"/>
      <c r="BA74" s="1095"/>
      <c r="BB74" s="1095"/>
      <c r="BC74" s="1095"/>
      <c r="BD74" s="1095"/>
      <c r="BE74" s="1095"/>
      <c r="BF74" s="1095"/>
      <c r="BG74" s="1095"/>
      <c r="BH74" s="1095"/>
      <c r="BI74" s="1095"/>
      <c r="BJ74" s="1095"/>
      <c r="BK74" s="1095"/>
      <c r="BL74" s="1095"/>
      <c r="BM74" s="1095"/>
      <c r="BN74" s="1095"/>
      <c r="BO74" s="1095"/>
      <c r="BP74" s="1095"/>
      <c r="BQ74" s="1095"/>
      <c r="BR74" s="1095"/>
      <c r="BS74" s="1095"/>
      <c r="BT74" s="1095"/>
      <c r="BU74" s="1095"/>
    </row>
    <row r="75" spans="1:73" x14ac:dyDescent="0.25">
      <c r="A75" s="1095"/>
      <c r="B75" s="1095"/>
      <c r="C75" s="1095"/>
      <c r="D75" s="1095"/>
      <c r="E75" s="1095"/>
      <c r="F75" s="1095"/>
      <c r="G75" s="1095"/>
      <c r="H75" s="1095"/>
      <c r="I75" s="1095"/>
      <c r="J75" s="1095"/>
      <c r="K75" s="1095"/>
      <c r="L75" s="1095"/>
      <c r="M75" s="1095"/>
      <c r="N75" s="1095"/>
      <c r="O75" s="1095"/>
      <c r="P75" s="1095"/>
      <c r="Q75" s="1095"/>
      <c r="R75" s="1095"/>
      <c r="S75" s="1095"/>
      <c r="T75" s="1095"/>
      <c r="U75" s="1095"/>
      <c r="V75" s="1095"/>
      <c r="W75" s="1095"/>
      <c r="X75" s="1095"/>
      <c r="Y75" s="1095"/>
      <c r="Z75" s="1095"/>
      <c r="AA75" s="1095"/>
      <c r="AB75" s="1095"/>
      <c r="AC75" s="1095"/>
      <c r="AD75" s="1095"/>
      <c r="AE75" s="1095"/>
      <c r="AF75" s="1095"/>
      <c r="AG75" s="1095"/>
      <c r="AH75" s="1095"/>
      <c r="AI75" s="1095"/>
      <c r="AJ75" s="1095"/>
      <c r="AK75" s="1095"/>
      <c r="AL75" s="1095"/>
      <c r="AM75" s="1095"/>
      <c r="AN75" s="1095"/>
      <c r="AO75" s="1095"/>
      <c r="AP75" s="1095"/>
      <c r="AQ75" s="1095"/>
      <c r="AR75" s="1095"/>
      <c r="AS75" s="1095"/>
      <c r="AT75" s="1095"/>
      <c r="AU75" s="1095"/>
      <c r="AV75" s="1095"/>
      <c r="AW75" s="1095"/>
      <c r="AX75" s="1095"/>
      <c r="AY75" s="1095"/>
      <c r="AZ75" s="1095"/>
      <c r="BA75" s="1095"/>
      <c r="BB75" s="1095"/>
      <c r="BC75" s="1095"/>
      <c r="BD75" s="1095"/>
      <c r="BE75" s="1095"/>
      <c r="BF75" s="1095"/>
      <c r="BG75" s="1095"/>
      <c r="BH75" s="1095"/>
      <c r="BI75" s="1095"/>
      <c r="BJ75" s="1095"/>
      <c r="BK75" s="1095"/>
      <c r="BL75" s="1095"/>
      <c r="BM75" s="1095"/>
      <c r="BN75" s="1095"/>
      <c r="BO75" s="1095"/>
      <c r="BP75" s="1095"/>
      <c r="BQ75" s="1095"/>
      <c r="BR75" s="1095"/>
      <c r="BS75" s="1095"/>
      <c r="BT75" s="1095"/>
      <c r="BU75" s="1095"/>
    </row>
    <row r="76" spans="1:73" ht="52" x14ac:dyDescent="0.3">
      <c r="A76" s="1095"/>
      <c r="B76" s="1106" t="s">
        <v>1144</v>
      </c>
      <c r="C76" s="1106" t="s">
        <v>1145</v>
      </c>
      <c r="D76" s="1106" t="s">
        <v>1146</v>
      </c>
      <c r="E76" s="1106" t="s">
        <v>1133</v>
      </c>
      <c r="F76" s="1106" t="s">
        <v>1134</v>
      </c>
      <c r="G76" s="1106" t="s">
        <v>993</v>
      </c>
      <c r="H76" s="1106" t="s">
        <v>122</v>
      </c>
      <c r="I76" s="1106" t="s">
        <v>123</v>
      </c>
      <c r="J76" s="1106" t="s">
        <v>1172</v>
      </c>
      <c r="K76" s="1106" t="s">
        <v>135</v>
      </c>
      <c r="L76" s="1106" t="s">
        <v>84</v>
      </c>
      <c r="M76" s="1106" t="s">
        <v>136</v>
      </c>
      <c r="N76" s="1106" t="s">
        <v>1132</v>
      </c>
      <c r="O76" s="1106" t="s">
        <v>137</v>
      </c>
      <c r="P76" s="1106" t="s">
        <v>138</v>
      </c>
      <c r="Q76" s="1106" t="s">
        <v>139</v>
      </c>
      <c r="R76" s="1106" t="s">
        <v>1138</v>
      </c>
      <c r="S76" s="1106" t="s">
        <v>45</v>
      </c>
      <c r="T76" s="1095"/>
      <c r="U76" s="1095"/>
      <c r="V76" s="1095"/>
      <c r="W76" s="1095"/>
      <c r="X76" s="1095"/>
      <c r="Y76" s="1095"/>
      <c r="Z76" s="1095"/>
      <c r="AA76" s="1095"/>
      <c r="AB76" s="1095"/>
      <c r="AC76" s="1095"/>
      <c r="AD76" s="1095"/>
      <c r="AE76" s="1095"/>
      <c r="AF76" s="1095"/>
      <c r="AG76" s="1095"/>
      <c r="AH76" s="1095"/>
      <c r="AI76" s="1095"/>
      <c r="AJ76" s="1095"/>
      <c r="AK76" s="1095"/>
      <c r="AL76" s="1095"/>
      <c r="AM76" s="1095"/>
      <c r="AN76" s="1095"/>
      <c r="AO76" s="1095"/>
      <c r="AP76" s="1095"/>
      <c r="AQ76" s="1095"/>
      <c r="AR76" s="1095"/>
      <c r="AS76" s="1095"/>
      <c r="AT76" s="1095"/>
      <c r="AU76" s="1095"/>
      <c r="AV76" s="1095"/>
      <c r="AW76" s="1095"/>
      <c r="AX76" s="1095"/>
      <c r="AY76" s="1095"/>
      <c r="AZ76" s="1095"/>
      <c r="BA76" s="1095"/>
      <c r="BB76" s="1095"/>
      <c r="BC76" s="1095"/>
      <c r="BD76" s="1095"/>
      <c r="BE76" s="1095"/>
      <c r="BF76" s="1095"/>
      <c r="BG76" s="1095"/>
      <c r="BH76" s="1095"/>
      <c r="BI76" s="1095"/>
      <c r="BJ76" s="1095"/>
      <c r="BK76" s="1095"/>
      <c r="BL76" s="1095"/>
      <c r="BM76" s="1095"/>
      <c r="BN76" s="1095"/>
      <c r="BO76" s="1095"/>
      <c r="BP76" s="1095"/>
      <c r="BQ76" s="1095"/>
      <c r="BR76" s="1095"/>
      <c r="BS76" s="1095"/>
      <c r="BT76" s="1095"/>
      <c r="BU76" s="1095"/>
    </row>
    <row r="77" spans="1:73" x14ac:dyDescent="0.25">
      <c r="A77" s="1095"/>
      <c r="B77" s="1099" t="str">
        <f>+$B$3</f>
        <v>Operating Capacity Factor</v>
      </c>
      <c r="C77" s="1108">
        <f ca="1">+H3</f>
        <v>0.94500000000000006</v>
      </c>
      <c r="D77" s="1108" t="str">
        <f ca="1">+B77&amp;" = "&amp;C77*100&amp;"%"</f>
        <v>Operating Capacity Factor = 94.5%</v>
      </c>
      <c r="E77" s="1112">
        <f t="shared" ref="E77:S77" si="7">+K52</f>
        <v>1.7165781287165258</v>
      </c>
      <c r="F77" s="1112">
        <f t="shared" si="7"/>
        <v>0</v>
      </c>
      <c r="G77" s="1112">
        <f t="shared" si="7"/>
        <v>1.3149767678771E-3</v>
      </c>
      <c r="H77" s="1112">
        <f t="shared" si="7"/>
        <v>0.12096347330831042</v>
      </c>
      <c r="I77" s="1112">
        <f t="shared" si="7"/>
        <v>0.12500291909681963</v>
      </c>
      <c r="J77" s="1112">
        <f t="shared" si="7"/>
        <v>1.8269158981494636E-2</v>
      </c>
      <c r="K77" s="1112">
        <f t="shared" si="7"/>
        <v>8.5599602050966529E-4</v>
      </c>
      <c r="L77" s="1112">
        <f t="shared" si="7"/>
        <v>1.3115986561036607E-3</v>
      </c>
      <c r="M77" s="1112">
        <f t="shared" si="7"/>
        <v>0.1030927495365045</v>
      </c>
      <c r="N77" s="1112">
        <f t="shared" si="7"/>
        <v>1.0310552346010686</v>
      </c>
      <c r="O77" s="1112">
        <f t="shared" si="7"/>
        <v>0</v>
      </c>
      <c r="P77" s="1112">
        <f t="shared" si="7"/>
        <v>0.20516606109005878</v>
      </c>
      <c r="Q77" s="1112">
        <f t="shared" si="7"/>
        <v>7.9464778973805647E-2</v>
      </c>
      <c r="R77" s="1112">
        <f t="shared" si="7"/>
        <v>2.9141396046192713E-2</v>
      </c>
      <c r="S77" s="1112">
        <f t="shared" si="7"/>
        <v>3.5697391735333805E-3</v>
      </c>
      <c r="T77" s="1095"/>
      <c r="U77" s="1095"/>
      <c r="V77" s="1095"/>
      <c r="W77" s="1095"/>
      <c r="X77" s="1095"/>
      <c r="Y77" s="1095"/>
      <c r="Z77" s="1095"/>
      <c r="AA77" s="1095"/>
      <c r="AB77" s="1095"/>
      <c r="AC77" s="1095"/>
      <c r="AD77" s="1095"/>
      <c r="AE77" s="1095"/>
      <c r="AF77" s="1095"/>
      <c r="AG77" s="1095"/>
      <c r="AH77" s="1095"/>
      <c r="AI77" s="1095"/>
      <c r="AJ77" s="1095"/>
      <c r="AK77" s="1095"/>
      <c r="AL77" s="1095"/>
      <c r="AM77" s="1095"/>
      <c r="AN77" s="1095"/>
      <c r="AO77" s="1095"/>
      <c r="AP77" s="1095"/>
      <c r="AQ77" s="1095"/>
      <c r="AR77" s="1095"/>
      <c r="AS77" s="1095"/>
      <c r="AT77" s="1095"/>
      <c r="AU77" s="1095"/>
      <c r="AV77" s="1095"/>
      <c r="AW77" s="1095"/>
      <c r="AX77" s="1095"/>
      <c r="AY77" s="1095"/>
      <c r="AZ77" s="1095"/>
      <c r="BA77" s="1095"/>
      <c r="BB77" s="1095"/>
      <c r="BC77" s="1095"/>
      <c r="BD77" s="1095"/>
      <c r="BE77" s="1095"/>
      <c r="BF77" s="1095"/>
      <c r="BG77" s="1095"/>
      <c r="BH77" s="1095"/>
      <c r="BI77" s="1095"/>
      <c r="BJ77" s="1095"/>
      <c r="BK77" s="1095"/>
      <c r="BL77" s="1095"/>
      <c r="BM77" s="1095"/>
      <c r="BN77" s="1095"/>
      <c r="BO77" s="1095"/>
      <c r="BP77" s="1095"/>
      <c r="BQ77" s="1095"/>
      <c r="BR77" s="1095"/>
      <c r="BS77" s="1095"/>
      <c r="BT77" s="1095"/>
      <c r="BU77" s="1095"/>
    </row>
    <row r="78" spans="1:73" x14ac:dyDescent="0.25">
      <c r="A78" s="1095"/>
      <c r="B78" s="1099" t="str">
        <f t="shared" ref="B78:B79" si="8">+$B$3</f>
        <v>Operating Capacity Factor</v>
      </c>
      <c r="C78" s="1108">
        <f ca="1">+C3</f>
        <v>0.9</v>
      </c>
      <c r="D78" s="1099" t="str">
        <f t="shared" ref="D78:D79" ca="1" si="9">+B78&amp;" = "&amp;C78*100&amp;"%"</f>
        <v>Operating Capacity Factor = 90%</v>
      </c>
      <c r="E78" s="1112">
        <f t="shared" ref="E78:S78" si="10">+K$51</f>
        <v>1.738021291813364</v>
      </c>
      <c r="F78" s="1112">
        <f t="shared" si="10"/>
        <v>0</v>
      </c>
      <c r="G78" s="1112">
        <f t="shared" si="10"/>
        <v>1.3752474814784693E-3</v>
      </c>
      <c r="H78" s="1112">
        <f t="shared" si="10"/>
        <v>0.12650642153831423</v>
      </c>
      <c r="I78" s="1112">
        <f t="shared" si="10"/>
        <v>0.12749490878546157</v>
      </c>
      <c r="J78" s="1112">
        <f t="shared" si="10"/>
        <v>1.8390777839810975E-2</v>
      </c>
      <c r="K78" s="1112">
        <f t="shared" si="10"/>
        <v>8.987958215351487E-4</v>
      </c>
      <c r="L78" s="1112">
        <f t="shared" si="10"/>
        <v>1.371700464116358E-3</v>
      </c>
      <c r="M78" s="1112">
        <f t="shared" si="10"/>
        <v>0.10796906793131673</v>
      </c>
      <c r="N78" s="1112">
        <f t="shared" si="10"/>
        <v>1.0310552346010684</v>
      </c>
      <c r="O78" s="1112">
        <f t="shared" si="10"/>
        <v>0</v>
      </c>
      <c r="P78" s="1112">
        <f t="shared" si="10"/>
        <v>0.20920159808505334</v>
      </c>
      <c r="Q78" s="1112">
        <f t="shared" si="10"/>
        <v>8.3106119156208025E-2</v>
      </c>
      <c r="R78" s="1112">
        <f t="shared" si="10"/>
        <v>2.9668598589567396E-2</v>
      </c>
      <c r="S78" s="1112">
        <f t="shared" si="10"/>
        <v>3.7333164823882565E-3</v>
      </c>
      <c r="T78" s="1095"/>
      <c r="U78" s="1095"/>
      <c r="V78" s="1095"/>
      <c r="W78" s="1095"/>
      <c r="X78" s="1095"/>
      <c r="Y78" s="1095"/>
      <c r="Z78" s="1095"/>
      <c r="AA78" s="1095"/>
      <c r="AB78" s="1095"/>
      <c r="AC78" s="1095"/>
      <c r="AD78" s="1095"/>
      <c r="AE78" s="1095"/>
      <c r="AF78" s="1095"/>
      <c r="AG78" s="1095"/>
      <c r="AH78" s="1095"/>
      <c r="AI78" s="1095"/>
      <c r="AJ78" s="1095"/>
      <c r="AK78" s="1095"/>
      <c r="AL78" s="1095"/>
      <c r="AM78" s="1095"/>
      <c r="AN78" s="1095"/>
      <c r="AO78" s="1095"/>
      <c r="AP78" s="1095"/>
      <c r="AQ78" s="1095"/>
      <c r="AR78" s="1095"/>
      <c r="AS78" s="1095"/>
      <c r="AT78" s="1095"/>
      <c r="AU78" s="1095"/>
      <c r="AV78" s="1095"/>
      <c r="AW78" s="1095"/>
      <c r="AX78" s="1095"/>
      <c r="AY78" s="1095"/>
      <c r="AZ78" s="1095"/>
      <c r="BA78" s="1095"/>
      <c r="BB78" s="1095"/>
      <c r="BC78" s="1095"/>
      <c r="BD78" s="1095"/>
      <c r="BE78" s="1095"/>
      <c r="BF78" s="1095"/>
      <c r="BG78" s="1095"/>
      <c r="BH78" s="1095"/>
      <c r="BI78" s="1095"/>
      <c r="BJ78" s="1095"/>
      <c r="BK78" s="1095"/>
      <c r="BL78" s="1095"/>
      <c r="BM78" s="1095"/>
      <c r="BN78" s="1095"/>
      <c r="BO78" s="1095"/>
      <c r="BP78" s="1095"/>
      <c r="BQ78" s="1095"/>
      <c r="BR78" s="1095"/>
      <c r="BS78" s="1095"/>
      <c r="BT78" s="1095"/>
      <c r="BU78" s="1095"/>
    </row>
    <row r="79" spans="1:73" x14ac:dyDescent="0.25">
      <c r="A79" s="1095"/>
      <c r="B79" s="1099" t="str">
        <f t="shared" si="8"/>
        <v>Operating Capacity Factor</v>
      </c>
      <c r="C79" s="1108">
        <f ca="1">+I3</f>
        <v>0.85499999999999998</v>
      </c>
      <c r="D79" s="1099" t="str">
        <f t="shared" ca="1" si="9"/>
        <v>Operating Capacity Factor = 85.5%</v>
      </c>
      <c r="E79" s="1112">
        <f t="shared" ref="E79:S80" si="11">+K53</f>
        <v>1.7614775669064853</v>
      </c>
      <c r="F79" s="1112">
        <f t="shared" si="11"/>
        <v>0</v>
      </c>
      <c r="G79" s="1112">
        <f t="shared" si="11"/>
        <v>1.4413464108199215E-3</v>
      </c>
      <c r="H79" s="1112">
        <f t="shared" si="11"/>
        <v>0.13258524294983873</v>
      </c>
      <c r="I79" s="1112">
        <f t="shared" si="11"/>
        <v>0.13016799807527862</v>
      </c>
      <c r="J79" s="1112">
        <f t="shared" si="11"/>
        <v>1.8524285200485137E-2</v>
      </c>
      <c r="K79" s="1112">
        <f t="shared" si="11"/>
        <v>9.4610086477384071E-4</v>
      </c>
      <c r="L79" s="1112">
        <f t="shared" si="11"/>
        <v>1.437612708333488E-3</v>
      </c>
      <c r="M79" s="1112">
        <f t="shared" si="11"/>
        <v>0.11333246378979916</v>
      </c>
      <c r="N79" s="1112">
        <f t="shared" si="11"/>
        <v>1.0310552346010686</v>
      </c>
      <c r="O79" s="1112">
        <f t="shared" si="11"/>
        <v>0</v>
      </c>
      <c r="P79" s="1112">
        <f t="shared" si="11"/>
        <v>0.21362121045628565</v>
      </c>
      <c r="Q79" s="1112">
        <f t="shared" si="11"/>
        <v>8.7099491590685238E-2</v>
      </c>
      <c r="R79" s="1112">
        <f t="shared" si="11"/>
        <v>3.0236565197573489E-2</v>
      </c>
      <c r="S79" s="1112">
        <f t="shared" si="11"/>
        <v>3.912707883181819E-3</v>
      </c>
      <c r="T79" s="1095"/>
      <c r="U79" s="1095"/>
      <c r="V79" s="1095"/>
      <c r="W79" s="1095"/>
      <c r="X79" s="1095"/>
      <c r="Y79" s="1095"/>
      <c r="Z79" s="1095"/>
      <c r="AA79" s="1095"/>
      <c r="AB79" s="1095"/>
      <c r="AC79" s="1095"/>
      <c r="AD79" s="1095"/>
      <c r="AE79" s="1095"/>
      <c r="AF79" s="1095"/>
      <c r="AG79" s="1095"/>
      <c r="AH79" s="1095"/>
      <c r="AI79" s="1095"/>
      <c r="AJ79" s="1095"/>
      <c r="AK79" s="1095"/>
      <c r="AL79" s="1095"/>
      <c r="AM79" s="1095"/>
      <c r="AN79" s="1095"/>
      <c r="AO79" s="1095"/>
      <c r="AP79" s="1095"/>
      <c r="AQ79" s="1095"/>
      <c r="AR79" s="1095"/>
      <c r="AS79" s="1095"/>
      <c r="AT79" s="1095"/>
      <c r="AU79" s="1095"/>
      <c r="AV79" s="1095"/>
      <c r="AW79" s="1095"/>
      <c r="AX79" s="1095"/>
      <c r="AY79" s="1095"/>
      <c r="AZ79" s="1095"/>
      <c r="BA79" s="1095"/>
      <c r="BB79" s="1095"/>
      <c r="BC79" s="1095"/>
      <c r="BD79" s="1095"/>
      <c r="BE79" s="1095"/>
      <c r="BF79" s="1095"/>
      <c r="BG79" s="1095"/>
      <c r="BH79" s="1095"/>
      <c r="BI79" s="1095"/>
      <c r="BJ79" s="1095"/>
      <c r="BK79" s="1095"/>
      <c r="BL79" s="1095"/>
      <c r="BM79" s="1095"/>
      <c r="BN79" s="1095"/>
      <c r="BO79" s="1095"/>
      <c r="BP79" s="1095"/>
      <c r="BQ79" s="1095"/>
      <c r="BR79" s="1095"/>
      <c r="BS79" s="1095"/>
      <c r="BT79" s="1095"/>
      <c r="BU79" s="1095"/>
    </row>
    <row r="80" spans="1:73" x14ac:dyDescent="0.25">
      <c r="A80" s="1095"/>
      <c r="B80" s="1099" t="str">
        <f>+$B$4</f>
        <v>Plant Design Capacity (kg of H2/day)</v>
      </c>
      <c r="C80" s="1117">
        <f ca="1">ROUND(H4,0)</f>
        <v>398356</v>
      </c>
      <c r="D80" s="1099" t="str">
        <f ca="1">+B80&amp;" = "&amp;TEXT(C80,"0,000")</f>
        <v>Plant Design Capacity (kg of H2/day) = 398,356</v>
      </c>
      <c r="E80" s="1112">
        <f t="shared" si="11"/>
        <v>1.7245796722694182</v>
      </c>
      <c r="F80" s="1112">
        <f t="shared" si="11"/>
        <v>0</v>
      </c>
      <c r="G80" s="1112">
        <f t="shared" si="11"/>
        <v>1.3362584836579534E-3</v>
      </c>
      <c r="H80" s="1112">
        <f t="shared" si="11"/>
        <v>0.12291694528994847</v>
      </c>
      <c r="I80" s="1112">
        <f t="shared" si="11"/>
        <v>0.12527727760354695</v>
      </c>
      <c r="J80" s="1112">
        <f t="shared" si="11"/>
        <v>1.8327286308433242E-2</v>
      </c>
      <c r="K80" s="1112">
        <f t="shared" si="11"/>
        <v>8.814249204278056E-4</v>
      </c>
      <c r="L80" s="1112">
        <f t="shared" si="11"/>
        <v>1.3327800190041958E-3</v>
      </c>
      <c r="M80" s="1112">
        <f t="shared" si="11"/>
        <v>0.1047621560798369</v>
      </c>
      <c r="N80" s="1112">
        <f t="shared" si="11"/>
        <v>1.0310552346010686</v>
      </c>
      <c r="O80" s="1112">
        <f t="shared" si="11"/>
        <v>0</v>
      </c>
      <c r="P80" s="1112">
        <f t="shared" si="11"/>
        <v>0.2077560460540612</v>
      </c>
      <c r="Q80" s="1112">
        <f t="shared" si="11"/>
        <v>8.0748077270447166E-2</v>
      </c>
      <c r="R80" s="1112">
        <f t="shared" si="11"/>
        <v>2.9231314745386219E-2</v>
      </c>
      <c r="S80" s="1112">
        <f t="shared" si="11"/>
        <v>3.627387860914235E-3</v>
      </c>
      <c r="T80" s="1095"/>
      <c r="U80" s="1095"/>
      <c r="V80" s="1095"/>
      <c r="W80" s="1095"/>
      <c r="X80" s="1095"/>
      <c r="Y80" s="1095"/>
      <c r="Z80" s="1095"/>
      <c r="AA80" s="1095"/>
      <c r="AB80" s="1095"/>
      <c r="AC80" s="1095"/>
      <c r="AD80" s="1095"/>
      <c r="AE80" s="1095"/>
      <c r="AF80" s="1095"/>
      <c r="AG80" s="1095"/>
      <c r="AH80" s="1095"/>
      <c r="AI80" s="1095"/>
      <c r="AJ80" s="1095"/>
      <c r="AK80" s="1095"/>
      <c r="AL80" s="1095"/>
      <c r="AM80" s="1095"/>
      <c r="AN80" s="1095"/>
      <c r="AO80" s="1095"/>
      <c r="AP80" s="1095"/>
      <c r="AQ80" s="1095"/>
      <c r="AR80" s="1095"/>
      <c r="AS80" s="1095"/>
      <c r="AT80" s="1095"/>
      <c r="AU80" s="1095"/>
      <c r="AV80" s="1095"/>
      <c r="AW80" s="1095"/>
      <c r="AX80" s="1095"/>
      <c r="AY80" s="1095"/>
      <c r="AZ80" s="1095"/>
      <c r="BA80" s="1095"/>
      <c r="BB80" s="1095"/>
      <c r="BC80" s="1095"/>
      <c r="BD80" s="1095"/>
      <c r="BE80" s="1095"/>
      <c r="BF80" s="1095"/>
      <c r="BG80" s="1095"/>
      <c r="BH80" s="1095"/>
      <c r="BI80" s="1095"/>
      <c r="BJ80" s="1095"/>
      <c r="BK80" s="1095"/>
      <c r="BL80" s="1095"/>
      <c r="BM80" s="1095"/>
      <c r="BN80" s="1095"/>
      <c r="BO80" s="1095"/>
      <c r="BP80" s="1095"/>
      <c r="BQ80" s="1095"/>
      <c r="BR80" s="1095"/>
      <c r="BS80" s="1095"/>
      <c r="BT80" s="1095"/>
      <c r="BU80" s="1095"/>
    </row>
    <row r="81" spans="1:73" x14ac:dyDescent="0.25">
      <c r="A81" s="1095"/>
      <c r="B81" s="1099" t="str">
        <f t="shared" ref="B81:B82" si="12">+$B$4</f>
        <v>Plant Design Capacity (kg of H2/day)</v>
      </c>
      <c r="C81" s="1117">
        <f ca="1">+ROUND(C4,0)</f>
        <v>379387</v>
      </c>
      <c r="D81" s="1099" t="str">
        <f t="shared" ref="D81:D82" ca="1" si="13">+B81&amp;" = "&amp;TEXT(C81,"0,000")</f>
        <v>Plant Design Capacity (kg of H2/day) = 379,387</v>
      </c>
      <c r="E81" s="1112">
        <f t="shared" ref="E81:S81" si="14">+K$51</f>
        <v>1.738021291813364</v>
      </c>
      <c r="F81" s="1112">
        <f t="shared" si="14"/>
        <v>0</v>
      </c>
      <c r="G81" s="1112">
        <f t="shared" si="14"/>
        <v>1.3752474814784693E-3</v>
      </c>
      <c r="H81" s="1112">
        <f t="shared" si="14"/>
        <v>0.12650642153831423</v>
      </c>
      <c r="I81" s="1112">
        <f t="shared" si="14"/>
        <v>0.12749490878546157</v>
      </c>
      <c r="J81" s="1112">
        <f t="shared" si="14"/>
        <v>1.8390777839810975E-2</v>
      </c>
      <c r="K81" s="1112">
        <f t="shared" si="14"/>
        <v>8.987958215351487E-4</v>
      </c>
      <c r="L81" s="1112">
        <f t="shared" si="14"/>
        <v>1.371700464116358E-3</v>
      </c>
      <c r="M81" s="1112">
        <f t="shared" si="14"/>
        <v>0.10796906793131673</v>
      </c>
      <c r="N81" s="1112">
        <f t="shared" si="14"/>
        <v>1.0310552346010684</v>
      </c>
      <c r="O81" s="1112">
        <f t="shared" si="14"/>
        <v>0</v>
      </c>
      <c r="P81" s="1112">
        <f t="shared" si="14"/>
        <v>0.20920159808505334</v>
      </c>
      <c r="Q81" s="1112">
        <f t="shared" si="14"/>
        <v>8.3106119156208025E-2</v>
      </c>
      <c r="R81" s="1112">
        <f t="shared" si="14"/>
        <v>2.9668598589567396E-2</v>
      </c>
      <c r="S81" s="1112">
        <f t="shared" si="14"/>
        <v>3.7333164823882565E-3</v>
      </c>
      <c r="T81" s="1095"/>
      <c r="U81" s="1095"/>
      <c r="V81" s="1095"/>
      <c r="W81" s="1095"/>
      <c r="X81" s="1095"/>
      <c r="Y81" s="1095"/>
      <c r="Z81" s="1095"/>
      <c r="AA81" s="1095"/>
      <c r="AB81" s="1095"/>
      <c r="AC81" s="1095"/>
      <c r="AD81" s="1095"/>
      <c r="AE81" s="1095"/>
      <c r="AF81" s="1095"/>
      <c r="AG81" s="1095"/>
      <c r="AH81" s="1095"/>
      <c r="AI81" s="1095"/>
      <c r="AJ81" s="1095"/>
      <c r="AK81" s="1095"/>
      <c r="AL81" s="1095"/>
      <c r="AM81" s="1095"/>
      <c r="AN81" s="1095"/>
      <c r="AO81" s="1095"/>
      <c r="AP81" s="1095"/>
      <c r="AQ81" s="1095"/>
      <c r="AR81" s="1095"/>
      <c r="AS81" s="1095"/>
      <c r="AT81" s="1095"/>
      <c r="AU81" s="1095"/>
      <c r="AV81" s="1095"/>
      <c r="AW81" s="1095"/>
      <c r="AX81" s="1095"/>
      <c r="AY81" s="1095"/>
      <c r="AZ81" s="1095"/>
      <c r="BA81" s="1095"/>
      <c r="BB81" s="1095"/>
      <c r="BC81" s="1095"/>
      <c r="BD81" s="1095"/>
      <c r="BE81" s="1095"/>
      <c r="BF81" s="1095"/>
      <c r="BG81" s="1095"/>
      <c r="BH81" s="1095"/>
      <c r="BI81" s="1095"/>
      <c r="BJ81" s="1095"/>
      <c r="BK81" s="1095"/>
      <c r="BL81" s="1095"/>
      <c r="BM81" s="1095"/>
      <c r="BN81" s="1095"/>
      <c r="BO81" s="1095"/>
      <c r="BP81" s="1095"/>
      <c r="BQ81" s="1095"/>
      <c r="BR81" s="1095"/>
      <c r="BS81" s="1095"/>
      <c r="BT81" s="1095"/>
      <c r="BU81" s="1095"/>
    </row>
    <row r="82" spans="1:73" x14ac:dyDescent="0.25">
      <c r="A82" s="1095"/>
      <c r="B82" s="1099" t="str">
        <f t="shared" si="12"/>
        <v>Plant Design Capacity (kg of H2/day)</v>
      </c>
      <c r="C82" s="1117">
        <f ca="1">ROUND(I4,0)</f>
        <v>360418</v>
      </c>
      <c r="D82" s="1099" t="str">
        <f t="shared" ca="1" si="13"/>
        <v>Plant Design Capacity (kg of H2/day) = 360,418</v>
      </c>
      <c r="E82" s="1112">
        <f t="shared" ref="E82:S83" si="15">+K55</f>
        <v>1.7525081099268174</v>
      </c>
      <c r="F82" s="1112">
        <f t="shared" si="15"/>
        <v>0</v>
      </c>
      <c r="G82" s="1112">
        <f t="shared" si="15"/>
        <v>1.4173543561985015E-3</v>
      </c>
      <c r="H82" s="1112">
        <f t="shared" si="15"/>
        <v>0.13038298828560441</v>
      </c>
      <c r="I82" s="1112">
        <f t="shared" si="15"/>
        <v>0.12985869888553245</v>
      </c>
      <c r="J82" s="1112">
        <f t="shared" si="15"/>
        <v>1.8459440218349516E-2</v>
      </c>
      <c r="K82" s="1112">
        <f t="shared" si="15"/>
        <v>9.1742718017115757E-4</v>
      </c>
      <c r="L82" s="1112">
        <f t="shared" si="15"/>
        <v>1.4137338118450781E-3</v>
      </c>
      <c r="M82" s="1112">
        <f t="shared" si="15"/>
        <v>0.11144343751203706</v>
      </c>
      <c r="N82" s="1112">
        <f t="shared" si="15"/>
        <v>1.0310552346010688</v>
      </c>
      <c r="O82" s="1112">
        <f t="shared" si="15"/>
        <v>0</v>
      </c>
      <c r="P82" s="1112">
        <f t="shared" si="15"/>
        <v>0.21075859614177697</v>
      </c>
      <c r="Q82" s="1112">
        <f t="shared" si="15"/>
        <v>8.5652759983604373E-2</v>
      </c>
      <c r="R82" s="1112">
        <f t="shared" si="15"/>
        <v>3.0135430264407664E-2</v>
      </c>
      <c r="S82" s="1112">
        <f t="shared" si="15"/>
        <v>3.8477173986164771E-3</v>
      </c>
      <c r="T82" s="1095"/>
      <c r="U82" s="1095"/>
      <c r="V82" s="1095"/>
      <c r="W82" s="1095"/>
      <c r="X82" s="1095"/>
      <c r="Y82" s="1095"/>
      <c r="Z82" s="1095"/>
      <c r="AA82" s="1095"/>
      <c r="AB82" s="1095"/>
      <c r="AC82" s="1095"/>
      <c r="AD82" s="1095"/>
      <c r="AE82" s="1095"/>
      <c r="AF82" s="1095"/>
      <c r="AG82" s="1095"/>
      <c r="AH82" s="1095"/>
      <c r="AI82" s="1095"/>
      <c r="AJ82" s="1095"/>
      <c r="AK82" s="1095"/>
      <c r="AL82" s="1095"/>
      <c r="AM82" s="1095"/>
      <c r="AN82" s="1095"/>
      <c r="AO82" s="1095"/>
      <c r="AP82" s="1095"/>
      <c r="AQ82" s="1095"/>
      <c r="AR82" s="1095"/>
      <c r="AS82" s="1095"/>
      <c r="AT82" s="1095"/>
      <c r="AU82" s="1095"/>
      <c r="AV82" s="1095"/>
      <c r="AW82" s="1095"/>
      <c r="AX82" s="1095"/>
      <c r="AY82" s="1095"/>
      <c r="AZ82" s="1095"/>
      <c r="BA82" s="1095"/>
      <c r="BB82" s="1095"/>
      <c r="BC82" s="1095"/>
      <c r="BD82" s="1095"/>
      <c r="BE82" s="1095"/>
      <c r="BF82" s="1095"/>
      <c r="BG82" s="1095"/>
      <c r="BH82" s="1095"/>
      <c r="BI82" s="1095"/>
      <c r="BJ82" s="1095"/>
      <c r="BK82" s="1095"/>
      <c r="BL82" s="1095"/>
      <c r="BM82" s="1095"/>
      <c r="BN82" s="1095"/>
      <c r="BO82" s="1095"/>
      <c r="BP82" s="1095"/>
      <c r="BQ82" s="1095"/>
      <c r="BR82" s="1095"/>
      <c r="BS82" s="1095"/>
      <c r="BT82" s="1095"/>
      <c r="BU82" s="1095"/>
    </row>
    <row r="83" spans="1:73" x14ac:dyDescent="0.25">
      <c r="A83" s="1095"/>
      <c r="B83" s="1099" t="str">
        <f>+$B$5</f>
        <v>After-tax Real IRR</v>
      </c>
      <c r="C83" s="1108">
        <f ca="1">+ROUND(H5,2)</f>
        <v>0.08</v>
      </c>
      <c r="D83" s="1099" t="str">
        <f t="shared" ref="D83:D85" ca="1" si="16">+B83&amp;" = "&amp;C83*100&amp;"%"</f>
        <v>After-tax Real IRR = 8%</v>
      </c>
      <c r="E83" s="1112">
        <f t="shared" si="15"/>
        <v>1.7294862297438136</v>
      </c>
      <c r="F83" s="1112">
        <f t="shared" si="15"/>
        <v>0</v>
      </c>
      <c r="G83" s="1112">
        <f t="shared" si="15"/>
        <v>1.5249139575490536E-3</v>
      </c>
      <c r="H83" s="1112">
        <f t="shared" si="15"/>
        <v>0.12057337854587141</v>
      </c>
      <c r="I83" s="1112">
        <f t="shared" si="15"/>
        <v>0.12729412824163427</v>
      </c>
      <c r="J83" s="1112">
        <f t="shared" si="15"/>
        <v>1.7719232066163829E-2</v>
      </c>
      <c r="K83" s="1112">
        <f t="shared" si="15"/>
        <v>8.5279214492318825E-4</v>
      </c>
      <c r="L83" s="1112">
        <f t="shared" si="15"/>
        <v>1.5209809226909659E-3</v>
      </c>
      <c r="M83" s="1112">
        <f t="shared" si="15"/>
        <v>0.10788236942826793</v>
      </c>
      <c r="N83" s="1112">
        <f t="shared" si="15"/>
        <v>1.0325789537263574</v>
      </c>
      <c r="O83" s="1112">
        <f t="shared" si="15"/>
        <v>0</v>
      </c>
      <c r="P83" s="1112">
        <f t="shared" si="15"/>
        <v>0.20905891705123886</v>
      </c>
      <c r="Q83" s="1112">
        <f t="shared" si="15"/>
        <v>8.1646371512934537E-2</v>
      </c>
      <c r="R83" s="1112">
        <f t="shared" si="15"/>
        <v>2.7744411380940946E-2</v>
      </c>
      <c r="S83" s="1112">
        <f t="shared" si="15"/>
        <v>4.1396086803383953E-3</v>
      </c>
      <c r="T83" s="1095"/>
      <c r="U83" s="1095"/>
      <c r="V83" s="1095"/>
      <c r="W83" s="1095"/>
      <c r="X83" s="1095"/>
      <c r="Y83" s="1095"/>
      <c r="Z83" s="1095"/>
      <c r="AA83" s="1095"/>
      <c r="AB83" s="1095"/>
      <c r="AC83" s="1095"/>
      <c r="AD83" s="1095"/>
      <c r="AE83" s="1095"/>
      <c r="AF83" s="1095"/>
      <c r="AG83" s="1095"/>
      <c r="AH83" s="1095"/>
      <c r="AI83" s="1095"/>
      <c r="AJ83" s="1095"/>
      <c r="AK83" s="1095"/>
      <c r="AL83" s="1095"/>
      <c r="AM83" s="1095"/>
      <c r="AN83" s="1095"/>
      <c r="AO83" s="1095"/>
      <c r="AP83" s="1095"/>
      <c r="AQ83" s="1095"/>
      <c r="AR83" s="1095"/>
      <c r="AS83" s="1095"/>
      <c r="AT83" s="1095"/>
      <c r="AU83" s="1095"/>
      <c r="AV83" s="1095"/>
      <c r="AW83" s="1095"/>
      <c r="AX83" s="1095"/>
      <c r="AY83" s="1095"/>
      <c r="AZ83" s="1095"/>
      <c r="BA83" s="1095"/>
      <c r="BB83" s="1095"/>
      <c r="BC83" s="1095"/>
      <c r="BD83" s="1095"/>
      <c r="BE83" s="1095"/>
      <c r="BF83" s="1095"/>
      <c r="BG83" s="1095"/>
      <c r="BH83" s="1095"/>
      <c r="BI83" s="1095"/>
      <c r="BJ83" s="1095"/>
      <c r="BK83" s="1095"/>
      <c r="BL83" s="1095"/>
      <c r="BM83" s="1095"/>
      <c r="BN83" s="1095"/>
      <c r="BO83" s="1095"/>
      <c r="BP83" s="1095"/>
      <c r="BQ83" s="1095"/>
      <c r="BR83" s="1095"/>
      <c r="BS83" s="1095"/>
      <c r="BT83" s="1095"/>
      <c r="BU83" s="1095"/>
    </row>
    <row r="84" spans="1:73" x14ac:dyDescent="0.25">
      <c r="A84" s="1095"/>
      <c r="B84" s="1099" t="str">
        <f t="shared" ref="B84:B85" si="17">+$B$5</f>
        <v>After-tax Real IRR</v>
      </c>
      <c r="C84" s="1108">
        <f ca="1">ROUND(C5,2)</f>
        <v>0.08</v>
      </c>
      <c r="D84" s="1099" t="str">
        <f t="shared" ca="1" si="16"/>
        <v>After-tax Real IRR = 8%</v>
      </c>
      <c r="E84" s="1112">
        <f t="shared" ref="E84:S84" si="18">+K$51</f>
        <v>1.738021291813364</v>
      </c>
      <c r="F84" s="1112">
        <f t="shared" si="18"/>
        <v>0</v>
      </c>
      <c r="G84" s="1112">
        <f t="shared" si="18"/>
        <v>1.3752474814784693E-3</v>
      </c>
      <c r="H84" s="1112">
        <f t="shared" si="18"/>
        <v>0.12650642153831423</v>
      </c>
      <c r="I84" s="1112">
        <f t="shared" si="18"/>
        <v>0.12749490878546157</v>
      </c>
      <c r="J84" s="1112">
        <f t="shared" si="18"/>
        <v>1.8390777839810975E-2</v>
      </c>
      <c r="K84" s="1112">
        <f t="shared" si="18"/>
        <v>8.987958215351487E-4</v>
      </c>
      <c r="L84" s="1112">
        <f t="shared" si="18"/>
        <v>1.371700464116358E-3</v>
      </c>
      <c r="M84" s="1112">
        <f t="shared" si="18"/>
        <v>0.10796906793131673</v>
      </c>
      <c r="N84" s="1112">
        <f t="shared" si="18"/>
        <v>1.0310552346010684</v>
      </c>
      <c r="O84" s="1112">
        <f t="shared" si="18"/>
        <v>0</v>
      </c>
      <c r="P84" s="1112">
        <f t="shared" si="18"/>
        <v>0.20920159808505334</v>
      </c>
      <c r="Q84" s="1112">
        <f t="shared" si="18"/>
        <v>8.3106119156208025E-2</v>
      </c>
      <c r="R84" s="1112">
        <f t="shared" si="18"/>
        <v>2.9668598589567396E-2</v>
      </c>
      <c r="S84" s="1112">
        <f t="shared" si="18"/>
        <v>3.7333164823882565E-3</v>
      </c>
      <c r="T84" s="1095"/>
      <c r="U84" s="1095"/>
      <c r="V84" s="1095"/>
      <c r="W84" s="1095"/>
      <c r="X84" s="1095"/>
      <c r="Y84" s="1095"/>
      <c r="Z84" s="1095"/>
      <c r="AA84" s="1095"/>
      <c r="AB84" s="1095"/>
      <c r="AC84" s="1095"/>
      <c r="AD84" s="1095"/>
      <c r="AE84" s="1095"/>
      <c r="AF84" s="1095"/>
      <c r="AG84" s="1095"/>
      <c r="AH84" s="1095"/>
      <c r="AI84" s="1095"/>
      <c r="AJ84" s="1095"/>
      <c r="AK84" s="1095"/>
      <c r="AL84" s="1095"/>
      <c r="AM84" s="1095"/>
      <c r="AN84" s="1095"/>
      <c r="AO84" s="1095"/>
      <c r="AP84" s="1095"/>
      <c r="AQ84" s="1095"/>
      <c r="AR84" s="1095"/>
      <c r="AS84" s="1095"/>
      <c r="AT84" s="1095"/>
      <c r="AU84" s="1095"/>
      <c r="AV84" s="1095"/>
      <c r="AW84" s="1095"/>
      <c r="AX84" s="1095"/>
      <c r="AY84" s="1095"/>
      <c r="AZ84" s="1095"/>
      <c r="BA84" s="1095"/>
      <c r="BB84" s="1095"/>
      <c r="BC84" s="1095"/>
      <c r="BD84" s="1095"/>
      <c r="BE84" s="1095"/>
      <c r="BF84" s="1095"/>
      <c r="BG84" s="1095"/>
      <c r="BH84" s="1095"/>
      <c r="BI84" s="1095"/>
      <c r="BJ84" s="1095"/>
      <c r="BK84" s="1095"/>
      <c r="BL84" s="1095"/>
      <c r="BM84" s="1095"/>
      <c r="BN84" s="1095"/>
      <c r="BO84" s="1095"/>
      <c r="BP84" s="1095"/>
      <c r="BQ84" s="1095"/>
      <c r="BR84" s="1095"/>
      <c r="BS84" s="1095"/>
      <c r="BT84" s="1095"/>
      <c r="BU84" s="1095"/>
    </row>
    <row r="85" spans="1:73" x14ac:dyDescent="0.25">
      <c r="A85" s="1095"/>
      <c r="B85" s="1099" t="str">
        <f t="shared" si="17"/>
        <v>After-tax Real IRR</v>
      </c>
      <c r="C85" s="1108">
        <f ca="1">ROUND(I5,2)</f>
        <v>0.08</v>
      </c>
      <c r="D85" s="1099" t="str">
        <f t="shared" ca="1" si="16"/>
        <v>After-tax Real IRR = 8%</v>
      </c>
      <c r="E85" s="1112">
        <f t="shared" ref="E85:S86" si="19">+K57</f>
        <v>1.7468427694552915</v>
      </c>
      <c r="F85" s="1112">
        <f t="shared" si="19"/>
        <v>0</v>
      </c>
      <c r="G85" s="1112">
        <f t="shared" si="19"/>
        <v>1.2392724667617989E-3</v>
      </c>
      <c r="H85" s="1112">
        <f t="shared" si="19"/>
        <v>0.13255105889529045</v>
      </c>
      <c r="I85" s="1112">
        <f t="shared" si="19"/>
        <v>0.12769726967023903</v>
      </c>
      <c r="J85" s="1112">
        <f t="shared" si="19"/>
        <v>1.9056903769543058E-2</v>
      </c>
      <c r="K85" s="1112">
        <f t="shared" si="19"/>
        <v>9.4597380273744066E-4</v>
      </c>
      <c r="L85" s="1112">
        <f t="shared" si="19"/>
        <v>1.2360761540870322E-3</v>
      </c>
      <c r="M85" s="1112">
        <f t="shared" si="19"/>
        <v>0.10805644883711274</v>
      </c>
      <c r="N85" s="1112">
        <f t="shared" si="19"/>
        <v>1.0296058938063528</v>
      </c>
      <c r="O85" s="1112">
        <f t="shared" si="19"/>
        <v>0</v>
      </c>
      <c r="P85" s="1112">
        <f t="shared" si="19"/>
        <v>0.20934615597520159</v>
      </c>
      <c r="Q85" s="1112">
        <f t="shared" si="19"/>
        <v>8.4576198622847265E-2</v>
      </c>
      <c r="R85" s="1112">
        <f t="shared" si="19"/>
        <v>3.1645870569609873E-2</v>
      </c>
      <c r="S85" s="1112">
        <f t="shared" si="19"/>
        <v>3.3641918190302181E-3</v>
      </c>
      <c r="T85" s="1095"/>
      <c r="U85" s="1095"/>
      <c r="V85" s="1095"/>
      <c r="W85" s="1095"/>
      <c r="X85" s="1095"/>
      <c r="Y85" s="1095"/>
      <c r="Z85" s="1095"/>
      <c r="AA85" s="1095"/>
      <c r="AB85" s="1095"/>
      <c r="AC85" s="1095"/>
      <c r="AD85" s="1095"/>
      <c r="AE85" s="1095"/>
      <c r="AF85" s="1095"/>
      <c r="AG85" s="1095"/>
      <c r="AH85" s="1095"/>
      <c r="AI85" s="1095"/>
      <c r="AJ85" s="1095"/>
      <c r="AK85" s="1095"/>
      <c r="AL85" s="1095"/>
      <c r="AM85" s="1095"/>
      <c r="AN85" s="1095"/>
      <c r="AO85" s="1095"/>
      <c r="AP85" s="1095"/>
      <c r="AQ85" s="1095"/>
      <c r="AR85" s="1095"/>
      <c r="AS85" s="1095"/>
      <c r="AT85" s="1095"/>
      <c r="AU85" s="1095"/>
      <c r="AV85" s="1095"/>
      <c r="AW85" s="1095"/>
      <c r="AX85" s="1095"/>
      <c r="AY85" s="1095"/>
      <c r="AZ85" s="1095"/>
      <c r="BA85" s="1095"/>
      <c r="BB85" s="1095"/>
      <c r="BC85" s="1095"/>
      <c r="BD85" s="1095"/>
      <c r="BE85" s="1095"/>
      <c r="BF85" s="1095"/>
      <c r="BG85" s="1095"/>
      <c r="BH85" s="1095"/>
      <c r="BI85" s="1095"/>
      <c r="BJ85" s="1095"/>
      <c r="BK85" s="1095"/>
      <c r="BL85" s="1095"/>
      <c r="BM85" s="1095"/>
      <c r="BN85" s="1095"/>
      <c r="BO85" s="1095"/>
      <c r="BP85" s="1095"/>
      <c r="BQ85" s="1095"/>
      <c r="BR85" s="1095"/>
      <c r="BS85" s="1095"/>
      <c r="BT85" s="1095"/>
      <c r="BU85" s="1095"/>
    </row>
    <row r="86" spans="1:73" x14ac:dyDescent="0.25">
      <c r="A86" s="1095"/>
      <c r="B86" s="1099" t="str">
        <f>+$B$6</f>
        <v>Feedstock Consumption (% of baseline)</v>
      </c>
      <c r="C86" s="1099">
        <f>+ROUND(H6,3)</f>
        <v>0.95</v>
      </c>
      <c r="D86" s="1098" t="str">
        <f>+B86&amp;" = "&amp;C86*100&amp;"%"</f>
        <v>Feedstock Consumption (% of baseline) = 95%</v>
      </c>
      <c r="E86" s="1120">
        <f t="shared" si="19"/>
        <v>1.6770445332498354</v>
      </c>
      <c r="F86" s="1112">
        <f t="shared" si="19"/>
        <v>0</v>
      </c>
      <c r="G86" s="1112">
        <f t="shared" si="19"/>
        <v>1.3690324835518666E-3</v>
      </c>
      <c r="H86" s="1112">
        <f t="shared" si="19"/>
        <v>0.12593323725491529</v>
      </c>
      <c r="I86" s="1112">
        <f t="shared" si="19"/>
        <v>0.12365640391750458</v>
      </c>
      <c r="J86" s="1112">
        <f t="shared" si="19"/>
        <v>1.7647423808294729E-2</v>
      </c>
      <c r="K86" s="1112">
        <f t="shared" si="19"/>
        <v>8.987958215351487E-4</v>
      </c>
      <c r="L86" s="1112">
        <f t="shared" si="19"/>
        <v>1.3654854661897557E-3</v>
      </c>
      <c r="M86" s="1112">
        <f t="shared" si="19"/>
        <v>0.10765331161265509</v>
      </c>
      <c r="N86" s="1112">
        <f t="shared" si="19"/>
        <v>0.97950247287101511</v>
      </c>
      <c r="O86" s="1112">
        <f t="shared" si="19"/>
        <v>0</v>
      </c>
      <c r="P86" s="1112">
        <f t="shared" si="19"/>
        <v>0.20656932369311512</v>
      </c>
      <c r="Q86" s="1112">
        <f t="shared" si="19"/>
        <v>8.2729576046574674E-2</v>
      </c>
      <c r="R86" s="1112">
        <f t="shared" si="19"/>
        <v>2.8741133934781823E-2</v>
      </c>
      <c r="S86" s="1112">
        <f t="shared" si="19"/>
        <v>3.7164013068055612E-3</v>
      </c>
      <c r="T86" s="1095"/>
      <c r="U86" s="1095"/>
      <c r="V86" s="1095"/>
      <c r="W86" s="1095"/>
      <c r="X86" s="1095"/>
      <c r="Y86" s="1095"/>
      <c r="Z86" s="1095"/>
      <c r="AA86" s="1095"/>
      <c r="AB86" s="1095"/>
      <c r="AC86" s="1095"/>
      <c r="AD86" s="1095"/>
      <c r="AE86" s="1095"/>
      <c r="AF86" s="1095"/>
      <c r="AG86" s="1095"/>
      <c r="AH86" s="1095"/>
      <c r="AI86" s="1095"/>
      <c r="AJ86" s="1095"/>
      <c r="AK86" s="1095"/>
      <c r="AL86" s="1095"/>
      <c r="AM86" s="1095"/>
      <c r="AN86" s="1095"/>
      <c r="AO86" s="1095"/>
      <c r="AP86" s="1095"/>
      <c r="AQ86" s="1095"/>
      <c r="AR86" s="1095"/>
      <c r="AS86" s="1095"/>
      <c r="AT86" s="1095"/>
      <c r="AU86" s="1095"/>
      <c r="AV86" s="1095"/>
      <c r="AW86" s="1095"/>
      <c r="AX86" s="1095"/>
      <c r="AY86" s="1095"/>
      <c r="AZ86" s="1095"/>
      <c r="BA86" s="1095"/>
      <c r="BB86" s="1095"/>
      <c r="BC86" s="1095"/>
      <c r="BD86" s="1095"/>
      <c r="BE86" s="1095"/>
      <c r="BF86" s="1095"/>
      <c r="BG86" s="1095"/>
      <c r="BH86" s="1095"/>
      <c r="BI86" s="1095"/>
      <c r="BJ86" s="1095"/>
      <c r="BK86" s="1095"/>
      <c r="BL86" s="1095"/>
      <c r="BM86" s="1095"/>
      <c r="BN86" s="1095"/>
      <c r="BO86" s="1095"/>
      <c r="BP86" s="1095"/>
      <c r="BQ86" s="1095"/>
      <c r="BR86" s="1095"/>
      <c r="BS86" s="1095"/>
      <c r="BT86" s="1095"/>
      <c r="BU86" s="1095"/>
    </row>
    <row r="87" spans="1:73" x14ac:dyDescent="0.25">
      <c r="A87" s="1095"/>
      <c r="B87" s="1099" t="str">
        <f t="shared" ref="B87:B88" si="20">+$B$6</f>
        <v>Feedstock Consumption (% of baseline)</v>
      </c>
      <c r="C87" s="1099">
        <f>+ROUND(C6,3)</f>
        <v>1</v>
      </c>
      <c r="D87" s="1098" t="str">
        <f>+B87&amp;" = "&amp;C87*100&amp;"%"</f>
        <v>Feedstock Consumption (% of baseline) = 100%</v>
      </c>
      <c r="E87" s="1120">
        <f t="shared" ref="E87:S87" si="21">+K$51</f>
        <v>1.738021291813364</v>
      </c>
      <c r="F87" s="1112">
        <f t="shared" si="21"/>
        <v>0</v>
      </c>
      <c r="G87" s="1112">
        <f t="shared" si="21"/>
        <v>1.3752474814784693E-3</v>
      </c>
      <c r="H87" s="1112">
        <f t="shared" si="21"/>
        <v>0.12650642153831423</v>
      </c>
      <c r="I87" s="1112">
        <f t="shared" si="21"/>
        <v>0.12749490878546157</v>
      </c>
      <c r="J87" s="1112">
        <f t="shared" si="21"/>
        <v>1.8390777839810975E-2</v>
      </c>
      <c r="K87" s="1112">
        <f t="shared" si="21"/>
        <v>8.987958215351487E-4</v>
      </c>
      <c r="L87" s="1112">
        <f t="shared" si="21"/>
        <v>1.371700464116358E-3</v>
      </c>
      <c r="M87" s="1112">
        <f t="shared" si="21"/>
        <v>0.10796906793131673</v>
      </c>
      <c r="N87" s="1112">
        <f t="shared" si="21"/>
        <v>1.0310552346010684</v>
      </c>
      <c r="O87" s="1112">
        <f t="shared" si="21"/>
        <v>0</v>
      </c>
      <c r="P87" s="1112">
        <f t="shared" si="21"/>
        <v>0.20920159808505334</v>
      </c>
      <c r="Q87" s="1112">
        <f t="shared" si="21"/>
        <v>8.3106119156208025E-2</v>
      </c>
      <c r="R87" s="1112">
        <f t="shared" si="21"/>
        <v>2.9668598589567396E-2</v>
      </c>
      <c r="S87" s="1112">
        <f t="shared" si="21"/>
        <v>3.7333164823882565E-3</v>
      </c>
      <c r="T87" s="1095"/>
      <c r="U87" s="1095"/>
      <c r="V87" s="1095"/>
      <c r="W87" s="1095"/>
      <c r="X87" s="1095"/>
      <c r="Y87" s="1095"/>
      <c r="Z87" s="1095"/>
      <c r="AA87" s="1095"/>
      <c r="AB87" s="1095"/>
      <c r="AC87" s="1095"/>
      <c r="AD87" s="1095"/>
      <c r="AE87" s="1095"/>
      <c r="AF87" s="1095"/>
      <c r="AG87" s="1095"/>
      <c r="AH87" s="1095"/>
      <c r="AI87" s="1095"/>
      <c r="AJ87" s="1095"/>
      <c r="AK87" s="1095"/>
      <c r="AL87" s="1095"/>
      <c r="AM87" s="1095"/>
      <c r="AN87" s="1095"/>
      <c r="AO87" s="1095"/>
      <c r="AP87" s="1095"/>
      <c r="AQ87" s="1095"/>
      <c r="AR87" s="1095"/>
      <c r="AS87" s="1095"/>
      <c r="AT87" s="1095"/>
      <c r="AU87" s="1095"/>
      <c r="AV87" s="1095"/>
      <c r="AW87" s="1095"/>
      <c r="AX87" s="1095"/>
      <c r="AY87" s="1095"/>
      <c r="AZ87" s="1095"/>
      <c r="BA87" s="1095"/>
      <c r="BB87" s="1095"/>
      <c r="BC87" s="1095"/>
      <c r="BD87" s="1095"/>
      <c r="BE87" s="1095"/>
      <c r="BF87" s="1095"/>
      <c r="BG87" s="1095"/>
      <c r="BH87" s="1095"/>
      <c r="BI87" s="1095"/>
      <c r="BJ87" s="1095"/>
      <c r="BK87" s="1095"/>
      <c r="BL87" s="1095"/>
      <c r="BM87" s="1095"/>
      <c r="BN87" s="1095"/>
      <c r="BO87" s="1095"/>
      <c r="BP87" s="1095"/>
      <c r="BQ87" s="1095"/>
      <c r="BR87" s="1095"/>
      <c r="BS87" s="1095"/>
      <c r="BT87" s="1095"/>
      <c r="BU87" s="1095"/>
    </row>
    <row r="88" spans="1:73" x14ac:dyDescent="0.25">
      <c r="A88" s="1095"/>
      <c r="B88" s="1099" t="str">
        <f t="shared" si="20"/>
        <v>Feedstock Consumption (% of baseline)</v>
      </c>
      <c r="C88" s="1099">
        <f>+ROUND(I6,3)</f>
        <v>1.05</v>
      </c>
      <c r="D88" s="1098" t="str">
        <f>+B88&amp;" = "&amp;C88*100&amp;"%"</f>
        <v>Feedstock Consumption (% of baseline) = 105%</v>
      </c>
      <c r="E88" s="1120">
        <f t="shared" ref="E88:S89" si="22">+K59</f>
        <v>1.7987661930009131</v>
      </c>
      <c r="F88" s="1112">
        <f t="shared" si="22"/>
        <v>0</v>
      </c>
      <c r="G88" s="1112">
        <f t="shared" si="22"/>
        <v>1.380972221570458E-3</v>
      </c>
      <c r="H88" s="1112">
        <f t="shared" si="22"/>
        <v>0.12703439131175961</v>
      </c>
      <c r="I88" s="1112">
        <f t="shared" si="22"/>
        <v>0.1312562594167081</v>
      </c>
      <c r="J88" s="1112">
        <f t="shared" si="22"/>
        <v>1.9133264077050374E-2</v>
      </c>
      <c r="K88" s="1112">
        <f t="shared" si="22"/>
        <v>8.987958215351487E-4</v>
      </c>
      <c r="L88" s="1112">
        <f t="shared" si="22"/>
        <v>1.3774252042083467E-3</v>
      </c>
      <c r="M88" s="1112">
        <f t="shared" si="22"/>
        <v>0.10825991643651157</v>
      </c>
      <c r="N88" s="1112">
        <f t="shared" si="22"/>
        <v>1.0826079963311221</v>
      </c>
      <c r="O88" s="1112">
        <f t="shared" si="22"/>
        <v>0</v>
      </c>
      <c r="P88" s="1112">
        <f t="shared" si="22"/>
        <v>0.2117951909983371</v>
      </c>
      <c r="Q88" s="1112">
        <f t="shared" si="22"/>
        <v>8.3452959406444122E-2</v>
      </c>
      <c r="R88" s="1112">
        <f t="shared" si="22"/>
        <v>3.0582068881047156E-2</v>
      </c>
      <c r="S88" s="1112">
        <f t="shared" si="22"/>
        <v>3.7488973377585865E-3</v>
      </c>
      <c r="T88" s="1095"/>
      <c r="U88" s="1095"/>
      <c r="V88" s="1095"/>
      <c r="W88" s="1095"/>
      <c r="X88" s="1095"/>
      <c r="Y88" s="1095"/>
      <c r="Z88" s="1095"/>
      <c r="AA88" s="1095"/>
      <c r="AB88" s="1095"/>
      <c r="AC88" s="1095"/>
      <c r="AD88" s="1095"/>
      <c r="AE88" s="1095"/>
      <c r="AF88" s="1095"/>
      <c r="AG88" s="1095"/>
      <c r="AH88" s="1095"/>
      <c r="AI88" s="1095"/>
      <c r="AJ88" s="1095"/>
      <c r="AK88" s="1095"/>
      <c r="AL88" s="1095"/>
      <c r="AM88" s="1095"/>
      <c r="AN88" s="1095"/>
      <c r="AO88" s="1095"/>
      <c r="AP88" s="1095"/>
      <c r="AQ88" s="1095"/>
      <c r="AR88" s="1095"/>
      <c r="AS88" s="1095"/>
      <c r="AT88" s="1095"/>
      <c r="AU88" s="1095"/>
      <c r="AV88" s="1095"/>
      <c r="AW88" s="1095"/>
      <c r="AX88" s="1095"/>
      <c r="AY88" s="1095"/>
      <c r="AZ88" s="1095"/>
      <c r="BA88" s="1095"/>
      <c r="BB88" s="1095"/>
      <c r="BC88" s="1095"/>
      <c r="BD88" s="1095"/>
      <c r="BE88" s="1095"/>
      <c r="BF88" s="1095"/>
      <c r="BG88" s="1095"/>
      <c r="BH88" s="1095"/>
      <c r="BI88" s="1095"/>
      <c r="BJ88" s="1095"/>
      <c r="BK88" s="1095"/>
      <c r="BL88" s="1095"/>
      <c r="BM88" s="1095"/>
      <c r="BN88" s="1095"/>
      <c r="BO88" s="1095"/>
      <c r="BP88" s="1095"/>
      <c r="BQ88" s="1095"/>
      <c r="BR88" s="1095"/>
      <c r="BS88" s="1095"/>
      <c r="BT88" s="1095"/>
      <c r="BU88" s="1095"/>
    </row>
    <row r="89" spans="1:73" x14ac:dyDescent="0.25">
      <c r="A89" s="1095"/>
      <c r="B89" s="1099" t="str">
        <f>+$B$7</f>
        <v>Utilities Consumption (% of baseline)</v>
      </c>
      <c r="C89" s="1099">
        <f>+ROUND(H7,3)</f>
        <v>0.95</v>
      </c>
      <c r="D89" s="1098" t="str">
        <f t="shared" ref="D89:D91" si="23">+B89&amp;" = "&amp;C89*100&amp;"%"</f>
        <v>Utilities Consumption (% of baseline) = 95%</v>
      </c>
      <c r="E89" s="1120">
        <f t="shared" si="22"/>
        <v>1.735558000703026</v>
      </c>
      <c r="F89" s="1120">
        <f t="shared" si="22"/>
        <v>0</v>
      </c>
      <c r="G89" s="1120">
        <f t="shared" si="22"/>
        <v>1.3752474814784693E-3</v>
      </c>
      <c r="H89" s="1120">
        <f t="shared" si="22"/>
        <v>0.12650642153831423</v>
      </c>
      <c r="I89" s="1120">
        <f t="shared" si="22"/>
        <v>0.12749490878546157</v>
      </c>
      <c r="J89" s="1120">
        <f t="shared" si="22"/>
        <v>1.8357771197497531E-2</v>
      </c>
      <c r="K89" s="1120">
        <f t="shared" si="22"/>
        <v>8.987958215351487E-4</v>
      </c>
      <c r="L89" s="1120">
        <f t="shared" si="22"/>
        <v>1.371700464116358E-3</v>
      </c>
      <c r="M89" s="1120">
        <f t="shared" si="22"/>
        <v>0.10796906793131673</v>
      </c>
      <c r="N89" s="1120">
        <f t="shared" si="22"/>
        <v>1.0310552346010684</v>
      </c>
      <c r="O89" s="1120">
        <f t="shared" si="22"/>
        <v>0</v>
      </c>
      <c r="P89" s="1120">
        <f t="shared" si="22"/>
        <v>0.20678275437885416</v>
      </c>
      <c r="Q89" s="1120">
        <f t="shared" si="22"/>
        <v>8.3106119156208025E-2</v>
      </c>
      <c r="R89" s="1120">
        <f t="shared" si="22"/>
        <v>2.9657157827742048E-2</v>
      </c>
      <c r="S89" s="1120">
        <f t="shared" si="22"/>
        <v>3.7333164823882565E-3</v>
      </c>
      <c r="T89" s="1095"/>
      <c r="U89" s="1095"/>
      <c r="V89" s="1095"/>
      <c r="W89" s="1095"/>
      <c r="X89" s="1095"/>
      <c r="Y89" s="1095"/>
      <c r="Z89" s="1095"/>
      <c r="AA89" s="1095"/>
      <c r="AB89" s="1095"/>
      <c r="AC89" s="1095"/>
      <c r="AD89" s="1095"/>
      <c r="AE89" s="1095"/>
      <c r="AF89" s="1095"/>
      <c r="AG89" s="1095"/>
      <c r="AH89" s="1095"/>
      <c r="AI89" s="1095"/>
      <c r="AJ89" s="1095"/>
      <c r="AK89" s="1095"/>
      <c r="AL89" s="1095"/>
      <c r="AM89" s="1095"/>
      <c r="AN89" s="1095"/>
      <c r="AO89" s="1095"/>
      <c r="AP89" s="1095"/>
      <c r="AQ89" s="1095"/>
      <c r="AR89" s="1095"/>
      <c r="AS89" s="1095"/>
      <c r="AT89" s="1095"/>
      <c r="AU89" s="1095"/>
      <c r="AV89" s="1095"/>
      <c r="AW89" s="1095"/>
      <c r="AX89" s="1095"/>
      <c r="AY89" s="1095"/>
      <c r="AZ89" s="1095"/>
      <c r="BA89" s="1095"/>
      <c r="BB89" s="1095"/>
      <c r="BC89" s="1095"/>
      <c r="BD89" s="1095"/>
      <c r="BE89" s="1095"/>
      <c r="BF89" s="1095"/>
      <c r="BG89" s="1095"/>
      <c r="BH89" s="1095"/>
      <c r="BI89" s="1095"/>
      <c r="BJ89" s="1095"/>
      <c r="BK89" s="1095"/>
      <c r="BL89" s="1095"/>
      <c r="BM89" s="1095"/>
      <c r="BN89" s="1095"/>
      <c r="BO89" s="1095"/>
      <c r="BP89" s="1095"/>
      <c r="BQ89" s="1095"/>
      <c r="BR89" s="1095"/>
      <c r="BS89" s="1095"/>
      <c r="BT89" s="1095"/>
      <c r="BU89" s="1095"/>
    </row>
    <row r="90" spans="1:73" x14ac:dyDescent="0.25">
      <c r="A90" s="1095"/>
      <c r="B90" s="1099" t="str">
        <f t="shared" ref="B90:B91" si="24">+$B$7</f>
        <v>Utilities Consumption (% of baseline)</v>
      </c>
      <c r="C90" s="1099">
        <f>+ROUND(C7,3)</f>
        <v>1</v>
      </c>
      <c r="D90" s="1098" t="str">
        <f t="shared" si="23"/>
        <v>Utilities Consumption (% of baseline) = 100%</v>
      </c>
      <c r="E90" s="1120">
        <f>+K$51</f>
        <v>1.738021291813364</v>
      </c>
      <c r="F90" s="1120">
        <f t="shared" ref="F90:S90" si="25">+L$51</f>
        <v>0</v>
      </c>
      <c r="G90" s="1120">
        <f t="shared" si="25"/>
        <v>1.3752474814784693E-3</v>
      </c>
      <c r="H90" s="1120">
        <f t="shared" si="25"/>
        <v>0.12650642153831423</v>
      </c>
      <c r="I90" s="1120">
        <f t="shared" si="25"/>
        <v>0.12749490878546157</v>
      </c>
      <c r="J90" s="1120">
        <f t="shared" si="25"/>
        <v>1.8390777839810975E-2</v>
      </c>
      <c r="K90" s="1120">
        <f t="shared" si="25"/>
        <v>8.987958215351487E-4</v>
      </c>
      <c r="L90" s="1120">
        <f t="shared" si="25"/>
        <v>1.371700464116358E-3</v>
      </c>
      <c r="M90" s="1120">
        <f t="shared" si="25"/>
        <v>0.10796906793131673</v>
      </c>
      <c r="N90" s="1120">
        <f t="shared" si="25"/>
        <v>1.0310552346010684</v>
      </c>
      <c r="O90" s="1120">
        <f t="shared" si="25"/>
        <v>0</v>
      </c>
      <c r="P90" s="1120">
        <f t="shared" si="25"/>
        <v>0.20920159808505334</v>
      </c>
      <c r="Q90" s="1120">
        <f t="shared" si="25"/>
        <v>8.3106119156208025E-2</v>
      </c>
      <c r="R90" s="1120">
        <f t="shared" si="25"/>
        <v>2.9668598589567396E-2</v>
      </c>
      <c r="S90" s="1120">
        <f t="shared" si="25"/>
        <v>3.7333164823882565E-3</v>
      </c>
      <c r="T90" s="1095"/>
      <c r="U90" s="1095"/>
      <c r="V90" s="1095"/>
      <c r="W90" s="1095"/>
      <c r="X90" s="1095"/>
      <c r="Y90" s="1095"/>
      <c r="Z90" s="1095"/>
      <c r="AA90" s="1095"/>
      <c r="AB90" s="1095"/>
      <c r="AC90" s="1095"/>
      <c r="AD90" s="1095"/>
      <c r="AE90" s="1095"/>
      <c r="AF90" s="1095"/>
      <c r="AG90" s="1095"/>
      <c r="AH90" s="1095"/>
      <c r="AI90" s="1095"/>
      <c r="AJ90" s="1095"/>
      <c r="AK90" s="1095"/>
      <c r="AL90" s="1095"/>
      <c r="AM90" s="1095"/>
      <c r="AN90" s="1095"/>
      <c r="AO90" s="1095"/>
      <c r="AP90" s="1095"/>
      <c r="AQ90" s="1095"/>
      <c r="AR90" s="1095"/>
      <c r="AS90" s="1095"/>
      <c r="AT90" s="1095"/>
      <c r="AU90" s="1095"/>
      <c r="AV90" s="1095"/>
      <c r="AW90" s="1095"/>
      <c r="AX90" s="1095"/>
      <c r="AY90" s="1095"/>
      <c r="AZ90" s="1095"/>
      <c r="BA90" s="1095"/>
      <c r="BB90" s="1095"/>
      <c r="BC90" s="1095"/>
      <c r="BD90" s="1095"/>
      <c r="BE90" s="1095"/>
      <c r="BF90" s="1095"/>
      <c r="BG90" s="1095"/>
      <c r="BH90" s="1095"/>
      <c r="BI90" s="1095"/>
      <c r="BJ90" s="1095"/>
      <c r="BK90" s="1095"/>
      <c r="BL90" s="1095"/>
      <c r="BM90" s="1095"/>
      <c r="BN90" s="1095"/>
      <c r="BO90" s="1095"/>
      <c r="BP90" s="1095"/>
      <c r="BQ90" s="1095"/>
      <c r="BR90" s="1095"/>
      <c r="BS90" s="1095"/>
      <c r="BT90" s="1095"/>
      <c r="BU90" s="1095"/>
    </row>
    <row r="91" spans="1:73" x14ac:dyDescent="0.25">
      <c r="A91" s="1095"/>
      <c r="B91" s="1099" t="str">
        <f t="shared" si="24"/>
        <v>Utilities Consumption (% of baseline)</v>
      </c>
      <c r="C91" s="1099">
        <f>+ROUND(I7,3)</f>
        <v>1.05</v>
      </c>
      <c r="D91" s="1098" t="str">
        <f t="shared" si="23"/>
        <v>Utilities Consumption (% of baseline) = 105%</v>
      </c>
      <c r="E91" s="1120">
        <f t="shared" ref="E91:S92" si="26">+K61</f>
        <v>1.7404845829237012</v>
      </c>
      <c r="F91" s="1120">
        <f t="shared" si="26"/>
        <v>0</v>
      </c>
      <c r="G91" s="1120">
        <f t="shared" si="26"/>
        <v>1.3752474814784693E-3</v>
      </c>
      <c r="H91" s="1120">
        <f t="shared" si="26"/>
        <v>0.12650642153831423</v>
      </c>
      <c r="I91" s="1120">
        <f t="shared" si="26"/>
        <v>0.12749490878546157</v>
      </c>
      <c r="J91" s="1120">
        <f t="shared" si="26"/>
        <v>1.8423784482124388E-2</v>
      </c>
      <c r="K91" s="1120">
        <f t="shared" si="26"/>
        <v>8.987958215351487E-4</v>
      </c>
      <c r="L91" s="1120">
        <f t="shared" si="26"/>
        <v>1.371700464116358E-3</v>
      </c>
      <c r="M91" s="1120">
        <f t="shared" si="26"/>
        <v>0.10796906793131673</v>
      </c>
      <c r="N91" s="1120">
        <f t="shared" si="26"/>
        <v>1.0310552346010684</v>
      </c>
      <c r="O91" s="1120">
        <f t="shared" si="26"/>
        <v>0</v>
      </c>
      <c r="P91" s="1120">
        <f t="shared" si="26"/>
        <v>0.21162044179125258</v>
      </c>
      <c r="Q91" s="1120">
        <f t="shared" si="26"/>
        <v>8.3106119156208025E-2</v>
      </c>
      <c r="R91" s="1120">
        <f t="shared" si="26"/>
        <v>2.9680039351392584E-2</v>
      </c>
      <c r="S91" s="1120">
        <f t="shared" si="26"/>
        <v>3.7333164823882565E-3</v>
      </c>
      <c r="T91" s="1095"/>
      <c r="U91" s="1095"/>
      <c r="V91" s="1095"/>
      <c r="W91" s="1095"/>
      <c r="X91" s="1095"/>
      <c r="Y91" s="1095"/>
      <c r="Z91" s="1095"/>
      <c r="AA91" s="1095"/>
      <c r="AB91" s="1095"/>
      <c r="AC91" s="1095"/>
      <c r="AD91" s="1095"/>
      <c r="AE91" s="1095"/>
      <c r="AF91" s="1095"/>
      <c r="AG91" s="1095"/>
      <c r="AH91" s="1095"/>
      <c r="AI91" s="1095"/>
      <c r="AJ91" s="1095"/>
      <c r="AK91" s="1095"/>
      <c r="AL91" s="1095"/>
      <c r="AM91" s="1095"/>
      <c r="AN91" s="1095"/>
      <c r="AO91" s="1095"/>
      <c r="AP91" s="1095"/>
      <c r="AQ91" s="1095"/>
      <c r="AR91" s="1095"/>
      <c r="AS91" s="1095"/>
      <c r="AT91" s="1095"/>
      <c r="AU91" s="1095"/>
      <c r="AV91" s="1095"/>
      <c r="AW91" s="1095"/>
      <c r="AX91" s="1095"/>
      <c r="AY91" s="1095"/>
      <c r="AZ91" s="1095"/>
      <c r="BA91" s="1095"/>
      <c r="BB91" s="1095"/>
      <c r="BC91" s="1095"/>
      <c r="BD91" s="1095"/>
      <c r="BE91" s="1095"/>
      <c r="BF91" s="1095"/>
      <c r="BG91" s="1095"/>
      <c r="BH91" s="1095"/>
      <c r="BI91" s="1095"/>
      <c r="BJ91" s="1095"/>
      <c r="BK91" s="1095"/>
      <c r="BL91" s="1095"/>
      <c r="BM91" s="1095"/>
      <c r="BN91" s="1095"/>
      <c r="BO91" s="1095"/>
      <c r="BP91" s="1095"/>
      <c r="BQ91" s="1095"/>
      <c r="BR91" s="1095"/>
      <c r="BS91" s="1095"/>
      <c r="BT91" s="1095"/>
      <c r="BU91" s="1095"/>
    </row>
    <row r="92" spans="1:73" x14ac:dyDescent="0.25">
      <c r="A92" s="1095"/>
      <c r="B92" s="1099" t="str">
        <f>+$B$8</f>
        <v>Total Capital Investment</v>
      </c>
      <c r="C92" s="1117">
        <f ca="1">+ROUND(H8,0)</f>
        <v>405433526</v>
      </c>
      <c r="D92" s="1099" t="str">
        <f t="shared" ref="D92:D97" ca="1" si="27">+B92&amp;" = "&amp;TEXT(C92/1000,"$0,000K")</f>
        <v>Total Capital Investment = $405,434K</v>
      </c>
      <c r="E92" s="1112">
        <f t="shared" si="26"/>
        <v>1.7237253260295189</v>
      </c>
      <c r="F92" s="1112">
        <f t="shared" si="26"/>
        <v>0</v>
      </c>
      <c r="G92" s="1112">
        <f t="shared" si="26"/>
        <v>1.3064851074045458E-3</v>
      </c>
      <c r="H92" s="1112">
        <f t="shared" si="26"/>
        <v>0.12016474410352905</v>
      </c>
      <c r="I92" s="1112">
        <f t="shared" si="26"/>
        <v>0.12749490878546157</v>
      </c>
      <c r="J92" s="1112">
        <f t="shared" si="26"/>
        <v>1.8343102399162137E-2</v>
      </c>
      <c r="K92" s="1112">
        <f t="shared" si="26"/>
        <v>8.987958215351487E-4</v>
      </c>
      <c r="L92" s="1112">
        <f t="shared" si="26"/>
        <v>1.3029380900424345E-3</v>
      </c>
      <c r="M92" s="1112">
        <f t="shared" si="26"/>
        <v>0.10447555846334336</v>
      </c>
      <c r="N92" s="1112">
        <f t="shared" si="26"/>
        <v>1.0310552346010684</v>
      </c>
      <c r="O92" s="1112">
        <f t="shared" si="26"/>
        <v>0</v>
      </c>
      <c r="P92" s="1112">
        <f t="shared" si="26"/>
        <v>0.20920159808505334</v>
      </c>
      <c r="Q92" s="1112">
        <f t="shared" si="26"/>
        <v>7.8940068183168066E-2</v>
      </c>
      <c r="R92" s="1112">
        <f t="shared" si="26"/>
        <v>2.9608694636888335E-2</v>
      </c>
      <c r="S92" s="1112">
        <f t="shared" si="26"/>
        <v>3.546167967669558E-3</v>
      </c>
      <c r="T92" s="1095"/>
      <c r="U92" s="1095"/>
      <c r="V92" s="1095"/>
      <c r="W92" s="1095"/>
      <c r="X92" s="1095"/>
      <c r="Y92" s="1095"/>
      <c r="Z92" s="1095"/>
      <c r="AA92" s="1095"/>
      <c r="AB92" s="1095"/>
      <c r="AC92" s="1095"/>
      <c r="AD92" s="1095"/>
      <c r="AE92" s="1095"/>
      <c r="AF92" s="1095"/>
      <c r="AG92" s="1095"/>
      <c r="AH92" s="1095"/>
      <c r="AI92" s="1095"/>
      <c r="AJ92" s="1095"/>
      <c r="AK92" s="1095"/>
      <c r="AL92" s="1095"/>
      <c r="AM92" s="1095"/>
      <c r="AN92" s="1095"/>
      <c r="AO92" s="1095"/>
      <c r="AP92" s="1095"/>
      <c r="AQ92" s="1095"/>
      <c r="AR92" s="1095"/>
      <c r="AS92" s="1095"/>
      <c r="AT92" s="1095"/>
      <c r="AU92" s="1095"/>
      <c r="AV92" s="1095"/>
      <c r="AW92" s="1095"/>
      <c r="AX92" s="1095"/>
      <c r="AY92" s="1095"/>
      <c r="AZ92" s="1095"/>
      <c r="BA92" s="1095"/>
      <c r="BB92" s="1095"/>
      <c r="BC92" s="1095"/>
      <c r="BD92" s="1095"/>
      <c r="BE92" s="1095"/>
      <c r="BF92" s="1095"/>
      <c r="BG92" s="1095"/>
      <c r="BH92" s="1095"/>
      <c r="BI92" s="1095"/>
      <c r="BJ92" s="1095"/>
      <c r="BK92" s="1095"/>
      <c r="BL92" s="1095"/>
      <c r="BM92" s="1095"/>
      <c r="BN92" s="1095"/>
      <c r="BO92" s="1095"/>
      <c r="BP92" s="1095"/>
      <c r="BQ92" s="1095"/>
      <c r="BR92" s="1095"/>
      <c r="BS92" s="1095"/>
      <c r="BT92" s="1095"/>
      <c r="BU92" s="1095"/>
    </row>
    <row r="93" spans="1:73" x14ac:dyDescent="0.25">
      <c r="A93" s="1095"/>
      <c r="B93" s="1099" t="str">
        <f t="shared" ref="B93:B94" si="28">+$B$8</f>
        <v>Total Capital Investment</v>
      </c>
      <c r="C93" s="1117">
        <f ca="1">+ROUND(C8,0)</f>
        <v>426772133</v>
      </c>
      <c r="D93" s="1099" t="str">
        <f t="shared" ca="1" si="27"/>
        <v>Total Capital Investment = $426,772K</v>
      </c>
      <c r="E93" s="1112">
        <f t="shared" ref="E93:S93" si="29">+K$51</f>
        <v>1.738021291813364</v>
      </c>
      <c r="F93" s="1112">
        <f t="shared" si="29"/>
        <v>0</v>
      </c>
      <c r="G93" s="1112">
        <f t="shared" si="29"/>
        <v>1.3752474814784693E-3</v>
      </c>
      <c r="H93" s="1112">
        <f t="shared" si="29"/>
        <v>0.12650642153831423</v>
      </c>
      <c r="I93" s="1112">
        <f t="shared" si="29"/>
        <v>0.12749490878546157</v>
      </c>
      <c r="J93" s="1112">
        <f t="shared" si="29"/>
        <v>1.8390777839810975E-2</v>
      </c>
      <c r="K93" s="1112">
        <f t="shared" si="29"/>
        <v>8.987958215351487E-4</v>
      </c>
      <c r="L93" s="1112">
        <f t="shared" si="29"/>
        <v>1.371700464116358E-3</v>
      </c>
      <c r="M93" s="1112">
        <f t="shared" si="29"/>
        <v>0.10796906793131673</v>
      </c>
      <c r="N93" s="1112">
        <f t="shared" si="29"/>
        <v>1.0310552346010684</v>
      </c>
      <c r="O93" s="1112">
        <f t="shared" si="29"/>
        <v>0</v>
      </c>
      <c r="P93" s="1112">
        <f t="shared" si="29"/>
        <v>0.20920159808505334</v>
      </c>
      <c r="Q93" s="1112">
        <f t="shared" si="29"/>
        <v>8.3106119156208025E-2</v>
      </c>
      <c r="R93" s="1112">
        <f t="shared" si="29"/>
        <v>2.9668598589567396E-2</v>
      </c>
      <c r="S93" s="1112">
        <f t="shared" si="29"/>
        <v>3.7333164823882565E-3</v>
      </c>
      <c r="T93" s="1095"/>
      <c r="U93" s="1095"/>
      <c r="V93" s="1095"/>
      <c r="W93" s="1095"/>
      <c r="X93" s="1095"/>
      <c r="Y93" s="1095"/>
      <c r="Z93" s="1095"/>
      <c r="AA93" s="1095"/>
      <c r="AB93" s="1095"/>
      <c r="AC93" s="1095"/>
      <c r="AD93" s="1095"/>
      <c r="AE93" s="1095"/>
      <c r="AF93" s="1095"/>
      <c r="AG93" s="1095"/>
      <c r="AH93" s="1095"/>
      <c r="AI93" s="1095"/>
      <c r="AJ93" s="1095"/>
      <c r="AK93" s="1095"/>
      <c r="AL93" s="1095"/>
      <c r="AM93" s="1095"/>
      <c r="AN93" s="1095"/>
      <c r="AO93" s="1095"/>
      <c r="AP93" s="1095"/>
      <c r="AQ93" s="1095"/>
      <c r="AR93" s="1095"/>
      <c r="AS93" s="1095"/>
      <c r="AT93" s="1095"/>
      <c r="AU93" s="1095"/>
      <c r="AV93" s="1095"/>
      <c r="AW93" s="1095"/>
      <c r="AX93" s="1095"/>
      <c r="AY93" s="1095"/>
      <c r="AZ93" s="1095"/>
      <c r="BA93" s="1095"/>
      <c r="BB93" s="1095"/>
      <c r="BC93" s="1095"/>
      <c r="BD93" s="1095"/>
      <c r="BE93" s="1095"/>
      <c r="BF93" s="1095"/>
      <c r="BG93" s="1095"/>
      <c r="BH93" s="1095"/>
      <c r="BI93" s="1095"/>
      <c r="BJ93" s="1095"/>
      <c r="BK93" s="1095"/>
      <c r="BL93" s="1095"/>
      <c r="BM93" s="1095"/>
      <c r="BN93" s="1095"/>
      <c r="BO93" s="1095"/>
      <c r="BP93" s="1095"/>
      <c r="BQ93" s="1095"/>
      <c r="BR93" s="1095"/>
      <c r="BS93" s="1095"/>
      <c r="BT93" s="1095"/>
      <c r="BU93" s="1095"/>
    </row>
    <row r="94" spans="1:73" x14ac:dyDescent="0.25">
      <c r="A94" s="1095"/>
      <c r="B94" s="1099" t="str">
        <f t="shared" si="28"/>
        <v>Total Capital Investment</v>
      </c>
      <c r="C94" s="1117">
        <f ca="1">+ROUND(I8,0)</f>
        <v>448110740</v>
      </c>
      <c r="D94" s="1099" t="str">
        <f t="shared" ca="1" si="27"/>
        <v>Total Capital Investment = $448,111K</v>
      </c>
      <c r="E94" s="1112">
        <f t="shared" ref="E94:S95" si="30">+K63</f>
        <v>1.7523172575972081</v>
      </c>
      <c r="F94" s="1112">
        <f t="shared" si="30"/>
        <v>0</v>
      </c>
      <c r="G94" s="1112">
        <f t="shared" si="30"/>
        <v>1.444009855552393E-3</v>
      </c>
      <c r="H94" s="1112">
        <f t="shared" si="30"/>
        <v>0.13284809897309938</v>
      </c>
      <c r="I94" s="1112">
        <f t="shared" si="30"/>
        <v>0.12749490878546157</v>
      </c>
      <c r="J94" s="1112">
        <f t="shared" si="30"/>
        <v>1.8438453280459802E-2</v>
      </c>
      <c r="K94" s="1112">
        <f t="shared" si="30"/>
        <v>8.987958215351487E-4</v>
      </c>
      <c r="L94" s="1112">
        <f t="shared" si="30"/>
        <v>1.4404628381902815E-3</v>
      </c>
      <c r="M94" s="1112">
        <f t="shared" si="30"/>
        <v>0.11146257739929009</v>
      </c>
      <c r="N94" s="1112">
        <f t="shared" si="30"/>
        <v>1.0310552346010684</v>
      </c>
      <c r="O94" s="1112">
        <f t="shared" si="30"/>
        <v>0</v>
      </c>
      <c r="P94" s="1112">
        <f t="shared" si="30"/>
        <v>0.20920159808505334</v>
      </c>
      <c r="Q94" s="1112">
        <f t="shared" si="30"/>
        <v>8.7272170129247886E-2</v>
      </c>
      <c r="R94" s="1112">
        <f t="shared" si="30"/>
        <v>2.9728502542246252E-2</v>
      </c>
      <c r="S94" s="1112">
        <f t="shared" si="30"/>
        <v>3.9204649971069545E-3</v>
      </c>
      <c r="T94" s="1095"/>
      <c r="U94" s="1095"/>
      <c r="V94" s="1095"/>
      <c r="W94" s="1095"/>
      <c r="X94" s="1095"/>
      <c r="Y94" s="1095"/>
      <c r="Z94" s="1095"/>
      <c r="AA94" s="1095"/>
      <c r="AB94" s="1095"/>
      <c r="AC94" s="1095"/>
      <c r="AD94" s="1095"/>
      <c r="AE94" s="1095"/>
      <c r="AF94" s="1095"/>
      <c r="AG94" s="1095"/>
      <c r="AH94" s="1095"/>
      <c r="AI94" s="1095"/>
      <c r="AJ94" s="1095"/>
      <c r="AK94" s="1095"/>
      <c r="AL94" s="1095"/>
      <c r="AM94" s="1095"/>
      <c r="AN94" s="1095"/>
      <c r="AO94" s="1095"/>
      <c r="AP94" s="1095"/>
      <c r="AQ94" s="1095"/>
      <c r="AR94" s="1095"/>
      <c r="AS94" s="1095"/>
      <c r="AT94" s="1095"/>
      <c r="AU94" s="1095"/>
      <c r="AV94" s="1095"/>
      <c r="AW94" s="1095"/>
      <c r="AX94" s="1095"/>
      <c r="AY94" s="1095"/>
      <c r="AZ94" s="1095"/>
      <c r="BA94" s="1095"/>
      <c r="BB94" s="1095"/>
      <c r="BC94" s="1095"/>
      <c r="BD94" s="1095"/>
      <c r="BE94" s="1095"/>
      <c r="BF94" s="1095"/>
      <c r="BG94" s="1095"/>
      <c r="BH94" s="1095"/>
      <c r="BI94" s="1095"/>
      <c r="BJ94" s="1095"/>
      <c r="BK94" s="1095"/>
      <c r="BL94" s="1095"/>
      <c r="BM94" s="1095"/>
      <c r="BN94" s="1095"/>
      <c r="BO94" s="1095"/>
      <c r="BP94" s="1095"/>
      <c r="BQ94" s="1095"/>
      <c r="BR94" s="1095"/>
      <c r="BS94" s="1095"/>
      <c r="BT94" s="1095"/>
      <c r="BU94" s="1095"/>
    </row>
    <row r="95" spans="1:73" x14ac:dyDescent="0.25">
      <c r="A95" s="1095"/>
      <c r="B95" s="1099" t="str">
        <f>+$B$9</f>
        <v>Total Fixed Operating Cost</v>
      </c>
      <c r="C95" s="1117">
        <f ca="1">+ROUND(H9,0)</f>
        <v>12530174</v>
      </c>
      <c r="D95" s="1099" t="str">
        <f t="shared" ca="1" si="27"/>
        <v>Total Fixed Operating Cost = $12,530K</v>
      </c>
      <c r="E95" s="1112">
        <f t="shared" si="30"/>
        <v>1.732523630300667</v>
      </c>
      <c r="F95" s="1112">
        <f t="shared" si="30"/>
        <v>0</v>
      </c>
      <c r="G95" s="1112">
        <f t="shared" si="30"/>
        <v>1.3752474814784693E-3</v>
      </c>
      <c r="H95" s="1112">
        <f t="shared" si="30"/>
        <v>0.12650642153831423</v>
      </c>
      <c r="I95" s="1112">
        <f t="shared" si="30"/>
        <v>0.12749490878546157</v>
      </c>
      <c r="J95" s="1112">
        <f t="shared" si="30"/>
        <v>1.8317105892772363E-2</v>
      </c>
      <c r="K95" s="1112">
        <f t="shared" si="30"/>
        <v>8.987958215351487E-4</v>
      </c>
      <c r="L95" s="1112">
        <f t="shared" si="30"/>
        <v>1.371700464116358E-3</v>
      </c>
      <c r="M95" s="1112">
        <f t="shared" si="30"/>
        <v>0.10257061453475087</v>
      </c>
      <c r="N95" s="1112">
        <f t="shared" si="30"/>
        <v>1.0310552346010684</v>
      </c>
      <c r="O95" s="1112">
        <f t="shared" si="30"/>
        <v>0</v>
      </c>
      <c r="P95" s="1112">
        <f t="shared" si="30"/>
        <v>0.20920159808505334</v>
      </c>
      <c r="Q95" s="1112">
        <f t="shared" si="30"/>
        <v>8.3106119156208025E-2</v>
      </c>
      <c r="R95" s="1112">
        <f t="shared" si="30"/>
        <v>2.9643062420475388E-2</v>
      </c>
      <c r="S95" s="1112">
        <f t="shared" si="30"/>
        <v>3.7333164823882565E-3</v>
      </c>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095"/>
      <c r="BN95" s="1095"/>
      <c r="BO95" s="1095"/>
      <c r="BP95" s="1095"/>
      <c r="BQ95" s="1095"/>
      <c r="BR95" s="1095"/>
      <c r="BS95" s="1095"/>
      <c r="BT95" s="1095"/>
      <c r="BU95" s="1095"/>
    </row>
    <row r="96" spans="1:73" x14ac:dyDescent="0.25">
      <c r="A96" s="1095"/>
      <c r="B96" s="1099" t="str">
        <f t="shared" ref="B96:B97" si="31">+$B$9</f>
        <v>Total Fixed Operating Cost</v>
      </c>
      <c r="C96" s="1117">
        <f ca="1">+ROUND(C9,0)</f>
        <v>13189656</v>
      </c>
      <c r="D96" s="1099" t="str">
        <f t="shared" ca="1" si="27"/>
        <v>Total Fixed Operating Cost = $13,190K</v>
      </c>
      <c r="E96" s="1112">
        <f t="shared" ref="E96:S96" si="32">+K$51</f>
        <v>1.738021291813364</v>
      </c>
      <c r="F96" s="1112">
        <f t="shared" si="32"/>
        <v>0</v>
      </c>
      <c r="G96" s="1112">
        <f t="shared" si="32"/>
        <v>1.3752474814784693E-3</v>
      </c>
      <c r="H96" s="1112">
        <f t="shared" si="32"/>
        <v>0.12650642153831423</v>
      </c>
      <c r="I96" s="1112">
        <f t="shared" si="32"/>
        <v>0.12749490878546157</v>
      </c>
      <c r="J96" s="1112">
        <f t="shared" si="32"/>
        <v>1.8390777839810975E-2</v>
      </c>
      <c r="K96" s="1112">
        <f t="shared" si="32"/>
        <v>8.987958215351487E-4</v>
      </c>
      <c r="L96" s="1112">
        <f t="shared" si="32"/>
        <v>1.371700464116358E-3</v>
      </c>
      <c r="M96" s="1112">
        <f t="shared" si="32"/>
        <v>0.10796906793131673</v>
      </c>
      <c r="N96" s="1112">
        <f t="shared" si="32"/>
        <v>1.0310552346010684</v>
      </c>
      <c r="O96" s="1112">
        <f t="shared" si="32"/>
        <v>0</v>
      </c>
      <c r="P96" s="1112">
        <f t="shared" si="32"/>
        <v>0.20920159808505334</v>
      </c>
      <c r="Q96" s="1112">
        <f t="shared" si="32"/>
        <v>8.3106119156208025E-2</v>
      </c>
      <c r="R96" s="1112">
        <f t="shared" si="32"/>
        <v>2.9668598589567396E-2</v>
      </c>
      <c r="S96" s="1112">
        <f t="shared" si="32"/>
        <v>3.7333164823882565E-3</v>
      </c>
      <c r="T96" s="1095"/>
      <c r="U96" s="1095"/>
      <c r="V96" s="1095"/>
      <c r="W96" s="1095"/>
      <c r="X96" s="1095"/>
      <c r="Y96" s="1095"/>
      <c r="Z96" s="1095"/>
      <c r="AA96" s="1095"/>
      <c r="AB96" s="1095"/>
      <c r="AC96" s="1095"/>
      <c r="AD96" s="1095"/>
      <c r="AE96" s="1095"/>
      <c r="AF96" s="1095"/>
      <c r="AG96" s="1095"/>
      <c r="AH96" s="1095"/>
      <c r="AI96" s="1095"/>
      <c r="AJ96" s="1095"/>
      <c r="AK96" s="1095"/>
      <c r="AL96" s="1095"/>
      <c r="AM96" s="1095"/>
      <c r="AN96" s="1095"/>
      <c r="AO96" s="1095"/>
      <c r="AP96" s="1095"/>
      <c r="AQ96" s="1095"/>
      <c r="AR96" s="1095"/>
      <c r="AS96" s="1095"/>
      <c r="AT96" s="1095"/>
      <c r="AU96" s="1095"/>
      <c r="AV96" s="1095"/>
      <c r="AW96" s="1095"/>
      <c r="AX96" s="1095"/>
      <c r="AY96" s="1095"/>
      <c r="AZ96" s="1095"/>
      <c r="BA96" s="1095"/>
      <c r="BB96" s="1095"/>
      <c r="BC96" s="1095"/>
      <c r="BD96" s="1095"/>
      <c r="BE96" s="1095"/>
      <c r="BF96" s="1095"/>
      <c r="BG96" s="1095"/>
      <c r="BH96" s="1095"/>
      <c r="BI96" s="1095"/>
      <c r="BJ96" s="1095"/>
      <c r="BK96" s="1095"/>
      <c r="BL96" s="1095"/>
      <c r="BM96" s="1095"/>
      <c r="BN96" s="1095"/>
      <c r="BO96" s="1095"/>
      <c r="BP96" s="1095"/>
      <c r="BQ96" s="1095"/>
      <c r="BR96" s="1095"/>
      <c r="BS96" s="1095"/>
      <c r="BT96" s="1095"/>
      <c r="BU96" s="1095"/>
    </row>
    <row r="97" spans="1:73" x14ac:dyDescent="0.25">
      <c r="A97" s="1095"/>
      <c r="B97" s="1099" t="str">
        <f t="shared" si="31"/>
        <v>Total Fixed Operating Cost</v>
      </c>
      <c r="C97" s="1117">
        <f ca="1">+ROUND(I9,0)</f>
        <v>13849139</v>
      </c>
      <c r="D97" s="1099" t="str">
        <f t="shared" ca="1" si="27"/>
        <v>Total Fixed Operating Cost = $13,849K</v>
      </c>
      <c r="E97" s="1112">
        <f t="shared" ref="E97:S97" si="33">+K65</f>
        <v>1.7435189533260593</v>
      </c>
      <c r="F97" s="1112">
        <f t="shared" si="33"/>
        <v>0</v>
      </c>
      <c r="G97" s="1112">
        <f t="shared" si="33"/>
        <v>1.3752474814784693E-3</v>
      </c>
      <c r="H97" s="1112">
        <f t="shared" si="33"/>
        <v>0.12650642153831423</v>
      </c>
      <c r="I97" s="1112">
        <f t="shared" si="33"/>
        <v>0.12749490878546157</v>
      </c>
      <c r="J97" s="1112">
        <f t="shared" si="33"/>
        <v>1.8464449786849579E-2</v>
      </c>
      <c r="K97" s="1112">
        <f t="shared" si="33"/>
        <v>8.987958215351487E-4</v>
      </c>
      <c r="L97" s="1112">
        <f t="shared" si="33"/>
        <v>1.371700464116358E-3</v>
      </c>
      <c r="M97" s="1112">
        <f t="shared" si="33"/>
        <v>0.11336752132788257</v>
      </c>
      <c r="N97" s="1112">
        <f t="shared" si="33"/>
        <v>1.0310552346010684</v>
      </c>
      <c r="O97" s="1112">
        <f t="shared" si="33"/>
        <v>0</v>
      </c>
      <c r="P97" s="1112">
        <f t="shared" si="33"/>
        <v>0.20920159808505334</v>
      </c>
      <c r="Q97" s="1112">
        <f t="shared" si="33"/>
        <v>8.3106119156208025E-2</v>
      </c>
      <c r="R97" s="1112">
        <f t="shared" si="33"/>
        <v>2.9694134758659247E-2</v>
      </c>
      <c r="S97" s="1112">
        <f t="shared" si="33"/>
        <v>3.7333164823882565E-3</v>
      </c>
      <c r="T97" s="1095"/>
      <c r="U97" s="1095"/>
      <c r="V97" s="1095"/>
      <c r="W97" s="1095"/>
      <c r="X97" s="1095"/>
      <c r="Y97" s="1095"/>
      <c r="Z97" s="1095"/>
      <c r="AA97" s="1095"/>
      <c r="AB97" s="1095"/>
      <c r="AC97" s="1095"/>
      <c r="AD97" s="1095"/>
      <c r="AE97" s="1095"/>
      <c r="AF97" s="1095"/>
      <c r="AG97" s="1095"/>
      <c r="AH97" s="1095"/>
      <c r="AI97" s="1095"/>
      <c r="AJ97" s="1095"/>
      <c r="AK97" s="1095"/>
      <c r="AL97" s="1095"/>
      <c r="AM97" s="1095"/>
      <c r="AN97" s="1095"/>
      <c r="AO97" s="1095"/>
      <c r="AP97" s="1095"/>
      <c r="AQ97" s="1095"/>
      <c r="AR97" s="1095"/>
      <c r="AS97" s="1095"/>
      <c r="AT97" s="1095"/>
      <c r="AU97" s="1095"/>
      <c r="AV97" s="1095"/>
      <c r="AW97" s="1095"/>
      <c r="AX97" s="1095"/>
      <c r="AY97" s="1095"/>
      <c r="AZ97" s="1095"/>
      <c r="BA97" s="1095"/>
      <c r="BB97" s="1095"/>
      <c r="BC97" s="1095"/>
      <c r="BD97" s="1095"/>
      <c r="BE97" s="1095"/>
      <c r="BF97" s="1095"/>
      <c r="BG97" s="1095"/>
      <c r="BH97" s="1095"/>
      <c r="BI97" s="1095"/>
      <c r="BJ97" s="1095"/>
      <c r="BK97" s="1095"/>
      <c r="BL97" s="1095"/>
      <c r="BM97" s="1095"/>
      <c r="BN97" s="1095"/>
      <c r="BO97" s="1095"/>
      <c r="BP97" s="1095"/>
      <c r="BQ97" s="1095"/>
      <c r="BR97" s="1095"/>
      <c r="BS97" s="1095"/>
      <c r="BT97" s="1095"/>
      <c r="BU97" s="1095"/>
    </row>
    <row r="98" spans="1:73" x14ac:dyDescent="0.25">
      <c r="A98" s="1095"/>
      <c r="B98" s="1095"/>
      <c r="C98" s="1095"/>
      <c r="D98" s="1095"/>
      <c r="E98" s="1095"/>
      <c r="F98" s="1095"/>
      <c r="G98" s="1095"/>
      <c r="H98" s="1095"/>
      <c r="I98" s="1095"/>
      <c r="J98" s="1095"/>
      <c r="K98" s="1095"/>
      <c r="L98" s="1095"/>
      <c r="M98" s="1095"/>
      <c r="N98" s="1095"/>
      <c r="O98" s="1095"/>
      <c r="P98" s="1095"/>
      <c r="Q98" s="1095"/>
      <c r="R98" s="1095"/>
      <c r="S98" s="1095"/>
      <c r="T98" s="1095"/>
      <c r="U98" s="1095"/>
      <c r="V98" s="1095"/>
      <c r="W98" s="1095"/>
      <c r="X98" s="1095"/>
      <c r="Y98" s="1095"/>
      <c r="Z98" s="1095"/>
      <c r="AA98" s="1095"/>
      <c r="AB98" s="1095"/>
      <c r="AC98" s="1095"/>
      <c r="AD98" s="1095"/>
      <c r="AE98" s="1095"/>
      <c r="AF98" s="1095"/>
      <c r="AG98" s="1095"/>
      <c r="AH98" s="1095"/>
      <c r="AI98" s="1095"/>
      <c r="AJ98" s="1095"/>
      <c r="AK98" s="1095"/>
      <c r="AL98" s="1095"/>
      <c r="AM98" s="1095"/>
      <c r="AN98" s="1095"/>
      <c r="AO98" s="1095"/>
      <c r="AP98" s="1095"/>
      <c r="AQ98" s="1095"/>
      <c r="AR98" s="1095"/>
      <c r="AS98" s="1095"/>
      <c r="AT98" s="1095"/>
      <c r="AU98" s="1095"/>
      <c r="AV98" s="1095"/>
      <c r="AW98" s="1095"/>
      <c r="AX98" s="1095"/>
      <c r="AY98" s="1095"/>
      <c r="AZ98" s="1095"/>
      <c r="BA98" s="1095"/>
      <c r="BB98" s="1095"/>
      <c r="BC98" s="1095"/>
      <c r="BD98" s="1095"/>
      <c r="BE98" s="1095"/>
      <c r="BF98" s="1095"/>
      <c r="BG98" s="1095"/>
      <c r="BH98" s="1095"/>
      <c r="BI98" s="1095"/>
      <c r="BJ98" s="1095"/>
      <c r="BK98" s="1095"/>
      <c r="BL98" s="1095"/>
      <c r="BM98" s="1095"/>
      <c r="BN98" s="1095"/>
      <c r="BO98" s="1095"/>
      <c r="BP98" s="1095"/>
      <c r="BQ98" s="1095"/>
      <c r="BR98" s="1095"/>
      <c r="BS98" s="1095"/>
      <c r="BT98" s="1095"/>
      <c r="BU98" s="1095"/>
    </row>
    <row r="99" spans="1:73" x14ac:dyDescent="0.25">
      <c r="A99" s="1095"/>
      <c r="B99" s="1095"/>
      <c r="C99" s="1095"/>
      <c r="D99" s="1095"/>
      <c r="E99" s="1095"/>
      <c r="F99" s="1095"/>
      <c r="G99" s="1095"/>
      <c r="H99" s="1095"/>
      <c r="I99" s="1095"/>
      <c r="J99" s="1095"/>
      <c r="K99" s="1095"/>
      <c r="L99" s="1095"/>
      <c r="M99" s="1095"/>
      <c r="N99" s="1095"/>
      <c r="O99" s="1095"/>
      <c r="P99" s="1095"/>
      <c r="Q99" s="1095"/>
      <c r="R99" s="1095"/>
      <c r="S99" s="1095"/>
      <c r="T99" s="1095"/>
      <c r="U99" s="1095"/>
      <c r="V99" s="1095"/>
      <c r="W99" s="1095"/>
      <c r="X99" s="1095"/>
      <c r="Y99" s="1095"/>
      <c r="Z99" s="1095"/>
      <c r="AA99" s="1095"/>
      <c r="AB99" s="1095"/>
      <c r="AC99" s="1095"/>
      <c r="AD99" s="1095"/>
      <c r="AE99" s="1095"/>
      <c r="AF99" s="1095"/>
      <c r="AG99" s="1095"/>
      <c r="AH99" s="1095"/>
      <c r="AI99" s="1095"/>
      <c r="AJ99" s="1095"/>
      <c r="AK99" s="1095"/>
      <c r="AL99" s="1095"/>
      <c r="AM99" s="1095"/>
      <c r="AN99" s="1095"/>
      <c r="AO99" s="1095"/>
      <c r="AP99" s="1095"/>
      <c r="AQ99" s="1095"/>
      <c r="AR99" s="1095"/>
      <c r="AS99" s="1095"/>
      <c r="AT99" s="1095"/>
      <c r="AU99" s="1095"/>
      <c r="AV99" s="1095"/>
      <c r="AW99" s="1095"/>
      <c r="AX99" s="1095"/>
      <c r="AY99" s="1095"/>
      <c r="AZ99" s="1095"/>
      <c r="BA99" s="1095"/>
      <c r="BB99" s="1095"/>
      <c r="BC99" s="1095"/>
      <c r="BD99" s="1095"/>
      <c r="BE99" s="1095"/>
      <c r="BF99" s="1095"/>
      <c r="BG99" s="1095"/>
      <c r="BH99" s="1095"/>
      <c r="BI99" s="1095"/>
      <c r="BJ99" s="1095"/>
      <c r="BK99" s="1095"/>
      <c r="BL99" s="1095"/>
      <c r="BM99" s="1095"/>
      <c r="BN99" s="1095"/>
      <c r="BO99" s="1095"/>
      <c r="BP99" s="1095"/>
      <c r="BQ99" s="1095"/>
      <c r="BR99" s="1095"/>
      <c r="BS99" s="1095"/>
      <c r="BT99" s="1095"/>
      <c r="BU99" s="1095"/>
    </row>
    <row r="100" spans="1:73" ht="26" x14ac:dyDescent="0.3">
      <c r="A100" s="1095"/>
      <c r="B100" s="1097" t="s">
        <v>1149</v>
      </c>
      <c r="C100" s="1118" t="s">
        <v>1148</v>
      </c>
      <c r="D100" s="1" t="s">
        <v>1158</v>
      </c>
      <c r="E100" s="1097" t="s">
        <v>1154</v>
      </c>
      <c r="F100" s="1097" t="s">
        <v>1155</v>
      </c>
      <c r="G100" s="1097" t="s">
        <v>1156</v>
      </c>
      <c r="H100" s="1097" t="s">
        <v>1150</v>
      </c>
      <c r="I100" s="1097" t="s">
        <v>1151</v>
      </c>
      <c r="J100" s="1097" t="s">
        <v>1152</v>
      </c>
      <c r="K100" s="1095"/>
      <c r="L100" s="1097" t="s">
        <v>1157</v>
      </c>
      <c r="M100" s="1106" t="s">
        <v>1160</v>
      </c>
      <c r="N100" s="1106" t="s">
        <v>1143</v>
      </c>
      <c r="O100" s="1095"/>
      <c r="P100" s="1095"/>
      <c r="Q100" s="1095"/>
      <c r="R100" s="1095"/>
      <c r="S100" s="1095"/>
      <c r="T100" s="1095"/>
      <c r="U100" s="1095"/>
      <c r="V100" s="1095"/>
      <c r="W100" s="1095"/>
      <c r="X100" s="1095"/>
      <c r="Y100" s="1095"/>
      <c r="Z100" s="1095"/>
      <c r="AA100" s="1095"/>
      <c r="AB100" s="1095"/>
      <c r="AC100" s="1095"/>
      <c r="AD100" s="1095"/>
      <c r="AE100" s="1095"/>
      <c r="AF100" s="1095"/>
      <c r="AG100" s="1095"/>
      <c r="AH100" s="1095"/>
      <c r="AI100" s="1095"/>
      <c r="AJ100" s="1095"/>
      <c r="AK100" s="1095"/>
      <c r="AL100" s="1095"/>
      <c r="AM100" s="1095"/>
      <c r="AN100" s="1095"/>
      <c r="AO100" s="1095"/>
      <c r="AP100" s="1095"/>
      <c r="AQ100" s="1095"/>
      <c r="AR100" s="1095"/>
      <c r="AS100" s="1095"/>
      <c r="AT100" s="1095"/>
      <c r="AU100" s="1095"/>
      <c r="AV100" s="1095"/>
      <c r="AW100" s="1095"/>
      <c r="AX100" s="1095"/>
      <c r="AY100" s="1095"/>
      <c r="AZ100" s="1095"/>
      <c r="BA100" s="1095"/>
      <c r="BB100" s="1095"/>
      <c r="BC100" s="1095"/>
      <c r="BD100" s="1095"/>
      <c r="BE100" s="1095"/>
      <c r="BF100" s="1095"/>
      <c r="BG100" s="1095"/>
      <c r="BH100" s="1095"/>
      <c r="BI100" s="1095"/>
      <c r="BJ100" s="1095"/>
      <c r="BK100" s="1095"/>
      <c r="BL100" s="1095"/>
      <c r="BM100" s="1095"/>
      <c r="BN100" s="1095"/>
      <c r="BO100" s="1095"/>
      <c r="BP100" s="1095"/>
      <c r="BQ100" s="1095"/>
      <c r="BR100" s="1095"/>
      <c r="BS100" s="1095"/>
      <c r="BT100" s="1095"/>
      <c r="BU100" s="1095"/>
    </row>
    <row r="101" spans="1:73" ht="13" x14ac:dyDescent="0.3">
      <c r="A101" s="1095"/>
      <c r="B101" s="1095"/>
      <c r="C101" s="1119">
        <v>1</v>
      </c>
      <c r="D101" s="1099" t="str">
        <f t="shared" ref="D101:D107" ca="1" si="34">OFFSET(L$100,MATCH($C101,$N$101:$N$107,0),0)</f>
        <v>Feedstock Consumption (% of baseline)
(95%, 100%, 105%)</v>
      </c>
      <c r="E101" s="1194">
        <f t="shared" ref="E101:E107" ca="1" si="35">OFFSET(E$76,MATCH($C101,$N$101:$N$107,0)*3-2,0)</f>
        <v>1.6770445332498354</v>
      </c>
      <c r="F101" s="1194">
        <f t="shared" ref="F101:F107" si="36">+$K$51</f>
        <v>1.738021291813364</v>
      </c>
      <c r="G101" s="1194">
        <f t="shared" ref="G101:G107" ca="1" si="37">OFFSET(E$76,MATCH($C101,$N$101:$N$107,0)*3,0)</f>
        <v>1.7987661930009131</v>
      </c>
      <c r="H101" s="1099">
        <f ca="1">+E101</f>
        <v>1.6770445332498354</v>
      </c>
      <c r="I101" s="1099">
        <f ca="1">+F101-E101</f>
        <v>6.0976758563528577E-2</v>
      </c>
      <c r="J101" s="1099">
        <f ca="1">+G101-F101</f>
        <v>6.0744901187549161E-2</v>
      </c>
      <c r="K101" s="1095"/>
      <c r="L101" s="1099" t="str">
        <f ca="1">+B3&amp;"
("&amp;TEXT(H3,"0%, ")&amp;TEXT(C3,"0%, ")&amp;TEXT(I3,"0%)")</f>
        <v>Operating Capacity Factor
(95%, 90%, 86%)</v>
      </c>
      <c r="M101" s="1109">
        <f>ABS(K52-K53)+0.000000001</f>
        <v>4.489943918995945E-2</v>
      </c>
      <c r="N101" s="1099">
        <f t="shared" ref="N101:N107" si="38">+RANK(M101,$M$101:$M$107)</f>
        <v>2</v>
      </c>
      <c r="O101" s="1106"/>
      <c r="P101" s="1095"/>
      <c r="Q101" s="1095"/>
      <c r="R101" s="1095"/>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095"/>
      <c r="BN101" s="1095"/>
      <c r="BO101" s="1095"/>
      <c r="BP101" s="1095"/>
      <c r="BQ101" s="1095"/>
      <c r="BR101" s="1095"/>
      <c r="BS101" s="1095"/>
      <c r="BT101" s="1095"/>
      <c r="BU101" s="1095"/>
    </row>
    <row r="102" spans="1:73" ht="13" x14ac:dyDescent="0.3">
      <c r="A102" s="1095"/>
      <c r="B102" s="1095"/>
      <c r="C102" s="1119">
        <v>2</v>
      </c>
      <c r="D102" s="1099" t="str">
        <f t="shared" ca="1" si="34"/>
        <v>Operating Capacity Factor
(95%, 90%, 86%)</v>
      </c>
      <c r="E102" s="1194">
        <f t="shared" ca="1" si="35"/>
        <v>1.7165781287165258</v>
      </c>
      <c r="F102" s="1194">
        <f t="shared" si="36"/>
        <v>1.738021291813364</v>
      </c>
      <c r="G102" s="1194">
        <f t="shared" ca="1" si="37"/>
        <v>1.7614775669064853</v>
      </c>
      <c r="H102" s="1099">
        <f t="shared" ref="H102:H107" ca="1" si="39">+E102</f>
        <v>1.7165781287165258</v>
      </c>
      <c r="I102" s="1099">
        <f t="shared" ref="I102:I107" ca="1" si="40">+F102-E102</f>
        <v>2.1443163096838136E-2</v>
      </c>
      <c r="J102" s="1099">
        <f t="shared" ref="J102:J107" ca="1" si="41">+G102-F102</f>
        <v>2.3456275093121315E-2</v>
      </c>
      <c r="K102" s="1095"/>
      <c r="L102" s="1099" t="str">
        <f ca="1">+B4&amp;"
("&amp;TEXT(H4,"0,000")&amp;", "&amp;TEXT(C4,"0,000")&amp;", "&amp;TEXT(I4,"0,000")&amp;") "</f>
        <v xml:space="preserve">Plant Design Capacity (kg of H2/day)
(398,356, 379,387, 360,418) </v>
      </c>
      <c r="M102" s="1109">
        <f>+ABS(K54-K55)+0.000000002</f>
        <v>2.7928439657399162E-2</v>
      </c>
      <c r="N102" s="1099">
        <f t="shared" si="38"/>
        <v>4</v>
      </c>
      <c r="O102" s="1106"/>
      <c r="P102" s="1095"/>
      <c r="Q102" s="1095"/>
      <c r="R102" s="1095"/>
      <c r="S102" s="1095"/>
      <c r="T102" s="1095"/>
      <c r="U102" s="1095"/>
      <c r="V102" s="1095"/>
      <c r="W102" s="1095"/>
      <c r="X102" s="1095"/>
      <c r="Y102" s="1095"/>
      <c r="Z102" s="1095"/>
      <c r="AA102" s="1095"/>
      <c r="AB102" s="1095"/>
      <c r="AC102" s="1095"/>
      <c r="AD102" s="1095"/>
      <c r="AE102" s="1095"/>
      <c r="AF102" s="1095"/>
      <c r="AG102" s="1095"/>
      <c r="AH102" s="1095"/>
      <c r="AI102" s="1095"/>
      <c r="AJ102" s="1095"/>
      <c r="AK102" s="1095"/>
      <c r="AL102" s="1095"/>
      <c r="AM102" s="1095"/>
      <c r="AN102" s="1095"/>
      <c r="AO102" s="1095"/>
      <c r="AP102" s="1095"/>
      <c r="AQ102" s="1095"/>
      <c r="AR102" s="1095"/>
      <c r="AS102" s="1095"/>
      <c r="AT102" s="1095"/>
      <c r="AU102" s="1095"/>
      <c r="AV102" s="1095"/>
      <c r="AW102" s="1095"/>
      <c r="AX102" s="1095"/>
      <c r="AY102" s="1095"/>
      <c r="AZ102" s="1095"/>
      <c r="BA102" s="1095"/>
      <c r="BB102" s="1095"/>
      <c r="BC102" s="1095"/>
      <c r="BD102" s="1095"/>
      <c r="BE102" s="1095"/>
      <c r="BF102" s="1095"/>
      <c r="BG102" s="1095"/>
      <c r="BH102" s="1095"/>
      <c r="BI102" s="1095"/>
      <c r="BJ102" s="1095"/>
      <c r="BK102" s="1095"/>
      <c r="BL102" s="1095"/>
      <c r="BM102" s="1095"/>
      <c r="BN102" s="1095"/>
      <c r="BO102" s="1095"/>
      <c r="BP102" s="1095"/>
      <c r="BQ102" s="1095"/>
      <c r="BR102" s="1095"/>
      <c r="BS102" s="1095"/>
      <c r="BT102" s="1095"/>
      <c r="BU102" s="1095"/>
    </row>
    <row r="103" spans="1:73" ht="13" x14ac:dyDescent="0.3">
      <c r="A103" s="1095"/>
      <c r="B103" s="1095"/>
      <c r="C103" s="1119">
        <v>3</v>
      </c>
      <c r="D103" s="1099" t="str">
        <f t="shared" ca="1" si="34"/>
        <v xml:space="preserve">Total Capital Investment
($405,434K, $426,772K, $448,111K) </v>
      </c>
      <c r="E103" s="1194">
        <f t="shared" ca="1" si="35"/>
        <v>1.7237253260295189</v>
      </c>
      <c r="F103" s="1194">
        <f t="shared" si="36"/>
        <v>1.738021291813364</v>
      </c>
      <c r="G103" s="1194">
        <f t="shared" ca="1" si="37"/>
        <v>1.7523172575972081</v>
      </c>
      <c r="H103" s="1099">
        <f t="shared" ca="1" si="39"/>
        <v>1.7237253260295189</v>
      </c>
      <c r="I103" s="1099">
        <f t="shared" ca="1" si="40"/>
        <v>1.4295965783845066E-2</v>
      </c>
      <c r="J103" s="1099">
        <f t="shared" ca="1" si="41"/>
        <v>1.4295965783844178E-2</v>
      </c>
      <c r="K103" s="1095"/>
      <c r="L103" s="1099" t="str">
        <f ca="1">+B5&amp;"
("&amp;TEXT(H5,"0%, ")&amp;TEXT(C5,"0%, ")&amp;TEXT(I5,"0%)")</f>
        <v>After-tax Real IRR
(8%, 8%, 8%)</v>
      </c>
      <c r="M103" s="1109">
        <f>+ABS(K56-K57)+0.000000003</f>
        <v>1.7356542711477879E-2</v>
      </c>
      <c r="N103" s="1099">
        <f t="shared" si="38"/>
        <v>5</v>
      </c>
      <c r="O103" s="1106"/>
      <c r="P103" s="1095"/>
      <c r="Q103" s="1095"/>
      <c r="R103" s="1095"/>
      <c r="S103" s="1095"/>
      <c r="T103" s="1095"/>
      <c r="U103" s="1095"/>
      <c r="V103" s="1095"/>
      <c r="W103" s="1095"/>
      <c r="X103" s="1095"/>
      <c r="Y103" s="1095"/>
      <c r="Z103" s="1095"/>
      <c r="AA103" s="1095"/>
      <c r="AB103" s="1095"/>
      <c r="AC103" s="1095"/>
      <c r="AD103" s="1095"/>
      <c r="AE103" s="1095"/>
      <c r="AF103" s="1095"/>
      <c r="AG103" s="1095"/>
      <c r="AH103" s="1095"/>
      <c r="AI103" s="1095"/>
      <c r="AJ103" s="1095"/>
      <c r="AK103" s="1095"/>
      <c r="AL103" s="1095"/>
      <c r="AM103" s="1095"/>
      <c r="AN103" s="1095"/>
      <c r="AO103" s="1095"/>
      <c r="AP103" s="1095"/>
      <c r="AQ103" s="1095"/>
      <c r="AR103" s="1095"/>
      <c r="AS103" s="1095"/>
      <c r="AT103" s="1095"/>
      <c r="AU103" s="1095"/>
      <c r="AV103" s="1095"/>
      <c r="AW103" s="1095"/>
      <c r="AX103" s="1095"/>
      <c r="AY103" s="1095"/>
      <c r="AZ103" s="1095"/>
      <c r="BA103" s="1095"/>
      <c r="BB103" s="1095"/>
      <c r="BC103" s="1095"/>
      <c r="BD103" s="1095"/>
      <c r="BE103" s="1095"/>
      <c r="BF103" s="1095"/>
      <c r="BG103" s="1095"/>
      <c r="BH103" s="1095"/>
      <c r="BI103" s="1095"/>
      <c r="BJ103" s="1095"/>
      <c r="BK103" s="1095"/>
      <c r="BL103" s="1095"/>
      <c r="BM103" s="1095"/>
      <c r="BN103" s="1095"/>
      <c r="BO103" s="1095"/>
      <c r="BP103" s="1095"/>
      <c r="BQ103" s="1095"/>
      <c r="BR103" s="1095"/>
      <c r="BS103" s="1095"/>
      <c r="BT103" s="1095"/>
      <c r="BU103" s="1095"/>
    </row>
    <row r="104" spans="1:73" ht="13" x14ac:dyDescent="0.3">
      <c r="A104" s="1095"/>
      <c r="B104" s="1095"/>
      <c r="C104" s="1119">
        <v>4</v>
      </c>
      <c r="D104" s="1099" t="str">
        <f t="shared" ca="1" si="34"/>
        <v xml:space="preserve">Plant Design Capacity (kg of H2/day)
(398,356, 379,387, 360,418) </v>
      </c>
      <c r="E104" s="1194">
        <f t="shared" ca="1" si="35"/>
        <v>1.7245796722694182</v>
      </c>
      <c r="F104" s="1194">
        <f t="shared" si="36"/>
        <v>1.738021291813364</v>
      </c>
      <c r="G104" s="1194">
        <f t="shared" ca="1" si="37"/>
        <v>1.7525081099268174</v>
      </c>
      <c r="H104" s="1099">
        <f t="shared" ca="1" si="39"/>
        <v>1.7245796722694182</v>
      </c>
      <c r="I104" s="1099">
        <f t="shared" ca="1" si="40"/>
        <v>1.3441619543945738E-2</v>
      </c>
      <c r="J104" s="1099">
        <f t="shared" ca="1" si="41"/>
        <v>1.4486818113453426E-2</v>
      </c>
      <c r="K104" s="1095"/>
      <c r="L104" s="1099" t="str">
        <f>+B6&amp;"
("&amp;TEXT(H6,"0%, ")&amp;TEXT(C6,"0%, ")&amp;TEXT(I6,"0%)")</f>
        <v>Feedstock Consumption (% of baseline)
(95%, 100%, 105%)</v>
      </c>
      <c r="M104" s="1109">
        <f>+ABS(K58-K59)+0.000000004</f>
        <v>0.12172166375107774</v>
      </c>
      <c r="N104" s="1099">
        <f t="shared" si="38"/>
        <v>1</v>
      </c>
      <c r="O104" s="1106"/>
      <c r="P104" s="1095"/>
      <c r="Q104" s="1095"/>
      <c r="R104" s="1095"/>
      <c r="S104" s="1095"/>
      <c r="T104" s="1095"/>
      <c r="U104" s="1095"/>
      <c r="V104" s="1095"/>
      <c r="W104" s="1095"/>
      <c r="X104" s="1095"/>
      <c r="Y104" s="1095"/>
      <c r="Z104" s="1095"/>
      <c r="AA104" s="1095"/>
      <c r="AB104" s="1095"/>
      <c r="AC104" s="1095"/>
      <c r="AD104" s="1095"/>
      <c r="AE104" s="1095"/>
      <c r="AF104" s="1095"/>
      <c r="AG104" s="1095"/>
      <c r="AH104" s="1095"/>
      <c r="AI104" s="1095"/>
      <c r="AJ104" s="1095"/>
      <c r="AK104" s="1095"/>
      <c r="AL104" s="1095"/>
      <c r="AM104" s="1095"/>
      <c r="AN104" s="1095"/>
      <c r="AO104" s="1095"/>
      <c r="AP104" s="1095"/>
      <c r="AQ104" s="1095"/>
      <c r="AR104" s="1095"/>
      <c r="AS104" s="1095"/>
      <c r="AT104" s="1095"/>
      <c r="AU104" s="1095"/>
      <c r="AV104" s="1095"/>
      <c r="AW104" s="1095"/>
      <c r="AX104" s="1095"/>
      <c r="AY104" s="1095"/>
      <c r="AZ104" s="1095"/>
      <c r="BA104" s="1095"/>
      <c r="BB104" s="1095"/>
      <c r="BC104" s="1095"/>
      <c r="BD104" s="1095"/>
      <c r="BE104" s="1095"/>
      <c r="BF104" s="1095"/>
      <c r="BG104" s="1095"/>
      <c r="BH104" s="1095"/>
      <c r="BI104" s="1095"/>
      <c r="BJ104" s="1095"/>
      <c r="BK104" s="1095"/>
      <c r="BL104" s="1095"/>
      <c r="BM104" s="1095"/>
      <c r="BN104" s="1095"/>
      <c r="BO104" s="1095"/>
      <c r="BP104" s="1095"/>
      <c r="BQ104" s="1095"/>
      <c r="BR104" s="1095"/>
      <c r="BS104" s="1095"/>
      <c r="BT104" s="1095"/>
      <c r="BU104" s="1095"/>
    </row>
    <row r="105" spans="1:73" ht="13" x14ac:dyDescent="0.3">
      <c r="A105" s="1095"/>
      <c r="B105" s="1095"/>
      <c r="C105" s="1119">
        <v>5</v>
      </c>
      <c r="D105" s="1099" t="str">
        <f t="shared" ca="1" si="34"/>
        <v>After-tax Real IRR
(8%, 8%, 8%)</v>
      </c>
      <c r="E105" s="1194">
        <f t="shared" ca="1" si="35"/>
        <v>1.7294862297438136</v>
      </c>
      <c r="F105" s="1194">
        <f t="shared" si="36"/>
        <v>1.738021291813364</v>
      </c>
      <c r="G105" s="1194">
        <f t="shared" ca="1" si="37"/>
        <v>1.7468427694552915</v>
      </c>
      <c r="H105" s="1099">
        <f t="shared" ref="H105" ca="1" si="42">+E105</f>
        <v>1.7294862297438136</v>
      </c>
      <c r="I105" s="1099">
        <f t="shared" ref="I105" ca="1" si="43">+F105-E105</f>
        <v>8.5350620695503476E-3</v>
      </c>
      <c r="J105" s="1099">
        <f t="shared" ref="J105" ca="1" si="44">+G105-F105</f>
        <v>8.8214776419275331E-3</v>
      </c>
      <c r="K105" s="1095"/>
      <c r="L105" s="1099" t="str">
        <f>+B7&amp;"
("&amp;TEXT(H7,"0%, ")&amp;TEXT(C7,"0%, ")&amp;TEXT(I7,"0%)")</f>
        <v>Utilities Consumption (% of baseline)
(95%, 100%, 105%)</v>
      </c>
      <c r="M105" s="1109">
        <f>+ABS(K60-K61)+0.000000004</f>
        <v>4.9265862206752126E-3</v>
      </c>
      <c r="N105" s="1099">
        <f t="shared" si="38"/>
        <v>7</v>
      </c>
      <c r="O105" s="1106"/>
      <c r="P105" s="1095"/>
      <c r="Q105" s="1095"/>
      <c r="R105" s="1095"/>
      <c r="S105" s="1095"/>
      <c r="T105" s="1095"/>
      <c r="U105" s="1095"/>
      <c r="V105" s="1095"/>
      <c r="W105" s="1095"/>
      <c r="X105" s="1095"/>
      <c r="Y105" s="1095"/>
      <c r="Z105" s="1095"/>
      <c r="AA105" s="1095"/>
      <c r="AB105" s="1095"/>
      <c r="AC105" s="1095"/>
      <c r="AD105" s="1095"/>
      <c r="AE105" s="1095"/>
      <c r="AF105" s="1095"/>
      <c r="AG105" s="1095"/>
      <c r="AH105" s="1095"/>
      <c r="AI105" s="1095"/>
      <c r="AJ105" s="1095"/>
      <c r="AK105" s="1095"/>
      <c r="AL105" s="1095"/>
      <c r="AM105" s="1095"/>
      <c r="AN105" s="1095"/>
      <c r="AO105" s="1095"/>
      <c r="AP105" s="1095"/>
      <c r="AQ105" s="1095"/>
      <c r="AR105" s="1095"/>
      <c r="AS105" s="1095"/>
      <c r="AT105" s="1095"/>
      <c r="AU105" s="1095"/>
      <c r="AV105" s="1095"/>
      <c r="AW105" s="1095"/>
      <c r="AX105" s="1095"/>
      <c r="AY105" s="1095"/>
      <c r="AZ105" s="1095"/>
      <c r="BA105" s="1095"/>
      <c r="BB105" s="1095"/>
      <c r="BC105" s="1095"/>
      <c r="BD105" s="1095"/>
      <c r="BE105" s="1095"/>
      <c r="BF105" s="1095"/>
      <c r="BG105" s="1095"/>
      <c r="BH105" s="1095"/>
      <c r="BI105" s="1095"/>
      <c r="BJ105" s="1095"/>
      <c r="BK105" s="1095"/>
      <c r="BL105" s="1095"/>
      <c r="BM105" s="1095"/>
      <c r="BN105" s="1095"/>
      <c r="BO105" s="1095"/>
      <c r="BP105" s="1095"/>
      <c r="BQ105" s="1095"/>
      <c r="BR105" s="1095"/>
      <c r="BS105" s="1095"/>
      <c r="BT105" s="1095"/>
      <c r="BU105" s="1095"/>
    </row>
    <row r="106" spans="1:73" ht="13" x14ac:dyDescent="0.3">
      <c r="A106" s="1095"/>
      <c r="B106" s="1095"/>
      <c r="C106" s="1119">
        <v>6</v>
      </c>
      <c r="D106" s="1099" t="str">
        <f t="shared" ca="1" si="34"/>
        <v xml:space="preserve">Total Fixed Operating Cost
($12,530K, $13,190K, $13,849K) </v>
      </c>
      <c r="E106" s="1194">
        <f t="shared" ca="1" si="35"/>
        <v>1.732523630300667</v>
      </c>
      <c r="F106" s="1194">
        <f t="shared" si="36"/>
        <v>1.738021291813364</v>
      </c>
      <c r="G106" s="1194">
        <f t="shared" ca="1" si="37"/>
        <v>1.7435189533260593</v>
      </c>
      <c r="H106" s="1099">
        <f t="shared" ca="1" si="39"/>
        <v>1.732523630300667</v>
      </c>
      <c r="I106" s="1099">
        <f t="shared" ca="1" si="40"/>
        <v>5.4976615126969275E-3</v>
      </c>
      <c r="J106" s="1099">
        <f t="shared" ca="1" si="41"/>
        <v>5.4976615126953732E-3</v>
      </c>
      <c r="K106" s="1095"/>
      <c r="L106" s="1099" t="str">
        <f ca="1">+B8&amp;"
("&amp;TEXT(H8/1000,"$0,000K")&amp;", "&amp;TEXT(C8/1000,"$0,000K")&amp;", "&amp;TEXT(I8/1000,"$0,000K")&amp;") "</f>
        <v xml:space="preserve">Total Capital Investment
($405,434K, $426,772K, $448,111K) </v>
      </c>
      <c r="M106" s="1109">
        <f>+ABS(K62-K63)+0.000000006</f>
        <v>2.8591937567689244E-2</v>
      </c>
      <c r="N106" s="1099">
        <f t="shared" si="38"/>
        <v>3</v>
      </c>
      <c r="O106" s="1106"/>
      <c r="P106" s="1095"/>
      <c r="Q106" s="1095"/>
      <c r="R106" s="1095"/>
      <c r="S106" s="1095"/>
      <c r="T106" s="1095"/>
      <c r="U106" s="1095"/>
      <c r="V106" s="1095"/>
      <c r="W106" s="1095"/>
      <c r="X106" s="1095"/>
      <c r="Y106" s="1095"/>
      <c r="Z106" s="1095"/>
      <c r="AA106" s="1095"/>
      <c r="AB106" s="1095"/>
      <c r="AC106" s="1095"/>
      <c r="AD106" s="1095"/>
      <c r="AE106" s="1095"/>
      <c r="AF106" s="1095"/>
      <c r="AG106" s="1095"/>
      <c r="AH106" s="1095"/>
      <c r="AI106" s="1095"/>
      <c r="AJ106" s="1095"/>
      <c r="AK106" s="1095"/>
      <c r="AL106" s="1095"/>
      <c r="AM106" s="1095"/>
      <c r="AN106" s="1095"/>
      <c r="AO106" s="1095"/>
      <c r="AP106" s="1095"/>
      <c r="AQ106" s="1095"/>
      <c r="AR106" s="1095"/>
      <c r="AS106" s="1095"/>
      <c r="AT106" s="1095"/>
      <c r="AU106" s="1095"/>
      <c r="AV106" s="1095"/>
      <c r="AW106" s="1095"/>
      <c r="AX106" s="1095"/>
      <c r="AY106" s="1095"/>
      <c r="AZ106" s="1095"/>
      <c r="BA106" s="1095"/>
      <c r="BB106" s="1095"/>
      <c r="BC106" s="1095"/>
      <c r="BD106" s="1095"/>
      <c r="BE106" s="1095"/>
      <c r="BF106" s="1095"/>
      <c r="BG106" s="1095"/>
      <c r="BH106" s="1095"/>
      <c r="BI106" s="1095"/>
      <c r="BJ106" s="1095"/>
      <c r="BK106" s="1095"/>
      <c r="BL106" s="1095"/>
      <c r="BM106" s="1095"/>
      <c r="BN106" s="1095"/>
      <c r="BO106" s="1095"/>
      <c r="BP106" s="1095"/>
      <c r="BQ106" s="1095"/>
      <c r="BR106" s="1095"/>
      <c r="BS106" s="1095"/>
      <c r="BT106" s="1095"/>
      <c r="BU106" s="1095"/>
    </row>
    <row r="107" spans="1:73" ht="13" x14ac:dyDescent="0.3">
      <c r="A107" s="1095"/>
      <c r="B107" s="1095"/>
      <c r="C107" s="1119">
        <v>7</v>
      </c>
      <c r="D107" s="1099" t="str">
        <f t="shared" ca="1" si="34"/>
        <v>Utilities Consumption (% of baseline)
(95%, 100%, 105%)</v>
      </c>
      <c r="E107" s="1194">
        <f t="shared" ca="1" si="35"/>
        <v>1.735558000703026</v>
      </c>
      <c r="F107" s="1194">
        <f t="shared" si="36"/>
        <v>1.738021291813364</v>
      </c>
      <c r="G107" s="1194">
        <f t="shared" ca="1" si="37"/>
        <v>1.7404845829237012</v>
      </c>
      <c r="H107" s="1099">
        <f t="shared" ca="1" si="39"/>
        <v>1.735558000703026</v>
      </c>
      <c r="I107" s="1099">
        <f t="shared" ca="1" si="40"/>
        <v>2.4632911103379396E-3</v>
      </c>
      <c r="J107" s="1099">
        <f t="shared" ca="1" si="41"/>
        <v>2.4632911103372734E-3</v>
      </c>
      <c r="K107" s="1095"/>
      <c r="L107" s="1099" t="str">
        <f ca="1">+B9&amp;"
("&amp;TEXT(H9/1000,"$0,000K")&amp;", "&amp;TEXT(C9/1000,"$0,000K")&amp;", "&amp;TEXT(I9/1000,"$0,000K")&amp;") "</f>
        <v xml:space="preserve">Total Fixed Operating Cost
($12,530K, $13,190K, $13,849K) </v>
      </c>
      <c r="M107" s="1109">
        <f>+ABS(K64-K65)+0.00000007</f>
        <v>1.09953930253923E-2</v>
      </c>
      <c r="N107" s="1099">
        <f t="shared" si="38"/>
        <v>6</v>
      </c>
      <c r="O107" s="1106"/>
      <c r="P107" s="1095"/>
      <c r="Q107" s="1095"/>
      <c r="R107" s="1095"/>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095"/>
      <c r="BN107" s="1095"/>
      <c r="BO107" s="1095"/>
      <c r="BP107" s="1095"/>
      <c r="BQ107" s="1095"/>
      <c r="BR107" s="1095"/>
      <c r="BS107" s="1095"/>
      <c r="BT107" s="1095"/>
      <c r="BU107" s="1095"/>
    </row>
    <row r="108" spans="1:73" x14ac:dyDescent="0.25">
      <c r="A108" s="1095"/>
      <c r="B108" s="1095"/>
      <c r="C108" s="1095"/>
      <c r="D108" s="1095"/>
      <c r="E108" s="1095"/>
      <c r="F108" s="1095"/>
      <c r="G108" s="1095"/>
      <c r="H108" s="1095"/>
      <c r="I108" s="1095"/>
      <c r="J108" s="1095"/>
      <c r="K108" s="1095"/>
      <c r="L108" s="1095"/>
      <c r="M108" s="1095"/>
      <c r="N108" s="1095"/>
      <c r="O108" s="1095"/>
      <c r="P108" s="1095"/>
      <c r="Q108" s="1095"/>
      <c r="R108" s="1095"/>
      <c r="S108" s="1095"/>
      <c r="T108" s="1095"/>
      <c r="U108" s="1095"/>
      <c r="V108" s="1095"/>
      <c r="W108" s="1095"/>
      <c r="X108" s="1095"/>
      <c r="Y108" s="1095"/>
      <c r="Z108" s="1095"/>
      <c r="AA108" s="1095"/>
      <c r="AB108" s="1095"/>
      <c r="AC108" s="1095"/>
      <c r="AD108" s="1095"/>
      <c r="AE108" s="1095"/>
      <c r="AF108" s="1095"/>
      <c r="AG108" s="1095"/>
      <c r="AH108" s="1095"/>
      <c r="AI108" s="1095"/>
      <c r="AJ108" s="1095"/>
      <c r="AK108" s="1095"/>
      <c r="AL108" s="1095"/>
      <c r="AM108" s="1095"/>
      <c r="AN108" s="1095"/>
      <c r="AO108" s="1095"/>
      <c r="AP108" s="1095"/>
      <c r="AQ108" s="1095"/>
      <c r="AR108" s="1095"/>
      <c r="AS108" s="1095"/>
      <c r="AT108" s="1095"/>
      <c r="AU108" s="1095"/>
      <c r="AV108" s="1095"/>
      <c r="AW108" s="1095"/>
      <c r="AX108" s="1095"/>
      <c r="AY108" s="1095"/>
      <c r="AZ108" s="1095"/>
      <c r="BA108" s="1095"/>
      <c r="BB108" s="1095"/>
      <c r="BC108" s="1095"/>
      <c r="BD108" s="1095"/>
      <c r="BE108" s="1095"/>
      <c r="BF108" s="1095"/>
      <c r="BG108" s="1095"/>
      <c r="BH108" s="1095"/>
      <c r="BI108" s="1095"/>
      <c r="BJ108" s="1095"/>
      <c r="BK108" s="1095"/>
      <c r="BL108" s="1095"/>
      <c r="BM108" s="1095"/>
      <c r="BN108" s="1095"/>
      <c r="BO108" s="1095"/>
      <c r="BP108" s="1095"/>
      <c r="BQ108" s="1095"/>
      <c r="BR108" s="1095"/>
      <c r="BS108" s="1095"/>
      <c r="BT108" s="1095"/>
      <c r="BU108" s="1095"/>
    </row>
    <row r="109" spans="1:73" x14ac:dyDescent="0.25">
      <c r="A109" s="1095"/>
      <c r="B109" s="1095"/>
      <c r="C109" s="1095"/>
      <c r="D109" s="1095"/>
      <c r="E109" s="1095"/>
      <c r="F109" s="1095"/>
      <c r="G109" s="1095"/>
      <c r="H109" s="1095"/>
      <c r="I109" s="1095"/>
      <c r="J109" s="1095"/>
      <c r="K109" s="1095"/>
      <c r="L109" s="1095"/>
      <c r="M109" s="1095"/>
      <c r="N109" s="1095"/>
      <c r="O109" s="1095"/>
      <c r="P109" s="1095"/>
      <c r="Q109" s="1095"/>
      <c r="R109" s="1095"/>
      <c r="S109" s="1095"/>
      <c r="T109" s="1095"/>
      <c r="U109" s="1095"/>
      <c r="V109" s="1095"/>
      <c r="W109" s="1095"/>
      <c r="X109" s="1095"/>
      <c r="Y109" s="1095"/>
      <c r="Z109" s="1095"/>
      <c r="AA109" s="1095"/>
      <c r="AB109" s="1095"/>
      <c r="AC109" s="1095"/>
      <c r="AD109" s="1095"/>
      <c r="AE109" s="1095"/>
      <c r="AF109" s="1095"/>
      <c r="AG109" s="1095"/>
      <c r="AH109" s="1095"/>
      <c r="AI109" s="1095"/>
      <c r="AJ109" s="1095"/>
      <c r="AK109" s="1095"/>
      <c r="AL109" s="1095"/>
      <c r="AM109" s="1095"/>
      <c r="AN109" s="1095"/>
      <c r="AO109" s="1095"/>
      <c r="AP109" s="1095"/>
      <c r="AQ109" s="1095"/>
      <c r="AR109" s="1095"/>
      <c r="AS109" s="1095"/>
      <c r="AT109" s="1095"/>
      <c r="AU109" s="1095"/>
      <c r="AV109" s="1095"/>
      <c r="AW109" s="1095"/>
      <c r="AX109" s="1095"/>
      <c r="AY109" s="1095"/>
      <c r="AZ109" s="1095"/>
      <c r="BA109" s="1095"/>
      <c r="BB109" s="1095"/>
      <c r="BC109" s="1095"/>
      <c r="BD109" s="1095"/>
      <c r="BE109" s="1095"/>
      <c r="BF109" s="1095"/>
      <c r="BG109" s="1095"/>
      <c r="BH109" s="1095"/>
      <c r="BI109" s="1095"/>
      <c r="BJ109" s="1095"/>
      <c r="BK109" s="1095"/>
      <c r="BL109" s="1095"/>
      <c r="BM109" s="1095"/>
      <c r="BN109" s="1095"/>
      <c r="BO109" s="1095"/>
      <c r="BP109" s="1095"/>
      <c r="BQ109" s="1095"/>
      <c r="BR109" s="1095"/>
      <c r="BS109" s="1095"/>
      <c r="BT109" s="1095"/>
      <c r="BU109" s="1095"/>
    </row>
    <row r="110" spans="1:73" ht="52" x14ac:dyDescent="0.3">
      <c r="A110" s="1095"/>
      <c r="B110" s="1097" t="s">
        <v>1161</v>
      </c>
      <c r="C110" s="1118" t="s">
        <v>1148</v>
      </c>
      <c r="D110" s="1106" t="str">
        <f t="shared" ref="D110:G110" si="45">+D76</f>
        <v>Chart titles</v>
      </c>
      <c r="E110" s="1106" t="s">
        <v>1181</v>
      </c>
      <c r="F110" s="1106" t="s">
        <v>1182</v>
      </c>
      <c r="G110" s="1106" t="str">
        <f t="shared" si="45"/>
        <v>Salvage Value</v>
      </c>
      <c r="H110" s="1106" t="str">
        <f t="shared" ref="H110:S110" si="46">+H76</f>
        <v>Initial Equity Depreciable Capital</v>
      </c>
      <c r="I110" s="1106" t="str">
        <f t="shared" si="46"/>
        <v>Yearly Replacement Costs</v>
      </c>
      <c r="J110" s="1106" t="str">
        <f t="shared" si="46"/>
        <v>Cash for Working Capital Reserve</v>
      </c>
      <c r="K110" s="1106" t="str">
        <f t="shared" si="46"/>
        <v>Other Non-Depreciable Capital Costs</v>
      </c>
      <c r="L110" s="1106" t="str">
        <f t="shared" si="46"/>
        <v>Decommissioning Costs</v>
      </c>
      <c r="M110" s="1106" t="str">
        <f t="shared" si="46"/>
        <v>Fixed Operating Cost</v>
      </c>
      <c r="N110" s="1106" t="str">
        <f t="shared" si="46"/>
        <v>Feedstock Cost</v>
      </c>
      <c r="O110" s="1106" t="str">
        <f t="shared" si="46"/>
        <v>Other Raw Material Cost</v>
      </c>
      <c r="P110" s="1106" t="str">
        <f t="shared" si="46"/>
        <v>Other Variable Operating Costs</v>
      </c>
      <c r="Q110" s="1106" t="str">
        <f t="shared" si="46"/>
        <v>Debt Interest</v>
      </c>
      <c r="R110" s="1106" t="str">
        <f t="shared" si="46"/>
        <v>Taxes</v>
      </c>
      <c r="S110" s="1106" t="str">
        <f t="shared" si="46"/>
        <v>Principal Payment</v>
      </c>
      <c r="T110" s="1095"/>
      <c r="U110" s="1095"/>
      <c r="V110" s="1095"/>
      <c r="W110" s="1095"/>
      <c r="X110" s="1095"/>
      <c r="Y110" s="1095"/>
      <c r="Z110" s="1095"/>
      <c r="AA110" s="1095"/>
      <c r="AB110" s="1095"/>
      <c r="AC110" s="1095"/>
      <c r="AD110" s="1095"/>
      <c r="AE110" s="1095"/>
      <c r="AF110" s="1095"/>
      <c r="AG110" s="1095"/>
      <c r="AH110" s="1095"/>
      <c r="AI110" s="1095"/>
      <c r="AJ110" s="1095"/>
      <c r="AK110" s="1095"/>
      <c r="AL110" s="1095"/>
      <c r="AM110" s="1095"/>
      <c r="AN110" s="1095"/>
      <c r="AO110" s="1095"/>
      <c r="AP110" s="1095"/>
      <c r="AQ110" s="1095"/>
      <c r="AR110" s="1095"/>
      <c r="AS110" s="1095"/>
      <c r="AT110" s="1095"/>
      <c r="AU110" s="1095"/>
      <c r="AV110" s="1095"/>
      <c r="AW110" s="1095"/>
      <c r="AX110" s="1095"/>
      <c r="AY110" s="1095"/>
      <c r="AZ110" s="1095"/>
      <c r="BA110" s="1095"/>
      <c r="BB110" s="1095"/>
      <c r="BC110" s="1095"/>
      <c r="BD110" s="1095"/>
      <c r="BE110" s="1095"/>
      <c r="BF110" s="1095"/>
      <c r="BG110" s="1095"/>
      <c r="BH110" s="1095"/>
      <c r="BI110" s="1095"/>
      <c r="BJ110" s="1095"/>
      <c r="BK110" s="1095"/>
      <c r="BL110" s="1095"/>
      <c r="BM110" s="1095"/>
      <c r="BN110" s="1095"/>
      <c r="BO110" s="1095"/>
      <c r="BP110" s="1095"/>
      <c r="BQ110" s="1095"/>
      <c r="BR110" s="1095"/>
      <c r="BS110" s="1095"/>
      <c r="BT110" s="1095"/>
      <c r="BU110" s="1095"/>
    </row>
    <row r="111" spans="1:73" x14ac:dyDescent="0.25">
      <c r="A111" s="1095"/>
      <c r="B111" s="1095"/>
      <c r="C111" s="1119">
        <v>1</v>
      </c>
      <c r="D111" s="1098" t="s">
        <v>1180</v>
      </c>
      <c r="E111" s="1112">
        <f ca="1">OFFSET(E$76,MATCH($C111,$N$101:$N$107,0)*3-1,0)</f>
        <v>1.738021291813364</v>
      </c>
      <c r="F111" s="1112">
        <f ca="1">OFFSET(F$76,MATCH($C111,$N$101:$N$107,0)*3-1,0)</f>
        <v>0</v>
      </c>
      <c r="G111" s="1112">
        <f ca="1">OFFSET(G$76,MATCH($C111,$N$101:$N$107,0)*3-1,0)</f>
        <v>1.3752474814784693E-3</v>
      </c>
      <c r="H111" s="1099"/>
      <c r="I111" s="1099"/>
      <c r="J111" s="1099"/>
      <c r="K111" s="1099"/>
      <c r="L111" s="1099"/>
      <c r="M111" s="1099"/>
      <c r="N111" s="1099"/>
      <c r="O111" s="1099"/>
      <c r="P111" s="1099"/>
      <c r="Q111" s="1099"/>
      <c r="R111" s="1099"/>
      <c r="S111" s="1099"/>
      <c r="T111" s="1095"/>
      <c r="U111" s="1095"/>
      <c r="V111" s="1095"/>
      <c r="W111" s="1095"/>
      <c r="X111" s="1095"/>
      <c r="Y111" s="1095"/>
      <c r="Z111" s="1095"/>
      <c r="AA111" s="1095"/>
      <c r="AB111" s="1095"/>
      <c r="AC111" s="1095"/>
      <c r="AD111" s="1095"/>
      <c r="AE111" s="1095"/>
      <c r="AF111" s="1095"/>
      <c r="AG111" s="1095"/>
      <c r="AH111" s="1095"/>
      <c r="AI111" s="1095"/>
      <c r="AJ111" s="1095"/>
      <c r="AK111" s="1095"/>
      <c r="AL111" s="1095"/>
      <c r="AM111" s="1095"/>
      <c r="AN111" s="1095"/>
      <c r="AO111" s="1095"/>
      <c r="AP111" s="1095"/>
      <c r="AQ111" s="1095"/>
      <c r="AR111" s="1095"/>
      <c r="AS111" s="1095"/>
      <c r="AT111" s="1095"/>
      <c r="AU111" s="1095"/>
      <c r="AV111" s="1095"/>
      <c r="AW111" s="1095"/>
      <c r="AX111" s="1095"/>
      <c r="AY111" s="1095"/>
      <c r="AZ111" s="1095"/>
      <c r="BA111" s="1095"/>
      <c r="BB111" s="1095"/>
      <c r="BC111" s="1095"/>
      <c r="BD111" s="1095"/>
      <c r="BE111" s="1095"/>
      <c r="BF111" s="1095"/>
      <c r="BG111" s="1095"/>
      <c r="BH111" s="1095"/>
      <c r="BI111" s="1095"/>
      <c r="BJ111" s="1095"/>
      <c r="BK111" s="1095"/>
      <c r="BL111" s="1095"/>
      <c r="BM111" s="1095"/>
      <c r="BN111" s="1095"/>
      <c r="BO111" s="1095"/>
      <c r="BP111" s="1095"/>
      <c r="BQ111" s="1095"/>
      <c r="BR111" s="1095"/>
      <c r="BS111" s="1095"/>
      <c r="BT111" s="1095"/>
      <c r="BU111" s="1095"/>
    </row>
    <row r="112" spans="1:73" ht="13" x14ac:dyDescent="0.3">
      <c r="A112" s="1095"/>
      <c r="B112" s="1097"/>
      <c r="C112" s="1200"/>
      <c r="D112" s="1201"/>
      <c r="E112" s="1202"/>
      <c r="F112" s="1202"/>
      <c r="G112" s="1202"/>
      <c r="H112" s="1112">
        <f t="shared" ref="H112:S112" ca="1" si="47">OFFSET(H$76,MATCH($C111,$N$101:$N$107,0)*3-1,0)</f>
        <v>0.12650642153831423</v>
      </c>
      <c r="I112" s="1112">
        <f t="shared" ca="1" si="47"/>
        <v>0.12749490878546157</v>
      </c>
      <c r="J112" s="1112">
        <f t="shared" ca="1" si="47"/>
        <v>1.8390777839810975E-2</v>
      </c>
      <c r="K112" s="1112">
        <f t="shared" ca="1" si="47"/>
        <v>8.987958215351487E-4</v>
      </c>
      <c r="L112" s="1112">
        <f t="shared" ca="1" si="47"/>
        <v>1.371700464116358E-3</v>
      </c>
      <c r="M112" s="1112">
        <f t="shared" ca="1" si="47"/>
        <v>0.10796906793131673</v>
      </c>
      <c r="N112" s="1112">
        <f t="shared" ca="1" si="47"/>
        <v>1.0310552346010684</v>
      </c>
      <c r="O112" s="1112">
        <f t="shared" ca="1" si="47"/>
        <v>0</v>
      </c>
      <c r="P112" s="1112">
        <f t="shared" ca="1" si="47"/>
        <v>0.20920159808505334</v>
      </c>
      <c r="Q112" s="1112">
        <f t="shared" ca="1" si="47"/>
        <v>8.3106119156208025E-2</v>
      </c>
      <c r="R112" s="1112">
        <f t="shared" ca="1" si="47"/>
        <v>2.9668598589567396E-2</v>
      </c>
      <c r="S112" s="1112">
        <f t="shared" ca="1" si="47"/>
        <v>3.7333164823882565E-3</v>
      </c>
      <c r="T112" s="1095"/>
      <c r="U112" s="1095"/>
      <c r="V112" s="1095"/>
      <c r="W112" s="1095"/>
      <c r="X112" s="1095"/>
      <c r="Y112" s="1095"/>
      <c r="Z112" s="1095"/>
      <c r="AA112" s="1095"/>
      <c r="AB112" s="1095"/>
      <c r="AC112" s="1095"/>
      <c r="AD112" s="1095"/>
      <c r="AE112" s="1095"/>
      <c r="AF112" s="1095"/>
      <c r="AG112" s="1095"/>
      <c r="AH112" s="1095"/>
      <c r="AI112" s="1095"/>
      <c r="AJ112" s="1095"/>
      <c r="AK112" s="1095"/>
      <c r="AL112" s="1095"/>
      <c r="AM112" s="1095"/>
      <c r="AN112" s="1095"/>
      <c r="AO112" s="1095"/>
      <c r="AP112" s="1095"/>
      <c r="AQ112" s="1095"/>
      <c r="AR112" s="1095"/>
      <c r="AS112" s="1095"/>
      <c r="AT112" s="1095"/>
      <c r="AU112" s="1095"/>
      <c r="AV112" s="1095"/>
      <c r="AW112" s="1095"/>
      <c r="AX112" s="1095"/>
      <c r="AY112" s="1095"/>
      <c r="AZ112" s="1095"/>
      <c r="BA112" s="1095"/>
      <c r="BB112" s="1095"/>
      <c r="BC112" s="1095"/>
      <c r="BD112" s="1095"/>
      <c r="BE112" s="1095"/>
      <c r="BF112" s="1095"/>
      <c r="BG112" s="1095"/>
      <c r="BH112" s="1095"/>
      <c r="BI112" s="1095"/>
      <c r="BJ112" s="1095"/>
      <c r="BK112" s="1095"/>
      <c r="BL112" s="1095"/>
      <c r="BM112" s="1095"/>
      <c r="BN112" s="1095"/>
      <c r="BO112" s="1095"/>
      <c r="BP112" s="1095"/>
      <c r="BQ112" s="1095"/>
      <c r="BR112" s="1095"/>
      <c r="BS112" s="1095"/>
      <c r="BT112" s="1095"/>
      <c r="BU112" s="1095"/>
    </row>
    <row r="113" spans="1:73" ht="13" x14ac:dyDescent="0.3">
      <c r="A113" s="1095"/>
      <c r="B113" s="1097"/>
      <c r="C113" s="1200"/>
      <c r="D113" s="1201"/>
      <c r="E113" s="1202"/>
      <c r="F113" s="1202"/>
      <c r="G113" s="1202"/>
      <c r="H113" s="1112"/>
      <c r="I113" s="1112"/>
      <c r="J113" s="1112"/>
      <c r="K113" s="1112"/>
      <c r="L113" s="1112"/>
      <c r="M113" s="1112"/>
      <c r="N113" s="1112"/>
      <c r="O113" s="1112"/>
      <c r="P113" s="1112"/>
      <c r="Q113" s="1112"/>
      <c r="R113" s="1112"/>
      <c r="S113" s="1112"/>
      <c r="T113" s="1095"/>
      <c r="U113" s="1095"/>
      <c r="V113" s="1095"/>
      <c r="W113" s="1095"/>
      <c r="X113" s="1095"/>
      <c r="Y113" s="1095"/>
      <c r="Z113" s="1095"/>
      <c r="AA113" s="1095"/>
      <c r="AB113" s="1095"/>
      <c r="AC113" s="1095"/>
      <c r="AD113" s="1095"/>
      <c r="AE113" s="1095"/>
      <c r="AF113" s="1095"/>
      <c r="AG113" s="1095"/>
      <c r="AH113" s="1095"/>
      <c r="AI113" s="1095"/>
      <c r="AJ113" s="1095"/>
      <c r="AK113" s="1095"/>
      <c r="AL113" s="1095"/>
      <c r="AM113" s="1095"/>
      <c r="AN113" s="1095"/>
      <c r="AO113" s="1095"/>
      <c r="AP113" s="1095"/>
      <c r="AQ113" s="1095"/>
      <c r="AR113" s="1095"/>
      <c r="AS113" s="1095"/>
      <c r="AT113" s="1095"/>
      <c r="AU113" s="1095"/>
      <c r="AV113" s="1095"/>
      <c r="AW113" s="1095"/>
      <c r="AX113" s="1095"/>
      <c r="AY113" s="1095"/>
      <c r="AZ113" s="1095"/>
      <c r="BA113" s="1095"/>
      <c r="BB113" s="1095"/>
      <c r="BC113" s="1095"/>
      <c r="BD113" s="1095"/>
      <c r="BE113" s="1095"/>
      <c r="BF113" s="1095"/>
      <c r="BG113" s="1095"/>
      <c r="BH113" s="1095"/>
      <c r="BI113" s="1095"/>
      <c r="BJ113" s="1095"/>
      <c r="BK113" s="1095"/>
      <c r="BL113" s="1095"/>
      <c r="BM113" s="1095"/>
      <c r="BN113" s="1095"/>
      <c r="BO113" s="1095"/>
      <c r="BP113" s="1095"/>
      <c r="BQ113" s="1095"/>
      <c r="BR113" s="1095"/>
      <c r="BS113" s="1095"/>
      <c r="BT113" s="1095"/>
      <c r="BU113" s="1095"/>
    </row>
    <row r="114" spans="1:73" ht="13" x14ac:dyDescent="0.3">
      <c r="A114" s="1095"/>
      <c r="B114" s="1097"/>
      <c r="C114" s="1200"/>
      <c r="D114" s="1202"/>
      <c r="E114" s="1202"/>
      <c r="F114" s="1202"/>
      <c r="G114" s="1202"/>
      <c r="H114" s="1202"/>
      <c r="I114" s="1202"/>
      <c r="J114" s="1202"/>
      <c r="K114" s="1202"/>
      <c r="L114" s="1202"/>
      <c r="M114" s="1202"/>
      <c r="N114" s="1202"/>
      <c r="O114" s="1202"/>
      <c r="P114" s="1202"/>
      <c r="Q114" s="1202"/>
      <c r="R114" s="1202"/>
      <c r="S114" s="1202"/>
      <c r="T114" s="1095"/>
      <c r="U114" s="1095"/>
      <c r="V114" s="1095"/>
      <c r="W114" s="1095"/>
      <c r="X114" s="1095"/>
      <c r="Y114" s="1095"/>
      <c r="Z114" s="1095"/>
      <c r="AA114" s="1095"/>
      <c r="AB114" s="1095"/>
      <c r="AC114" s="1095"/>
      <c r="AD114" s="1095"/>
      <c r="AE114" s="1095"/>
      <c r="AF114" s="1095"/>
      <c r="AG114" s="1095"/>
      <c r="AH114" s="1095"/>
      <c r="AI114" s="1095"/>
      <c r="AJ114" s="1095"/>
      <c r="AK114" s="1095"/>
      <c r="AL114" s="1095"/>
      <c r="AM114" s="1095"/>
      <c r="AN114" s="1095"/>
      <c r="AO114" s="1095"/>
      <c r="AP114" s="1095"/>
      <c r="AQ114" s="1095"/>
      <c r="AR114" s="1095"/>
      <c r="AS114" s="1095"/>
      <c r="AT114" s="1095"/>
      <c r="AU114" s="1095"/>
      <c r="AV114" s="1095"/>
      <c r="AW114" s="1095"/>
      <c r="AX114" s="1095"/>
      <c r="AY114" s="1095"/>
      <c r="AZ114" s="1095"/>
      <c r="BA114" s="1095"/>
      <c r="BB114" s="1095"/>
      <c r="BC114" s="1095"/>
      <c r="BD114" s="1095"/>
      <c r="BE114" s="1095"/>
      <c r="BF114" s="1095"/>
      <c r="BG114" s="1095"/>
      <c r="BH114" s="1095"/>
      <c r="BI114" s="1095"/>
      <c r="BJ114" s="1095"/>
      <c r="BK114" s="1095"/>
      <c r="BL114" s="1095"/>
      <c r="BM114" s="1095"/>
      <c r="BN114" s="1095"/>
      <c r="BO114" s="1095"/>
      <c r="BP114" s="1095"/>
      <c r="BQ114" s="1095"/>
      <c r="BR114" s="1095"/>
      <c r="BS114" s="1095"/>
      <c r="BT114" s="1095"/>
      <c r="BU114" s="1095"/>
    </row>
    <row r="115" spans="1:73" ht="13" x14ac:dyDescent="0.3">
      <c r="A115" s="1095"/>
      <c r="B115" s="1097"/>
      <c r="C115" s="1119">
        <v>1</v>
      </c>
      <c r="D115" s="1099" t="str">
        <f t="shared" ref="D115:G115" ca="1" si="48">OFFSET(D$76,MATCH($C115,$N$101:$N$107,0)*3-2,0)</f>
        <v>Feedstock Consumption (% of baseline) = 95%</v>
      </c>
      <c r="E115" s="1112">
        <f t="shared" ca="1" si="48"/>
        <v>1.6770445332498354</v>
      </c>
      <c r="F115" s="1112">
        <f t="shared" ca="1" si="48"/>
        <v>0</v>
      </c>
      <c r="G115" s="1112">
        <f t="shared" ca="1" si="48"/>
        <v>1.3690324835518666E-3</v>
      </c>
      <c r="H115" s="1202"/>
      <c r="I115" s="1202"/>
      <c r="J115" s="1202"/>
      <c r="K115" s="1202"/>
      <c r="L115" s="1202"/>
      <c r="M115" s="1202"/>
      <c r="N115" s="1202"/>
      <c r="O115" s="1202"/>
      <c r="P115" s="1202"/>
      <c r="Q115" s="1202"/>
      <c r="R115" s="1202"/>
      <c r="S115" s="1202"/>
      <c r="T115" s="1095"/>
      <c r="U115" s="1095"/>
      <c r="V115" s="1095"/>
      <c r="W115" s="1095"/>
      <c r="X115" s="1095"/>
      <c r="Y115" s="1095"/>
      <c r="Z115" s="1095"/>
      <c r="AA115" s="1095"/>
      <c r="AB115" s="1095"/>
      <c r="AC115" s="1095"/>
      <c r="AD115" s="1095"/>
      <c r="AE115" s="1095"/>
      <c r="AF115" s="1095"/>
      <c r="AG115" s="1095"/>
      <c r="AH115" s="1095"/>
      <c r="AI115" s="1095"/>
      <c r="AJ115" s="1095"/>
      <c r="AK115" s="1095"/>
      <c r="AL115" s="1095"/>
      <c r="AM115" s="1095"/>
      <c r="AN115" s="1095"/>
      <c r="AO115" s="1095"/>
      <c r="AP115" s="1095"/>
      <c r="AQ115" s="1095"/>
      <c r="AR115" s="1095"/>
      <c r="AS115" s="1095"/>
      <c r="AT115" s="1095"/>
      <c r="AU115" s="1095"/>
      <c r="AV115" s="1095"/>
      <c r="AW115" s="1095"/>
      <c r="AX115" s="1095"/>
      <c r="AY115" s="1095"/>
      <c r="AZ115" s="1095"/>
      <c r="BA115" s="1095"/>
      <c r="BB115" s="1095"/>
      <c r="BC115" s="1095"/>
      <c r="BD115" s="1095"/>
      <c r="BE115" s="1095"/>
      <c r="BF115" s="1095"/>
      <c r="BG115" s="1095"/>
      <c r="BH115" s="1095"/>
      <c r="BI115" s="1095"/>
      <c r="BJ115" s="1095"/>
      <c r="BK115" s="1095"/>
      <c r="BL115" s="1095"/>
      <c r="BM115" s="1095"/>
      <c r="BN115" s="1095"/>
      <c r="BO115" s="1095"/>
      <c r="BP115" s="1095"/>
      <c r="BQ115" s="1095"/>
      <c r="BR115" s="1095"/>
      <c r="BS115" s="1095"/>
      <c r="BT115" s="1095"/>
      <c r="BU115" s="1095"/>
    </row>
    <row r="116" spans="1:73" ht="13" x14ac:dyDescent="0.3">
      <c r="A116" s="1095"/>
      <c r="B116" s="1097"/>
      <c r="C116" s="1099"/>
      <c r="D116" s="1099"/>
      <c r="E116" s="1099"/>
      <c r="F116" s="1099"/>
      <c r="G116" s="1099"/>
      <c r="H116" s="1112">
        <f t="shared" ref="H116:S116" ca="1" si="49">OFFSET(H$76,MATCH($C115,$N$101:$N$107,0)*3-2,0)</f>
        <v>0.12593323725491529</v>
      </c>
      <c r="I116" s="1112">
        <f t="shared" ca="1" si="49"/>
        <v>0.12365640391750458</v>
      </c>
      <c r="J116" s="1112">
        <f t="shared" ca="1" si="49"/>
        <v>1.7647423808294729E-2</v>
      </c>
      <c r="K116" s="1112">
        <f t="shared" ca="1" si="49"/>
        <v>8.987958215351487E-4</v>
      </c>
      <c r="L116" s="1112">
        <f t="shared" ca="1" si="49"/>
        <v>1.3654854661897557E-3</v>
      </c>
      <c r="M116" s="1112">
        <f t="shared" ca="1" si="49"/>
        <v>0.10765331161265509</v>
      </c>
      <c r="N116" s="1112">
        <f t="shared" ca="1" si="49"/>
        <v>0.97950247287101511</v>
      </c>
      <c r="O116" s="1112">
        <f t="shared" ca="1" si="49"/>
        <v>0</v>
      </c>
      <c r="P116" s="1112">
        <f t="shared" ca="1" si="49"/>
        <v>0.20656932369311512</v>
      </c>
      <c r="Q116" s="1112">
        <f t="shared" ca="1" si="49"/>
        <v>8.2729576046574674E-2</v>
      </c>
      <c r="R116" s="1112">
        <f t="shared" ca="1" si="49"/>
        <v>2.8741133934781823E-2</v>
      </c>
      <c r="S116" s="1112">
        <f t="shared" ca="1" si="49"/>
        <v>3.7164013068055612E-3</v>
      </c>
      <c r="T116" s="1095"/>
      <c r="U116" s="1095"/>
      <c r="V116" s="1095"/>
      <c r="W116" s="1095"/>
      <c r="X116" s="1095"/>
      <c r="Y116" s="1095"/>
      <c r="Z116" s="1095"/>
      <c r="AA116" s="1095"/>
      <c r="AB116" s="1095"/>
      <c r="AC116" s="1095"/>
      <c r="AD116" s="1095"/>
      <c r="AE116" s="1095"/>
      <c r="AF116" s="1095"/>
      <c r="AG116" s="1095"/>
      <c r="AH116" s="1095"/>
      <c r="AI116" s="1095"/>
      <c r="AJ116" s="1095"/>
      <c r="AK116" s="1095"/>
      <c r="AL116" s="1095"/>
      <c r="AM116" s="1095"/>
      <c r="AN116" s="1095"/>
      <c r="AO116" s="1095"/>
      <c r="AP116" s="1095"/>
      <c r="AQ116" s="1095"/>
      <c r="AR116" s="1095"/>
      <c r="AS116" s="1095"/>
      <c r="AT116" s="1095"/>
      <c r="AU116" s="1095"/>
      <c r="AV116" s="1095"/>
      <c r="AW116" s="1095"/>
      <c r="AX116" s="1095"/>
      <c r="AY116" s="1095"/>
      <c r="AZ116" s="1095"/>
      <c r="BA116" s="1095"/>
      <c r="BB116" s="1095"/>
      <c r="BC116" s="1095"/>
      <c r="BD116" s="1095"/>
      <c r="BE116" s="1095"/>
      <c r="BF116" s="1095"/>
      <c r="BG116" s="1095"/>
      <c r="BH116" s="1095"/>
      <c r="BI116" s="1095"/>
      <c r="BJ116" s="1095"/>
      <c r="BK116" s="1095"/>
      <c r="BL116" s="1095"/>
      <c r="BM116" s="1095"/>
      <c r="BN116" s="1095"/>
      <c r="BO116" s="1095"/>
      <c r="BP116" s="1095"/>
      <c r="BQ116" s="1095"/>
      <c r="BR116" s="1095"/>
      <c r="BS116" s="1095"/>
      <c r="BT116" s="1095"/>
      <c r="BU116" s="1095"/>
    </row>
    <row r="117" spans="1:73" ht="13" x14ac:dyDescent="0.3">
      <c r="A117" s="1095"/>
      <c r="B117" s="1097"/>
      <c r="C117" s="1119">
        <v>1</v>
      </c>
      <c r="D117" s="1099" t="str">
        <f t="shared" ref="D117:G117" ca="1" si="50">OFFSET(D$76,MATCH($C117,$N$101:$N$107,0)*3,0)</f>
        <v>Feedstock Consumption (% of baseline) = 105%</v>
      </c>
      <c r="E117" s="1112">
        <f t="shared" ca="1" si="50"/>
        <v>1.7987661930009131</v>
      </c>
      <c r="F117" s="1112">
        <f t="shared" ca="1" si="50"/>
        <v>0</v>
      </c>
      <c r="G117" s="1112">
        <f t="shared" ca="1" si="50"/>
        <v>1.380972221570458E-3</v>
      </c>
      <c r="H117" s="1099"/>
      <c r="I117" s="1099"/>
      <c r="J117" s="1099"/>
      <c r="K117" s="1099"/>
      <c r="L117" s="1099"/>
      <c r="M117" s="1099"/>
      <c r="N117" s="1099"/>
      <c r="O117" s="1099"/>
      <c r="P117" s="1099"/>
      <c r="Q117" s="1099"/>
      <c r="R117" s="1099"/>
      <c r="S117" s="1099"/>
      <c r="T117" s="1095"/>
      <c r="U117" s="1095"/>
      <c r="V117" s="1095"/>
      <c r="W117" s="1095"/>
      <c r="X117" s="1095"/>
      <c r="Y117" s="1095"/>
      <c r="Z117" s="1095"/>
      <c r="AA117" s="1095"/>
      <c r="AB117" s="1095"/>
      <c r="AC117" s="1095"/>
      <c r="AD117" s="1095"/>
      <c r="AE117" s="1095"/>
      <c r="AF117" s="1095"/>
      <c r="AG117" s="1095"/>
      <c r="AH117" s="1095"/>
      <c r="AI117" s="1095"/>
      <c r="AJ117" s="1095"/>
      <c r="AK117" s="1095"/>
      <c r="AL117" s="1095"/>
      <c r="AM117" s="1095"/>
      <c r="AN117" s="1095"/>
      <c r="AO117" s="1095"/>
      <c r="AP117" s="1095"/>
      <c r="AQ117" s="1095"/>
      <c r="AR117" s="1095"/>
      <c r="AS117" s="1095"/>
      <c r="AT117" s="1095"/>
      <c r="AU117" s="1095"/>
      <c r="AV117" s="1095"/>
      <c r="AW117" s="1095"/>
      <c r="AX117" s="1095"/>
      <c r="AY117" s="1095"/>
      <c r="AZ117" s="1095"/>
      <c r="BA117" s="1095"/>
      <c r="BB117" s="1095"/>
      <c r="BC117" s="1095"/>
      <c r="BD117" s="1095"/>
      <c r="BE117" s="1095"/>
      <c r="BF117" s="1095"/>
      <c r="BG117" s="1095"/>
      <c r="BH117" s="1095"/>
      <c r="BI117" s="1095"/>
      <c r="BJ117" s="1095"/>
      <c r="BK117" s="1095"/>
      <c r="BL117" s="1095"/>
      <c r="BM117" s="1095"/>
      <c r="BN117" s="1095"/>
      <c r="BO117" s="1095"/>
      <c r="BP117" s="1095"/>
      <c r="BQ117" s="1095"/>
      <c r="BR117" s="1095"/>
      <c r="BS117" s="1095"/>
      <c r="BT117" s="1095"/>
      <c r="BU117" s="1095"/>
    </row>
    <row r="118" spans="1:73" ht="13" x14ac:dyDescent="0.3">
      <c r="A118" s="1095"/>
      <c r="B118" s="1097"/>
      <c r="C118" s="1119"/>
      <c r="D118" s="1099"/>
      <c r="E118" s="1112"/>
      <c r="F118" s="1112"/>
      <c r="G118" s="1112"/>
      <c r="H118" s="1112">
        <f t="shared" ref="H118:S118" ca="1" si="51">OFFSET(H$76,MATCH($C117,$N$101:$N$107,0)*3,0)</f>
        <v>0.12703439131175961</v>
      </c>
      <c r="I118" s="1112">
        <f t="shared" ca="1" si="51"/>
        <v>0.1312562594167081</v>
      </c>
      <c r="J118" s="1112">
        <f t="shared" ca="1" si="51"/>
        <v>1.9133264077050374E-2</v>
      </c>
      <c r="K118" s="1112">
        <f t="shared" ca="1" si="51"/>
        <v>8.987958215351487E-4</v>
      </c>
      <c r="L118" s="1112">
        <f t="shared" ca="1" si="51"/>
        <v>1.3774252042083467E-3</v>
      </c>
      <c r="M118" s="1112">
        <f t="shared" ca="1" si="51"/>
        <v>0.10825991643651157</v>
      </c>
      <c r="N118" s="1112">
        <f t="shared" ca="1" si="51"/>
        <v>1.0826079963311221</v>
      </c>
      <c r="O118" s="1112">
        <f t="shared" ca="1" si="51"/>
        <v>0</v>
      </c>
      <c r="P118" s="1112">
        <f t="shared" ca="1" si="51"/>
        <v>0.2117951909983371</v>
      </c>
      <c r="Q118" s="1112">
        <f t="shared" ca="1" si="51"/>
        <v>8.3452959406444122E-2</v>
      </c>
      <c r="R118" s="1112">
        <f t="shared" ca="1" si="51"/>
        <v>3.0582068881047156E-2</v>
      </c>
      <c r="S118" s="1112">
        <f t="shared" ca="1" si="51"/>
        <v>3.7488973377585865E-3</v>
      </c>
      <c r="T118" s="1095"/>
      <c r="U118" s="1095"/>
      <c r="V118" s="1095"/>
      <c r="W118" s="1095"/>
      <c r="X118" s="1095"/>
      <c r="Y118" s="1095"/>
      <c r="Z118" s="1095"/>
      <c r="AA118" s="1095"/>
      <c r="AB118" s="1095"/>
      <c r="AC118" s="1095"/>
      <c r="AD118" s="1095"/>
      <c r="AE118" s="1095"/>
      <c r="AF118" s="1095"/>
      <c r="AG118" s="1095"/>
      <c r="AH118" s="1095"/>
      <c r="AI118" s="1095"/>
      <c r="AJ118" s="1095"/>
      <c r="AK118" s="1095"/>
      <c r="AL118" s="1095"/>
      <c r="AM118" s="1095"/>
      <c r="AN118" s="1095"/>
      <c r="AO118" s="1095"/>
      <c r="AP118" s="1095"/>
      <c r="AQ118" s="1095"/>
      <c r="AR118" s="1095"/>
      <c r="AS118" s="1095"/>
      <c r="AT118" s="1095"/>
      <c r="AU118" s="1095"/>
      <c r="AV118" s="1095"/>
      <c r="AW118" s="1095"/>
      <c r="AX118" s="1095"/>
      <c r="AY118" s="1095"/>
      <c r="AZ118" s="1095"/>
      <c r="BA118" s="1095"/>
      <c r="BB118" s="1095"/>
      <c r="BC118" s="1095"/>
      <c r="BD118" s="1095"/>
      <c r="BE118" s="1095"/>
      <c r="BF118" s="1095"/>
      <c r="BG118" s="1095"/>
      <c r="BH118" s="1095"/>
      <c r="BI118" s="1095"/>
      <c r="BJ118" s="1095"/>
      <c r="BK118" s="1095"/>
      <c r="BL118" s="1095"/>
      <c r="BM118" s="1095"/>
      <c r="BN118" s="1095"/>
      <c r="BO118" s="1095"/>
      <c r="BP118" s="1095"/>
      <c r="BQ118" s="1095"/>
      <c r="BR118" s="1095"/>
      <c r="BS118" s="1095"/>
      <c r="BT118" s="1095"/>
      <c r="BU118" s="1095"/>
    </row>
    <row r="119" spans="1:73" ht="13" x14ac:dyDescent="0.3">
      <c r="A119" s="1095"/>
      <c r="B119" s="1097"/>
      <c r="C119" s="1119"/>
      <c r="D119" s="1099"/>
      <c r="E119" s="1112"/>
      <c r="F119" s="1112"/>
      <c r="G119" s="1112"/>
      <c r="H119" s="1112"/>
      <c r="I119" s="1112"/>
      <c r="J119" s="1112"/>
      <c r="K119" s="1112"/>
      <c r="L119" s="1112"/>
      <c r="M119" s="1112"/>
      <c r="N119" s="1112"/>
      <c r="O119" s="1112"/>
      <c r="P119" s="1112"/>
      <c r="Q119" s="1112"/>
      <c r="R119" s="1112"/>
      <c r="S119" s="1112"/>
      <c r="T119" s="1095"/>
      <c r="U119" s="1095"/>
      <c r="V119" s="1095"/>
      <c r="W119" s="1095"/>
      <c r="X119" s="1095"/>
      <c r="Y119" s="1095"/>
      <c r="Z119" s="1095"/>
      <c r="AA119" s="1095"/>
      <c r="AB119" s="1095"/>
      <c r="AC119" s="1095"/>
      <c r="AD119" s="1095"/>
      <c r="AE119" s="1095"/>
      <c r="AF119" s="1095"/>
      <c r="AG119" s="1095"/>
      <c r="AH119" s="1095"/>
      <c r="AI119" s="1095"/>
      <c r="AJ119" s="1095"/>
      <c r="AK119" s="1095"/>
      <c r="AL119" s="1095"/>
      <c r="AM119" s="1095"/>
      <c r="AN119" s="1095"/>
      <c r="AO119" s="1095"/>
      <c r="AP119" s="1095"/>
      <c r="AQ119" s="1095"/>
      <c r="AR119" s="1095"/>
      <c r="AS119" s="1095"/>
      <c r="AT119" s="1095"/>
      <c r="AU119" s="1095"/>
      <c r="AV119" s="1095"/>
      <c r="AW119" s="1095"/>
      <c r="AX119" s="1095"/>
      <c r="AY119" s="1095"/>
      <c r="AZ119" s="1095"/>
      <c r="BA119" s="1095"/>
      <c r="BB119" s="1095"/>
      <c r="BC119" s="1095"/>
      <c r="BD119" s="1095"/>
      <c r="BE119" s="1095"/>
      <c r="BF119" s="1095"/>
      <c r="BG119" s="1095"/>
      <c r="BH119" s="1095"/>
      <c r="BI119" s="1095"/>
      <c r="BJ119" s="1095"/>
      <c r="BK119" s="1095"/>
      <c r="BL119" s="1095"/>
      <c r="BM119" s="1095"/>
      <c r="BN119" s="1095"/>
      <c r="BO119" s="1095"/>
      <c r="BP119" s="1095"/>
      <c r="BQ119" s="1095"/>
      <c r="BR119" s="1095"/>
      <c r="BS119" s="1095"/>
      <c r="BT119" s="1095"/>
      <c r="BU119" s="1095"/>
    </row>
    <row r="120" spans="1:73" x14ac:dyDescent="0.25">
      <c r="A120" s="1095"/>
      <c r="B120" s="1095"/>
      <c r="C120" s="1119">
        <v>2</v>
      </c>
      <c r="D120" s="1099" t="str">
        <f t="shared" ref="D120:G120" ca="1" si="52">OFFSET(D$76,MATCH($C120,$N$101:$N$107,0)*3-2,0)</f>
        <v>Operating Capacity Factor = 94.5%</v>
      </c>
      <c r="E120" s="1112">
        <f t="shared" ca="1" si="52"/>
        <v>1.7165781287165258</v>
      </c>
      <c r="F120" s="1112">
        <f t="shared" ca="1" si="52"/>
        <v>0</v>
      </c>
      <c r="G120" s="1112">
        <f t="shared" ca="1" si="52"/>
        <v>1.3149767678771E-3</v>
      </c>
      <c r="H120" s="1112"/>
      <c r="I120" s="1112"/>
      <c r="J120" s="1112"/>
      <c r="K120" s="1112"/>
      <c r="L120" s="1112"/>
      <c r="M120" s="1112"/>
      <c r="N120" s="1112"/>
      <c r="O120" s="1112"/>
      <c r="P120" s="1112"/>
      <c r="Q120" s="1112"/>
      <c r="R120" s="1112"/>
      <c r="S120" s="1112"/>
      <c r="T120" s="1095"/>
      <c r="U120" s="1095"/>
      <c r="V120" s="1095"/>
      <c r="W120" s="1095"/>
      <c r="X120" s="1095"/>
      <c r="Y120" s="1095"/>
      <c r="Z120" s="1095"/>
      <c r="AA120" s="1095"/>
      <c r="AB120" s="1095"/>
      <c r="AC120" s="1095"/>
      <c r="AD120" s="1095"/>
      <c r="AE120" s="1095"/>
      <c r="AF120" s="1095"/>
      <c r="AG120" s="1095"/>
      <c r="AH120" s="1095"/>
      <c r="AI120" s="1095"/>
      <c r="AJ120" s="1095"/>
      <c r="AK120" s="1095"/>
      <c r="AL120" s="1095"/>
      <c r="AM120" s="1095"/>
      <c r="AN120" s="1095"/>
      <c r="AO120" s="1095"/>
      <c r="AP120" s="1095"/>
      <c r="AQ120" s="1095"/>
      <c r="AR120" s="1095"/>
      <c r="AS120" s="1095"/>
      <c r="AT120" s="1095"/>
      <c r="AU120" s="1095"/>
      <c r="AV120" s="1095"/>
      <c r="AW120" s="1095"/>
      <c r="AX120" s="1095"/>
      <c r="AY120" s="1095"/>
      <c r="AZ120" s="1095"/>
      <c r="BA120" s="1095"/>
      <c r="BB120" s="1095"/>
      <c r="BC120" s="1095"/>
      <c r="BD120" s="1095"/>
      <c r="BE120" s="1095"/>
      <c r="BF120" s="1095"/>
      <c r="BG120" s="1095"/>
      <c r="BH120" s="1095"/>
      <c r="BI120" s="1095"/>
      <c r="BJ120" s="1095"/>
      <c r="BK120" s="1095"/>
      <c r="BL120" s="1095"/>
      <c r="BM120" s="1095"/>
      <c r="BN120" s="1095"/>
      <c r="BO120" s="1095"/>
      <c r="BP120" s="1095"/>
      <c r="BQ120" s="1095"/>
      <c r="BR120" s="1095"/>
      <c r="BS120" s="1095"/>
      <c r="BT120" s="1095"/>
      <c r="BU120" s="1095"/>
    </row>
    <row r="121" spans="1:73" x14ac:dyDescent="0.25">
      <c r="A121" s="1095"/>
      <c r="B121" s="1095"/>
      <c r="C121" s="1119"/>
      <c r="D121" s="1099"/>
      <c r="E121" s="1112"/>
      <c r="F121" s="1112"/>
      <c r="G121" s="1112"/>
      <c r="H121" s="1112">
        <f t="shared" ref="H121:S121" ca="1" si="53">OFFSET(H$76,MATCH($C120,$N$101:$N$107,0)*3-2,0)</f>
        <v>0.12096347330831042</v>
      </c>
      <c r="I121" s="1112">
        <f t="shared" ca="1" si="53"/>
        <v>0.12500291909681963</v>
      </c>
      <c r="J121" s="1112">
        <f t="shared" ca="1" si="53"/>
        <v>1.8269158981494636E-2</v>
      </c>
      <c r="K121" s="1112">
        <f t="shared" ca="1" si="53"/>
        <v>8.5599602050966529E-4</v>
      </c>
      <c r="L121" s="1112">
        <f t="shared" ca="1" si="53"/>
        <v>1.3115986561036607E-3</v>
      </c>
      <c r="M121" s="1112">
        <f t="shared" ca="1" si="53"/>
        <v>0.1030927495365045</v>
      </c>
      <c r="N121" s="1112">
        <f t="shared" ca="1" si="53"/>
        <v>1.0310552346010686</v>
      </c>
      <c r="O121" s="1112">
        <f t="shared" ca="1" si="53"/>
        <v>0</v>
      </c>
      <c r="P121" s="1112">
        <f t="shared" ca="1" si="53"/>
        <v>0.20516606109005878</v>
      </c>
      <c r="Q121" s="1112">
        <f t="shared" ca="1" si="53"/>
        <v>7.9464778973805647E-2</v>
      </c>
      <c r="R121" s="1112">
        <f t="shared" ca="1" si="53"/>
        <v>2.9141396046192713E-2</v>
      </c>
      <c r="S121" s="1112">
        <f t="shared" ca="1" si="53"/>
        <v>3.5697391735333805E-3</v>
      </c>
      <c r="T121" s="1095"/>
      <c r="U121" s="1095"/>
      <c r="V121" s="1095"/>
      <c r="W121" s="1095"/>
      <c r="X121" s="1095"/>
      <c r="Y121" s="1095"/>
      <c r="Z121" s="1095"/>
      <c r="AA121" s="1095"/>
      <c r="AB121" s="1095"/>
      <c r="AC121" s="1095"/>
      <c r="AD121" s="1095"/>
      <c r="AE121" s="1095"/>
      <c r="AF121" s="1095"/>
      <c r="AG121" s="1095"/>
      <c r="AH121" s="1095"/>
      <c r="AI121" s="1095"/>
      <c r="AJ121" s="1095"/>
      <c r="AK121" s="1095"/>
      <c r="AL121" s="1095"/>
      <c r="AM121" s="1095"/>
      <c r="AN121" s="1095"/>
      <c r="AO121" s="1095"/>
      <c r="AP121" s="1095"/>
      <c r="AQ121" s="1095"/>
      <c r="AR121" s="1095"/>
      <c r="AS121" s="1095"/>
      <c r="AT121" s="1095"/>
      <c r="AU121" s="1095"/>
      <c r="AV121" s="1095"/>
      <c r="AW121" s="1095"/>
      <c r="AX121" s="1095"/>
      <c r="AY121" s="1095"/>
      <c r="AZ121" s="1095"/>
      <c r="BA121" s="1095"/>
      <c r="BB121" s="1095"/>
      <c r="BC121" s="1095"/>
      <c r="BD121" s="1095"/>
      <c r="BE121" s="1095"/>
      <c r="BF121" s="1095"/>
      <c r="BG121" s="1095"/>
      <c r="BH121" s="1095"/>
      <c r="BI121" s="1095"/>
      <c r="BJ121" s="1095"/>
      <c r="BK121" s="1095"/>
      <c r="BL121" s="1095"/>
      <c r="BM121" s="1095"/>
      <c r="BN121" s="1095"/>
      <c r="BO121" s="1095"/>
      <c r="BP121" s="1095"/>
      <c r="BQ121" s="1095"/>
      <c r="BR121" s="1095"/>
      <c r="BS121" s="1095"/>
      <c r="BT121" s="1095"/>
      <c r="BU121" s="1095"/>
    </row>
    <row r="122" spans="1:73" x14ac:dyDescent="0.25">
      <c r="A122" s="1095"/>
      <c r="B122" s="1095"/>
      <c r="C122" s="1119">
        <v>2</v>
      </c>
      <c r="D122" s="1099" t="str">
        <f t="shared" ref="D122:G122" ca="1" si="54">OFFSET(D$76,MATCH($C122,$N$101:$N$107,0)*3,0)</f>
        <v>Operating Capacity Factor = 85.5%</v>
      </c>
      <c r="E122" s="1112">
        <f t="shared" ca="1" si="54"/>
        <v>1.7614775669064853</v>
      </c>
      <c r="F122" s="1112">
        <f t="shared" ca="1" si="54"/>
        <v>0</v>
      </c>
      <c r="G122" s="1112">
        <f t="shared" ca="1" si="54"/>
        <v>1.4413464108199215E-3</v>
      </c>
      <c r="H122" s="1112"/>
      <c r="I122" s="1112"/>
      <c r="J122" s="1112"/>
      <c r="K122" s="1112"/>
      <c r="L122" s="1112"/>
      <c r="M122" s="1112"/>
      <c r="N122" s="1112"/>
      <c r="O122" s="1112"/>
      <c r="P122" s="1112"/>
      <c r="Q122" s="1112"/>
      <c r="R122" s="1112"/>
      <c r="S122" s="1112"/>
      <c r="T122" s="1095"/>
      <c r="U122" s="1095"/>
      <c r="V122" s="1095"/>
      <c r="W122" s="1095"/>
      <c r="X122" s="1095"/>
      <c r="Y122" s="1095"/>
      <c r="Z122" s="1095"/>
      <c r="AA122" s="1095"/>
      <c r="AB122" s="1095"/>
      <c r="AC122" s="1095"/>
      <c r="AD122" s="1095"/>
      <c r="AE122" s="1095"/>
      <c r="AF122" s="1095"/>
      <c r="AG122" s="1095"/>
      <c r="AH122" s="1095"/>
      <c r="AI122" s="1095"/>
      <c r="AJ122" s="1095"/>
      <c r="AK122" s="1095"/>
      <c r="AL122" s="1095"/>
      <c r="AM122" s="1095"/>
      <c r="AN122" s="1095"/>
      <c r="AO122" s="1095"/>
      <c r="AP122" s="1095"/>
      <c r="AQ122" s="1095"/>
      <c r="AR122" s="1095"/>
      <c r="AS122" s="1095"/>
      <c r="AT122" s="1095"/>
      <c r="AU122" s="1095"/>
      <c r="AV122" s="1095"/>
      <c r="AW122" s="1095"/>
      <c r="AX122" s="1095"/>
      <c r="AY122" s="1095"/>
      <c r="AZ122" s="1095"/>
      <c r="BA122" s="1095"/>
      <c r="BB122" s="1095"/>
      <c r="BC122" s="1095"/>
      <c r="BD122" s="1095"/>
      <c r="BE122" s="1095"/>
      <c r="BF122" s="1095"/>
      <c r="BG122" s="1095"/>
      <c r="BH122" s="1095"/>
      <c r="BI122" s="1095"/>
      <c r="BJ122" s="1095"/>
      <c r="BK122" s="1095"/>
      <c r="BL122" s="1095"/>
      <c r="BM122" s="1095"/>
      <c r="BN122" s="1095"/>
      <c r="BO122" s="1095"/>
      <c r="BP122" s="1095"/>
      <c r="BQ122" s="1095"/>
      <c r="BR122" s="1095"/>
      <c r="BS122" s="1095"/>
      <c r="BT122" s="1095"/>
      <c r="BU122" s="1095"/>
    </row>
    <row r="123" spans="1:73" x14ac:dyDescent="0.25">
      <c r="A123" s="1095"/>
      <c r="B123" s="1095"/>
      <c r="C123" s="1119"/>
      <c r="D123" s="1099"/>
      <c r="E123" s="1112"/>
      <c r="F123" s="1112"/>
      <c r="G123" s="1112"/>
      <c r="H123" s="1112">
        <f t="shared" ref="H123:S123" ca="1" si="55">OFFSET(H$76,MATCH($C122,$N$101:$N$107,0)*3,0)</f>
        <v>0.13258524294983873</v>
      </c>
      <c r="I123" s="1112">
        <f t="shared" ca="1" si="55"/>
        <v>0.13016799807527862</v>
      </c>
      <c r="J123" s="1112">
        <f t="shared" ca="1" si="55"/>
        <v>1.8524285200485137E-2</v>
      </c>
      <c r="K123" s="1112">
        <f t="shared" ca="1" si="55"/>
        <v>9.4610086477384071E-4</v>
      </c>
      <c r="L123" s="1112">
        <f t="shared" ca="1" si="55"/>
        <v>1.437612708333488E-3</v>
      </c>
      <c r="M123" s="1112">
        <f t="shared" ca="1" si="55"/>
        <v>0.11333246378979916</v>
      </c>
      <c r="N123" s="1112">
        <f t="shared" ca="1" si="55"/>
        <v>1.0310552346010686</v>
      </c>
      <c r="O123" s="1112">
        <f t="shared" ca="1" si="55"/>
        <v>0</v>
      </c>
      <c r="P123" s="1112">
        <f t="shared" ca="1" si="55"/>
        <v>0.21362121045628565</v>
      </c>
      <c r="Q123" s="1112">
        <f t="shared" ca="1" si="55"/>
        <v>8.7099491590685238E-2</v>
      </c>
      <c r="R123" s="1112">
        <f t="shared" ca="1" si="55"/>
        <v>3.0236565197573489E-2</v>
      </c>
      <c r="S123" s="1112">
        <f t="shared" ca="1" si="55"/>
        <v>3.912707883181819E-3</v>
      </c>
      <c r="T123" s="1095"/>
      <c r="U123" s="1095"/>
      <c r="V123" s="1095"/>
      <c r="W123" s="1095"/>
      <c r="X123" s="1095"/>
      <c r="Y123" s="1095"/>
      <c r="Z123" s="1095"/>
      <c r="AA123" s="1095"/>
      <c r="AB123" s="1095"/>
      <c r="AC123" s="1095"/>
      <c r="AD123" s="1095"/>
      <c r="AE123" s="1095"/>
      <c r="AF123" s="1095"/>
      <c r="AG123" s="1095"/>
      <c r="AH123" s="1095"/>
      <c r="AI123" s="1095"/>
      <c r="AJ123" s="1095"/>
      <c r="AK123" s="1095"/>
      <c r="AL123" s="1095"/>
      <c r="AM123" s="1095"/>
      <c r="AN123" s="1095"/>
      <c r="AO123" s="1095"/>
      <c r="AP123" s="1095"/>
      <c r="AQ123" s="1095"/>
      <c r="AR123" s="1095"/>
      <c r="AS123" s="1095"/>
      <c r="AT123" s="1095"/>
      <c r="AU123" s="1095"/>
      <c r="AV123" s="1095"/>
      <c r="AW123" s="1095"/>
      <c r="AX123" s="1095"/>
      <c r="AY123" s="1095"/>
      <c r="AZ123" s="1095"/>
      <c r="BA123" s="1095"/>
      <c r="BB123" s="1095"/>
      <c r="BC123" s="1095"/>
      <c r="BD123" s="1095"/>
      <c r="BE123" s="1095"/>
      <c r="BF123" s="1095"/>
      <c r="BG123" s="1095"/>
      <c r="BH123" s="1095"/>
      <c r="BI123" s="1095"/>
      <c r="BJ123" s="1095"/>
      <c r="BK123" s="1095"/>
      <c r="BL123" s="1095"/>
      <c r="BM123" s="1095"/>
      <c r="BN123" s="1095"/>
      <c r="BO123" s="1095"/>
      <c r="BP123" s="1095"/>
      <c r="BQ123" s="1095"/>
      <c r="BR123" s="1095"/>
      <c r="BS123" s="1095"/>
      <c r="BT123" s="1095"/>
      <c r="BU123" s="1095"/>
    </row>
    <row r="124" spans="1:73" x14ac:dyDescent="0.25">
      <c r="A124" s="1095"/>
      <c r="B124" s="1095"/>
      <c r="C124" s="1119"/>
      <c r="D124" s="1099"/>
      <c r="E124" s="1112"/>
      <c r="F124" s="1112"/>
      <c r="G124" s="1112"/>
      <c r="H124" s="1112"/>
      <c r="I124" s="1112"/>
      <c r="J124" s="1112"/>
      <c r="K124" s="1112"/>
      <c r="L124" s="1112"/>
      <c r="M124" s="1112"/>
      <c r="N124" s="1112"/>
      <c r="O124" s="1112"/>
      <c r="P124" s="1112"/>
      <c r="Q124" s="1112"/>
      <c r="R124" s="1112"/>
      <c r="S124" s="1112"/>
      <c r="T124" s="1095"/>
      <c r="U124" s="1095"/>
      <c r="V124" s="1095"/>
      <c r="W124" s="1095"/>
      <c r="X124" s="1095"/>
      <c r="Y124" s="1095"/>
      <c r="Z124" s="1095"/>
      <c r="AA124" s="1095"/>
      <c r="AB124" s="1095"/>
      <c r="AC124" s="1095"/>
      <c r="AD124" s="1095"/>
      <c r="AE124" s="1095"/>
      <c r="AF124" s="1095"/>
      <c r="AG124" s="1095"/>
      <c r="AH124" s="1095"/>
      <c r="AI124" s="1095"/>
      <c r="AJ124" s="1095"/>
      <c r="AK124" s="1095"/>
      <c r="AL124" s="1095"/>
      <c r="AM124" s="1095"/>
      <c r="AN124" s="1095"/>
      <c r="AO124" s="1095"/>
      <c r="AP124" s="1095"/>
      <c r="AQ124" s="1095"/>
      <c r="AR124" s="1095"/>
      <c r="AS124" s="1095"/>
      <c r="AT124" s="1095"/>
      <c r="AU124" s="1095"/>
      <c r="AV124" s="1095"/>
      <c r="AW124" s="1095"/>
      <c r="AX124" s="1095"/>
      <c r="AY124" s="1095"/>
      <c r="AZ124" s="1095"/>
      <c r="BA124" s="1095"/>
      <c r="BB124" s="1095"/>
      <c r="BC124" s="1095"/>
      <c r="BD124" s="1095"/>
      <c r="BE124" s="1095"/>
      <c r="BF124" s="1095"/>
      <c r="BG124" s="1095"/>
      <c r="BH124" s="1095"/>
      <c r="BI124" s="1095"/>
      <c r="BJ124" s="1095"/>
      <c r="BK124" s="1095"/>
      <c r="BL124" s="1095"/>
      <c r="BM124" s="1095"/>
      <c r="BN124" s="1095"/>
      <c r="BO124" s="1095"/>
      <c r="BP124" s="1095"/>
      <c r="BQ124" s="1095"/>
      <c r="BR124" s="1095"/>
      <c r="BS124" s="1095"/>
      <c r="BT124" s="1095"/>
      <c r="BU124" s="1095"/>
    </row>
    <row r="125" spans="1:73" x14ac:dyDescent="0.25">
      <c r="A125" s="1095"/>
      <c r="B125" s="1095"/>
      <c r="C125" s="1119">
        <v>3</v>
      </c>
      <c r="D125" s="1099" t="str">
        <f t="shared" ref="D125:G125" ca="1" si="56">OFFSET(D$76,MATCH($C125,$N$101:$N$107,0)*3-2,0)</f>
        <v>Total Capital Investment = $405,434K</v>
      </c>
      <c r="E125" s="1112">
        <f t="shared" ca="1" si="56"/>
        <v>1.7237253260295189</v>
      </c>
      <c r="F125" s="1112">
        <f t="shared" ca="1" si="56"/>
        <v>0</v>
      </c>
      <c r="G125" s="1112">
        <f t="shared" ca="1" si="56"/>
        <v>1.3064851074045458E-3</v>
      </c>
      <c r="H125" s="1112"/>
      <c r="I125" s="1112"/>
      <c r="J125" s="1112"/>
      <c r="K125" s="1112"/>
      <c r="L125" s="1112"/>
      <c r="M125" s="1112"/>
      <c r="N125" s="1112"/>
      <c r="O125" s="1112"/>
      <c r="P125" s="1112"/>
      <c r="Q125" s="1112"/>
      <c r="R125" s="1112"/>
      <c r="S125" s="1112"/>
      <c r="T125" s="1095"/>
      <c r="U125" s="1095"/>
      <c r="V125" s="1095"/>
      <c r="W125" s="1095"/>
      <c r="X125" s="1095"/>
      <c r="Y125" s="1095"/>
      <c r="Z125" s="1095"/>
      <c r="AA125" s="1095"/>
      <c r="AB125" s="1095"/>
      <c r="AC125" s="1095"/>
      <c r="AD125" s="1095"/>
      <c r="AE125" s="1095"/>
      <c r="AF125" s="1095"/>
      <c r="AG125" s="1095"/>
      <c r="AH125" s="1095"/>
      <c r="AI125" s="1095"/>
      <c r="AJ125" s="1095"/>
      <c r="AK125" s="1095"/>
      <c r="AL125" s="1095"/>
      <c r="AM125" s="1095"/>
      <c r="AN125" s="1095"/>
      <c r="AO125" s="1095"/>
      <c r="AP125" s="1095"/>
      <c r="AQ125" s="1095"/>
      <c r="AR125" s="1095"/>
      <c r="AS125" s="1095"/>
      <c r="AT125" s="1095"/>
      <c r="AU125" s="1095"/>
      <c r="AV125" s="1095"/>
      <c r="AW125" s="1095"/>
      <c r="AX125" s="1095"/>
      <c r="AY125" s="1095"/>
      <c r="AZ125" s="1095"/>
      <c r="BA125" s="1095"/>
      <c r="BB125" s="1095"/>
      <c r="BC125" s="1095"/>
      <c r="BD125" s="1095"/>
      <c r="BE125" s="1095"/>
      <c r="BF125" s="1095"/>
      <c r="BG125" s="1095"/>
      <c r="BH125" s="1095"/>
      <c r="BI125" s="1095"/>
      <c r="BJ125" s="1095"/>
      <c r="BK125" s="1095"/>
      <c r="BL125" s="1095"/>
      <c r="BM125" s="1095"/>
      <c r="BN125" s="1095"/>
      <c r="BO125" s="1095"/>
      <c r="BP125" s="1095"/>
      <c r="BQ125" s="1095"/>
      <c r="BR125" s="1095"/>
      <c r="BS125" s="1095"/>
      <c r="BT125" s="1095"/>
      <c r="BU125" s="1095"/>
    </row>
    <row r="126" spans="1:73" x14ac:dyDescent="0.25">
      <c r="A126" s="1095"/>
      <c r="B126" s="1095"/>
      <c r="C126" s="1119"/>
      <c r="D126" s="1099"/>
      <c r="E126" s="1112"/>
      <c r="F126" s="1112"/>
      <c r="G126" s="1112"/>
      <c r="H126" s="1112">
        <f t="shared" ref="H126:S126" ca="1" si="57">OFFSET(H$76,MATCH($C125,$N$101:$N$107,0)*3-2,0)</f>
        <v>0.12016474410352905</v>
      </c>
      <c r="I126" s="1112">
        <f t="shared" ca="1" si="57"/>
        <v>0.12749490878546157</v>
      </c>
      <c r="J126" s="1112">
        <f t="shared" ca="1" si="57"/>
        <v>1.8343102399162137E-2</v>
      </c>
      <c r="K126" s="1112">
        <f t="shared" ca="1" si="57"/>
        <v>8.987958215351487E-4</v>
      </c>
      <c r="L126" s="1112">
        <f t="shared" ca="1" si="57"/>
        <v>1.3029380900424345E-3</v>
      </c>
      <c r="M126" s="1112">
        <f t="shared" ca="1" si="57"/>
        <v>0.10447555846334336</v>
      </c>
      <c r="N126" s="1112">
        <f t="shared" ca="1" si="57"/>
        <v>1.0310552346010684</v>
      </c>
      <c r="O126" s="1112">
        <f t="shared" ca="1" si="57"/>
        <v>0</v>
      </c>
      <c r="P126" s="1112">
        <f t="shared" ca="1" si="57"/>
        <v>0.20920159808505334</v>
      </c>
      <c r="Q126" s="1112">
        <f t="shared" ca="1" si="57"/>
        <v>7.8940068183168066E-2</v>
      </c>
      <c r="R126" s="1112">
        <f t="shared" ca="1" si="57"/>
        <v>2.9608694636888335E-2</v>
      </c>
      <c r="S126" s="1112">
        <f t="shared" ca="1" si="57"/>
        <v>3.546167967669558E-3</v>
      </c>
      <c r="T126" s="1095"/>
      <c r="U126" s="1095"/>
      <c r="V126" s="1095"/>
      <c r="W126" s="1095"/>
      <c r="X126" s="1095"/>
      <c r="Y126" s="1095"/>
      <c r="Z126" s="1095"/>
      <c r="AA126" s="1095"/>
      <c r="AB126" s="1095"/>
      <c r="AC126" s="1095"/>
      <c r="AD126" s="1095"/>
      <c r="AE126" s="1095"/>
      <c r="AF126" s="1095"/>
      <c r="AG126" s="1095"/>
      <c r="AH126" s="1095"/>
      <c r="AI126" s="1095"/>
      <c r="AJ126" s="1095"/>
      <c r="AK126" s="1095"/>
      <c r="AL126" s="1095"/>
      <c r="AM126" s="1095"/>
      <c r="AN126" s="1095"/>
      <c r="AO126" s="1095"/>
      <c r="AP126" s="1095"/>
      <c r="AQ126" s="1095"/>
      <c r="AR126" s="1095"/>
      <c r="AS126" s="1095"/>
      <c r="AT126" s="1095"/>
      <c r="AU126" s="1095"/>
      <c r="AV126" s="1095"/>
      <c r="AW126" s="1095"/>
      <c r="AX126" s="1095"/>
      <c r="AY126" s="1095"/>
      <c r="AZ126" s="1095"/>
      <c r="BA126" s="1095"/>
      <c r="BB126" s="1095"/>
      <c r="BC126" s="1095"/>
      <c r="BD126" s="1095"/>
      <c r="BE126" s="1095"/>
      <c r="BF126" s="1095"/>
      <c r="BG126" s="1095"/>
      <c r="BH126" s="1095"/>
      <c r="BI126" s="1095"/>
      <c r="BJ126" s="1095"/>
      <c r="BK126" s="1095"/>
      <c r="BL126" s="1095"/>
      <c r="BM126" s="1095"/>
      <c r="BN126" s="1095"/>
      <c r="BO126" s="1095"/>
      <c r="BP126" s="1095"/>
      <c r="BQ126" s="1095"/>
      <c r="BR126" s="1095"/>
      <c r="BS126" s="1095"/>
      <c r="BT126" s="1095"/>
      <c r="BU126" s="1095"/>
    </row>
    <row r="127" spans="1:73" x14ac:dyDescent="0.25">
      <c r="A127" s="1095"/>
      <c r="B127" s="1095"/>
      <c r="C127" s="1119">
        <v>3</v>
      </c>
      <c r="D127" s="1099" t="str">
        <f t="shared" ref="D127:G127" ca="1" si="58">OFFSET(D$76,MATCH($C127,$N$101:$N$107,0)*3,0)</f>
        <v>Total Capital Investment = $448,111K</v>
      </c>
      <c r="E127" s="1112">
        <f t="shared" ca="1" si="58"/>
        <v>1.7523172575972081</v>
      </c>
      <c r="F127" s="1112">
        <f t="shared" ca="1" si="58"/>
        <v>0</v>
      </c>
      <c r="G127" s="1112">
        <f t="shared" ca="1" si="58"/>
        <v>1.444009855552393E-3</v>
      </c>
      <c r="H127" s="1112"/>
      <c r="I127" s="1112"/>
      <c r="J127" s="1112"/>
      <c r="K127" s="1112"/>
      <c r="L127" s="1112"/>
      <c r="M127" s="1112"/>
      <c r="N127" s="1112"/>
      <c r="O127" s="1112"/>
      <c r="P127" s="1112"/>
      <c r="Q127" s="1112"/>
      <c r="R127" s="1112"/>
      <c r="S127" s="1112"/>
      <c r="T127" s="1095"/>
      <c r="U127" s="1095"/>
      <c r="V127" s="1095"/>
      <c r="W127" s="1095"/>
      <c r="X127" s="1095"/>
      <c r="Y127" s="1095"/>
      <c r="Z127" s="1095"/>
      <c r="AA127" s="1095"/>
      <c r="AB127" s="1095"/>
      <c r="AC127" s="1095"/>
      <c r="AD127" s="1095"/>
      <c r="AE127" s="1095"/>
      <c r="AF127" s="1095"/>
      <c r="AG127" s="1095"/>
      <c r="AH127" s="1095"/>
      <c r="AI127" s="1095"/>
      <c r="AJ127" s="1095"/>
      <c r="AK127" s="1095"/>
      <c r="AL127" s="1095"/>
      <c r="AM127" s="1095"/>
      <c r="AN127" s="1095"/>
      <c r="AO127" s="1095"/>
      <c r="AP127" s="1095"/>
      <c r="AQ127" s="1095"/>
      <c r="AR127" s="1095"/>
      <c r="AS127" s="1095"/>
      <c r="AT127" s="1095"/>
      <c r="AU127" s="1095"/>
      <c r="AV127" s="1095"/>
      <c r="AW127" s="1095"/>
      <c r="AX127" s="1095"/>
      <c r="AY127" s="1095"/>
      <c r="AZ127" s="1095"/>
      <c r="BA127" s="1095"/>
      <c r="BB127" s="1095"/>
      <c r="BC127" s="1095"/>
      <c r="BD127" s="1095"/>
      <c r="BE127" s="1095"/>
      <c r="BF127" s="1095"/>
      <c r="BG127" s="1095"/>
      <c r="BH127" s="1095"/>
      <c r="BI127" s="1095"/>
      <c r="BJ127" s="1095"/>
      <c r="BK127" s="1095"/>
      <c r="BL127" s="1095"/>
      <c r="BM127" s="1095"/>
      <c r="BN127" s="1095"/>
      <c r="BO127" s="1095"/>
      <c r="BP127" s="1095"/>
      <c r="BQ127" s="1095"/>
      <c r="BR127" s="1095"/>
      <c r="BS127" s="1095"/>
      <c r="BT127" s="1095"/>
      <c r="BU127" s="1095"/>
    </row>
    <row r="128" spans="1:73" x14ac:dyDescent="0.25">
      <c r="A128" s="1095"/>
      <c r="B128" s="1095"/>
      <c r="C128" s="1119"/>
      <c r="D128" s="1099"/>
      <c r="E128" s="1112"/>
      <c r="F128" s="1112"/>
      <c r="G128" s="1112"/>
      <c r="H128" s="1112">
        <f t="shared" ref="H128:S128" ca="1" si="59">OFFSET(H$76,MATCH($C127,$N$101:$N$107,0)*3,0)</f>
        <v>0.13284809897309938</v>
      </c>
      <c r="I128" s="1112">
        <f t="shared" ca="1" si="59"/>
        <v>0.12749490878546157</v>
      </c>
      <c r="J128" s="1112">
        <f t="shared" ca="1" si="59"/>
        <v>1.8438453280459802E-2</v>
      </c>
      <c r="K128" s="1112">
        <f t="shared" ca="1" si="59"/>
        <v>8.987958215351487E-4</v>
      </c>
      <c r="L128" s="1112">
        <f t="shared" ca="1" si="59"/>
        <v>1.4404628381902815E-3</v>
      </c>
      <c r="M128" s="1112">
        <f t="shared" ca="1" si="59"/>
        <v>0.11146257739929009</v>
      </c>
      <c r="N128" s="1112">
        <f t="shared" ca="1" si="59"/>
        <v>1.0310552346010684</v>
      </c>
      <c r="O128" s="1112">
        <f t="shared" ca="1" si="59"/>
        <v>0</v>
      </c>
      <c r="P128" s="1112">
        <f t="shared" ca="1" si="59"/>
        <v>0.20920159808505334</v>
      </c>
      <c r="Q128" s="1112">
        <f t="shared" ca="1" si="59"/>
        <v>8.7272170129247886E-2</v>
      </c>
      <c r="R128" s="1112">
        <f t="shared" ca="1" si="59"/>
        <v>2.9728502542246252E-2</v>
      </c>
      <c r="S128" s="1112">
        <f t="shared" ca="1" si="59"/>
        <v>3.9204649971069545E-3</v>
      </c>
      <c r="T128" s="1095"/>
      <c r="U128" s="1095"/>
      <c r="V128" s="1095"/>
      <c r="W128" s="1095"/>
      <c r="X128" s="1095"/>
      <c r="Y128" s="1095"/>
      <c r="Z128" s="1095"/>
      <c r="AA128" s="1095"/>
      <c r="AB128" s="1095"/>
      <c r="AC128" s="1095"/>
      <c r="AD128" s="1095"/>
      <c r="AE128" s="1095"/>
      <c r="AF128" s="1095"/>
      <c r="AG128" s="1095"/>
      <c r="AH128" s="1095"/>
      <c r="AI128" s="1095"/>
      <c r="AJ128" s="1095"/>
      <c r="AK128" s="1095"/>
      <c r="AL128" s="1095"/>
      <c r="AM128" s="1095"/>
      <c r="AN128" s="1095"/>
      <c r="AO128" s="1095"/>
      <c r="AP128" s="1095"/>
      <c r="AQ128" s="1095"/>
      <c r="AR128" s="1095"/>
      <c r="AS128" s="1095"/>
      <c r="AT128" s="1095"/>
      <c r="AU128" s="1095"/>
      <c r="AV128" s="1095"/>
      <c r="AW128" s="1095"/>
      <c r="AX128" s="1095"/>
      <c r="AY128" s="1095"/>
      <c r="AZ128" s="1095"/>
      <c r="BA128" s="1095"/>
      <c r="BB128" s="1095"/>
      <c r="BC128" s="1095"/>
      <c r="BD128" s="1095"/>
      <c r="BE128" s="1095"/>
      <c r="BF128" s="1095"/>
      <c r="BG128" s="1095"/>
      <c r="BH128" s="1095"/>
      <c r="BI128" s="1095"/>
      <c r="BJ128" s="1095"/>
      <c r="BK128" s="1095"/>
      <c r="BL128" s="1095"/>
      <c r="BM128" s="1095"/>
      <c r="BN128" s="1095"/>
      <c r="BO128" s="1095"/>
      <c r="BP128" s="1095"/>
      <c r="BQ128" s="1095"/>
      <c r="BR128" s="1095"/>
      <c r="BS128" s="1095"/>
      <c r="BT128" s="1095"/>
      <c r="BU128" s="1095"/>
    </row>
    <row r="129" spans="1:73" x14ac:dyDescent="0.25">
      <c r="A129" s="1095"/>
      <c r="B129" s="1095"/>
      <c r="C129" s="1119"/>
      <c r="D129" s="1099"/>
      <c r="E129" s="1112"/>
      <c r="F129" s="1112"/>
      <c r="G129" s="1112"/>
      <c r="H129" s="1112"/>
      <c r="I129" s="1112"/>
      <c r="J129" s="1112"/>
      <c r="K129" s="1112"/>
      <c r="L129" s="1112"/>
      <c r="M129" s="1112"/>
      <c r="N129" s="1112"/>
      <c r="O129" s="1112"/>
      <c r="P129" s="1112"/>
      <c r="Q129" s="1112"/>
      <c r="R129" s="1112"/>
      <c r="S129" s="1112"/>
      <c r="T129" s="1095"/>
      <c r="U129" s="1095"/>
      <c r="V129" s="1095"/>
      <c r="W129" s="1095"/>
      <c r="X129" s="1095"/>
      <c r="Y129" s="1095"/>
      <c r="Z129" s="1095"/>
      <c r="AA129" s="1095"/>
      <c r="AB129" s="1095"/>
      <c r="AC129" s="1095"/>
      <c r="AD129" s="1095"/>
      <c r="AE129" s="1095"/>
      <c r="AF129" s="1095"/>
      <c r="AG129" s="1095"/>
      <c r="AH129" s="1095"/>
      <c r="AI129" s="1095"/>
      <c r="AJ129" s="1095"/>
      <c r="AK129" s="1095"/>
      <c r="AL129" s="1095"/>
      <c r="AM129" s="1095"/>
      <c r="AN129" s="1095"/>
      <c r="AO129" s="1095"/>
      <c r="AP129" s="1095"/>
      <c r="AQ129" s="1095"/>
      <c r="AR129" s="1095"/>
      <c r="AS129" s="1095"/>
      <c r="AT129" s="1095"/>
      <c r="AU129" s="1095"/>
      <c r="AV129" s="1095"/>
      <c r="AW129" s="1095"/>
      <c r="AX129" s="1095"/>
      <c r="AY129" s="1095"/>
      <c r="AZ129" s="1095"/>
      <c r="BA129" s="1095"/>
      <c r="BB129" s="1095"/>
      <c r="BC129" s="1095"/>
      <c r="BD129" s="1095"/>
      <c r="BE129" s="1095"/>
      <c r="BF129" s="1095"/>
      <c r="BG129" s="1095"/>
      <c r="BH129" s="1095"/>
      <c r="BI129" s="1095"/>
      <c r="BJ129" s="1095"/>
      <c r="BK129" s="1095"/>
      <c r="BL129" s="1095"/>
      <c r="BM129" s="1095"/>
      <c r="BN129" s="1095"/>
      <c r="BO129" s="1095"/>
      <c r="BP129" s="1095"/>
      <c r="BQ129" s="1095"/>
      <c r="BR129" s="1095"/>
      <c r="BS129" s="1095"/>
      <c r="BT129" s="1095"/>
      <c r="BU129" s="1095"/>
    </row>
    <row r="130" spans="1:73" x14ac:dyDescent="0.25">
      <c r="A130" s="1095"/>
      <c r="B130" s="1095"/>
      <c r="C130" s="1119">
        <v>4</v>
      </c>
      <c r="D130" s="1099" t="str">
        <f t="shared" ref="D130:G130" ca="1" si="60">OFFSET(D$76,MATCH($C130,$N$101:$N$107,0)*3-2,0)</f>
        <v>Plant Design Capacity (kg of H2/day) = 398,356</v>
      </c>
      <c r="E130" s="1112">
        <f t="shared" ca="1" si="60"/>
        <v>1.7245796722694182</v>
      </c>
      <c r="F130" s="1112">
        <f t="shared" ca="1" si="60"/>
        <v>0</v>
      </c>
      <c r="G130" s="1112">
        <f t="shared" ca="1" si="60"/>
        <v>1.3362584836579534E-3</v>
      </c>
      <c r="H130" s="1112"/>
      <c r="I130" s="1112"/>
      <c r="J130" s="1112"/>
      <c r="K130" s="1112"/>
      <c r="L130" s="1112"/>
      <c r="M130" s="1112"/>
      <c r="N130" s="1112"/>
      <c r="O130" s="1112"/>
      <c r="P130" s="1112"/>
      <c r="Q130" s="1112"/>
      <c r="R130" s="1112"/>
      <c r="S130" s="1112"/>
      <c r="T130" s="1095"/>
      <c r="U130" s="1095"/>
      <c r="V130" s="1095"/>
      <c r="W130" s="1095"/>
      <c r="X130" s="1095"/>
      <c r="Y130" s="1095"/>
      <c r="Z130" s="1095"/>
      <c r="AA130" s="1095"/>
      <c r="AB130" s="1095"/>
      <c r="AC130" s="1095"/>
      <c r="AD130" s="1095"/>
      <c r="AE130" s="1095"/>
      <c r="AF130" s="1095"/>
      <c r="AG130" s="1095"/>
      <c r="AH130" s="1095"/>
      <c r="AI130" s="1095"/>
      <c r="AJ130" s="1095"/>
      <c r="AK130" s="1095"/>
      <c r="AL130" s="1095"/>
      <c r="AM130" s="1095"/>
      <c r="AN130" s="1095"/>
      <c r="AO130" s="1095"/>
      <c r="AP130" s="1095"/>
      <c r="AQ130" s="1095"/>
      <c r="AR130" s="1095"/>
      <c r="AS130" s="1095"/>
      <c r="AT130" s="1095"/>
      <c r="AU130" s="1095"/>
      <c r="AV130" s="1095"/>
      <c r="AW130" s="1095"/>
      <c r="AX130" s="1095"/>
      <c r="AY130" s="1095"/>
      <c r="AZ130" s="1095"/>
      <c r="BA130" s="1095"/>
      <c r="BB130" s="1095"/>
      <c r="BC130" s="1095"/>
      <c r="BD130" s="1095"/>
      <c r="BE130" s="1095"/>
      <c r="BF130" s="1095"/>
      <c r="BG130" s="1095"/>
      <c r="BH130" s="1095"/>
      <c r="BI130" s="1095"/>
      <c r="BJ130" s="1095"/>
      <c r="BK130" s="1095"/>
      <c r="BL130" s="1095"/>
      <c r="BM130" s="1095"/>
      <c r="BN130" s="1095"/>
      <c r="BO130" s="1095"/>
      <c r="BP130" s="1095"/>
      <c r="BQ130" s="1095"/>
      <c r="BR130" s="1095"/>
      <c r="BS130" s="1095"/>
      <c r="BT130" s="1095"/>
      <c r="BU130" s="1095"/>
    </row>
    <row r="131" spans="1:73" x14ac:dyDescent="0.25">
      <c r="A131" s="1095"/>
      <c r="B131" s="1095"/>
      <c r="C131" s="1119"/>
      <c r="D131" s="1099"/>
      <c r="E131" s="1112"/>
      <c r="F131" s="1112"/>
      <c r="G131" s="1112"/>
      <c r="H131" s="1112">
        <f t="shared" ref="H131:S131" ca="1" si="61">OFFSET(H$76,MATCH($C130,$N$101:$N$107,0)*3-2,0)</f>
        <v>0.12291694528994847</v>
      </c>
      <c r="I131" s="1112">
        <f t="shared" ca="1" si="61"/>
        <v>0.12527727760354695</v>
      </c>
      <c r="J131" s="1112">
        <f t="shared" ca="1" si="61"/>
        <v>1.8327286308433242E-2</v>
      </c>
      <c r="K131" s="1112">
        <f t="shared" ca="1" si="61"/>
        <v>8.814249204278056E-4</v>
      </c>
      <c r="L131" s="1112">
        <f t="shared" ca="1" si="61"/>
        <v>1.3327800190041958E-3</v>
      </c>
      <c r="M131" s="1112">
        <f t="shared" ca="1" si="61"/>
        <v>0.1047621560798369</v>
      </c>
      <c r="N131" s="1112">
        <f t="shared" ca="1" si="61"/>
        <v>1.0310552346010686</v>
      </c>
      <c r="O131" s="1112">
        <f t="shared" ca="1" si="61"/>
        <v>0</v>
      </c>
      <c r="P131" s="1112">
        <f t="shared" ca="1" si="61"/>
        <v>0.2077560460540612</v>
      </c>
      <c r="Q131" s="1112">
        <f t="shared" ca="1" si="61"/>
        <v>8.0748077270447166E-2</v>
      </c>
      <c r="R131" s="1112">
        <f t="shared" ca="1" si="61"/>
        <v>2.9231314745386219E-2</v>
      </c>
      <c r="S131" s="1112">
        <f t="shared" ca="1" si="61"/>
        <v>3.627387860914235E-3</v>
      </c>
      <c r="T131" s="1095"/>
      <c r="U131" s="1095"/>
      <c r="V131" s="1095"/>
      <c r="W131" s="1095"/>
      <c r="X131" s="1095"/>
      <c r="Y131" s="1095"/>
      <c r="Z131" s="1095"/>
      <c r="AA131" s="1095"/>
      <c r="AB131" s="1095"/>
      <c r="AC131" s="1095"/>
      <c r="AD131" s="1095"/>
      <c r="AE131" s="1095"/>
      <c r="AF131" s="1095"/>
      <c r="AG131" s="1095"/>
      <c r="AH131" s="1095"/>
      <c r="AI131" s="1095"/>
      <c r="AJ131" s="1095"/>
      <c r="AK131" s="1095"/>
      <c r="AL131" s="1095"/>
      <c r="AM131" s="1095"/>
      <c r="AN131" s="1095"/>
      <c r="AO131" s="1095"/>
      <c r="AP131" s="1095"/>
      <c r="AQ131" s="1095"/>
      <c r="AR131" s="1095"/>
      <c r="AS131" s="1095"/>
      <c r="AT131" s="1095"/>
      <c r="AU131" s="1095"/>
      <c r="AV131" s="1095"/>
      <c r="AW131" s="1095"/>
      <c r="AX131" s="1095"/>
      <c r="AY131" s="1095"/>
      <c r="AZ131" s="1095"/>
      <c r="BA131" s="1095"/>
      <c r="BB131" s="1095"/>
      <c r="BC131" s="1095"/>
      <c r="BD131" s="1095"/>
      <c r="BE131" s="1095"/>
      <c r="BF131" s="1095"/>
      <c r="BG131" s="1095"/>
      <c r="BH131" s="1095"/>
      <c r="BI131" s="1095"/>
      <c r="BJ131" s="1095"/>
      <c r="BK131" s="1095"/>
      <c r="BL131" s="1095"/>
      <c r="BM131" s="1095"/>
      <c r="BN131" s="1095"/>
      <c r="BO131" s="1095"/>
      <c r="BP131" s="1095"/>
      <c r="BQ131" s="1095"/>
      <c r="BR131" s="1095"/>
      <c r="BS131" s="1095"/>
      <c r="BT131" s="1095"/>
      <c r="BU131" s="1095"/>
    </row>
    <row r="132" spans="1:73" x14ac:dyDescent="0.25">
      <c r="A132" s="1095"/>
      <c r="B132" s="1095"/>
      <c r="C132" s="1119">
        <v>4</v>
      </c>
      <c r="D132" s="1099" t="str">
        <f t="shared" ref="D132:G132" ca="1" si="62">OFFSET(D$76,MATCH($C132,$N$101:$N$107,0)*3,0)</f>
        <v>Plant Design Capacity (kg of H2/day) = 360,418</v>
      </c>
      <c r="E132" s="1112">
        <f t="shared" ca="1" si="62"/>
        <v>1.7525081099268174</v>
      </c>
      <c r="F132" s="1112">
        <f t="shared" ca="1" si="62"/>
        <v>0</v>
      </c>
      <c r="G132" s="1112">
        <f t="shared" ca="1" si="62"/>
        <v>1.4173543561985015E-3</v>
      </c>
      <c r="H132" s="1112"/>
      <c r="I132" s="1112"/>
      <c r="J132" s="1112"/>
      <c r="K132" s="1112"/>
      <c r="L132" s="1112"/>
      <c r="M132" s="1112"/>
      <c r="N132" s="1112"/>
      <c r="O132" s="1112"/>
      <c r="P132" s="1112"/>
      <c r="Q132" s="1112"/>
      <c r="R132" s="1112"/>
      <c r="S132" s="1112"/>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095"/>
      <c r="BN132" s="1095"/>
      <c r="BO132" s="1095"/>
      <c r="BP132" s="1095"/>
      <c r="BQ132" s="1095"/>
      <c r="BR132" s="1095"/>
      <c r="BS132" s="1095"/>
      <c r="BT132" s="1095"/>
      <c r="BU132" s="1095"/>
    </row>
    <row r="133" spans="1:73" x14ac:dyDescent="0.25">
      <c r="A133" s="1095"/>
      <c r="B133" s="1095"/>
      <c r="C133" s="1119"/>
      <c r="D133" s="1099"/>
      <c r="E133" s="1112"/>
      <c r="F133" s="1112"/>
      <c r="G133" s="1112"/>
      <c r="H133" s="1112">
        <f t="shared" ref="H133:S133" ca="1" si="63">OFFSET(H$76,MATCH($C132,$N$101:$N$107,0)*3,0)</f>
        <v>0.13038298828560441</v>
      </c>
      <c r="I133" s="1112">
        <f t="shared" ca="1" si="63"/>
        <v>0.12985869888553245</v>
      </c>
      <c r="J133" s="1112">
        <f t="shared" ca="1" si="63"/>
        <v>1.8459440218349516E-2</v>
      </c>
      <c r="K133" s="1112">
        <f t="shared" ca="1" si="63"/>
        <v>9.1742718017115757E-4</v>
      </c>
      <c r="L133" s="1112">
        <f t="shared" ca="1" si="63"/>
        <v>1.4137338118450781E-3</v>
      </c>
      <c r="M133" s="1112">
        <f t="shared" ca="1" si="63"/>
        <v>0.11144343751203706</v>
      </c>
      <c r="N133" s="1112">
        <f t="shared" ca="1" si="63"/>
        <v>1.0310552346010688</v>
      </c>
      <c r="O133" s="1112">
        <f t="shared" ca="1" si="63"/>
        <v>0</v>
      </c>
      <c r="P133" s="1112">
        <f t="shared" ca="1" si="63"/>
        <v>0.21075859614177697</v>
      </c>
      <c r="Q133" s="1112">
        <f t="shared" ca="1" si="63"/>
        <v>8.5652759983604373E-2</v>
      </c>
      <c r="R133" s="1112">
        <f t="shared" ca="1" si="63"/>
        <v>3.0135430264407664E-2</v>
      </c>
      <c r="S133" s="1112">
        <f t="shared" ca="1" si="63"/>
        <v>3.8477173986164771E-3</v>
      </c>
      <c r="T133" s="1095"/>
      <c r="U133" s="1095"/>
      <c r="V133" s="1095"/>
      <c r="W133" s="1095"/>
      <c r="X133" s="1095"/>
      <c r="Y133" s="1095"/>
      <c r="Z133" s="1095"/>
      <c r="AA133" s="1095"/>
      <c r="AB133" s="1095"/>
      <c r="AC133" s="1095"/>
      <c r="AD133" s="1095"/>
      <c r="AE133" s="1095"/>
      <c r="AF133" s="1095"/>
      <c r="AG133" s="1095"/>
      <c r="AH133" s="1095"/>
      <c r="AI133" s="1095"/>
      <c r="AJ133" s="1095"/>
      <c r="AK133" s="1095"/>
      <c r="AL133" s="1095"/>
      <c r="AM133" s="1095"/>
      <c r="AN133" s="1095"/>
      <c r="AO133" s="1095"/>
      <c r="AP133" s="1095"/>
      <c r="AQ133" s="1095"/>
      <c r="AR133" s="1095"/>
      <c r="AS133" s="1095"/>
      <c r="AT133" s="1095"/>
      <c r="AU133" s="1095"/>
      <c r="AV133" s="1095"/>
      <c r="AW133" s="1095"/>
      <c r="AX133" s="1095"/>
      <c r="AY133" s="1095"/>
      <c r="AZ133" s="1095"/>
      <c r="BA133" s="1095"/>
      <c r="BB133" s="1095"/>
      <c r="BC133" s="1095"/>
      <c r="BD133" s="1095"/>
      <c r="BE133" s="1095"/>
      <c r="BF133" s="1095"/>
      <c r="BG133" s="1095"/>
      <c r="BH133" s="1095"/>
      <c r="BI133" s="1095"/>
      <c r="BJ133" s="1095"/>
      <c r="BK133" s="1095"/>
      <c r="BL133" s="1095"/>
      <c r="BM133" s="1095"/>
      <c r="BN133" s="1095"/>
      <c r="BO133" s="1095"/>
      <c r="BP133" s="1095"/>
      <c r="BQ133" s="1095"/>
      <c r="BR133" s="1095"/>
      <c r="BS133" s="1095"/>
      <c r="BT133" s="1095"/>
      <c r="BU133" s="1095"/>
    </row>
    <row r="134" spans="1:73" x14ac:dyDescent="0.25">
      <c r="A134" s="1095"/>
      <c r="B134" s="1095"/>
      <c r="C134" s="1119"/>
      <c r="D134" s="1099"/>
      <c r="E134" s="1112"/>
      <c r="F134" s="1112"/>
      <c r="G134" s="1112"/>
      <c r="H134" s="1112"/>
      <c r="I134" s="1112"/>
      <c r="J134" s="1112"/>
      <c r="K134" s="1112"/>
      <c r="L134" s="1112"/>
      <c r="M134" s="1112"/>
      <c r="N134" s="1112"/>
      <c r="O134" s="1112"/>
      <c r="P134" s="1112"/>
      <c r="Q134" s="1112"/>
      <c r="R134" s="1112"/>
      <c r="S134" s="1112"/>
      <c r="T134" s="1095"/>
      <c r="U134" s="1095"/>
      <c r="V134" s="1095"/>
      <c r="W134" s="1095"/>
      <c r="X134" s="1095"/>
      <c r="Y134" s="1095"/>
      <c r="Z134" s="1095"/>
      <c r="AA134" s="1095"/>
      <c r="AB134" s="1095"/>
      <c r="AC134" s="1095"/>
      <c r="AD134" s="1095"/>
      <c r="AE134" s="1095"/>
      <c r="AF134" s="1095"/>
      <c r="AG134" s="1095"/>
      <c r="AH134" s="1095"/>
      <c r="AI134" s="1095"/>
      <c r="AJ134" s="1095"/>
      <c r="AK134" s="1095"/>
      <c r="AL134" s="1095"/>
      <c r="AM134" s="1095"/>
      <c r="AN134" s="1095"/>
      <c r="AO134" s="1095"/>
      <c r="AP134" s="1095"/>
      <c r="AQ134" s="1095"/>
      <c r="AR134" s="1095"/>
      <c r="AS134" s="1095"/>
      <c r="AT134" s="1095"/>
      <c r="AU134" s="1095"/>
      <c r="AV134" s="1095"/>
      <c r="AW134" s="1095"/>
      <c r="AX134" s="1095"/>
      <c r="AY134" s="1095"/>
      <c r="AZ134" s="1095"/>
      <c r="BA134" s="1095"/>
      <c r="BB134" s="1095"/>
      <c r="BC134" s="1095"/>
      <c r="BD134" s="1095"/>
      <c r="BE134" s="1095"/>
      <c r="BF134" s="1095"/>
      <c r="BG134" s="1095"/>
      <c r="BH134" s="1095"/>
      <c r="BI134" s="1095"/>
      <c r="BJ134" s="1095"/>
      <c r="BK134" s="1095"/>
      <c r="BL134" s="1095"/>
      <c r="BM134" s="1095"/>
      <c r="BN134" s="1095"/>
      <c r="BO134" s="1095"/>
      <c r="BP134" s="1095"/>
      <c r="BQ134" s="1095"/>
      <c r="BR134" s="1095"/>
      <c r="BS134" s="1095"/>
      <c r="BT134" s="1095"/>
      <c r="BU134" s="1095"/>
    </row>
    <row r="135" spans="1:73" x14ac:dyDescent="0.25">
      <c r="A135" s="1095"/>
      <c r="B135" s="1095"/>
      <c r="C135" s="1119">
        <v>5</v>
      </c>
      <c r="D135" s="1099" t="str">
        <f t="shared" ref="D135:G135" ca="1" si="64">OFFSET(D$76,MATCH($C135,$N$101:$N$107,0)*3-2,0)</f>
        <v>After-tax Real IRR = 8%</v>
      </c>
      <c r="E135" s="1112">
        <f t="shared" ca="1" si="64"/>
        <v>1.7294862297438136</v>
      </c>
      <c r="F135" s="1112">
        <f t="shared" ca="1" si="64"/>
        <v>0</v>
      </c>
      <c r="G135" s="1112">
        <f t="shared" ca="1" si="64"/>
        <v>1.5249139575490536E-3</v>
      </c>
      <c r="H135" s="1112"/>
      <c r="I135" s="1112"/>
      <c r="J135" s="1112"/>
      <c r="K135" s="1112"/>
      <c r="L135" s="1112"/>
      <c r="M135" s="1112"/>
      <c r="N135" s="1112"/>
      <c r="O135" s="1112"/>
      <c r="P135" s="1112"/>
      <c r="Q135" s="1112"/>
      <c r="R135" s="1112"/>
      <c r="S135" s="1112"/>
      <c r="T135" s="1095"/>
      <c r="U135" s="1095"/>
      <c r="V135" s="1095"/>
      <c r="W135" s="1095"/>
      <c r="X135" s="1095"/>
      <c r="Y135" s="1095"/>
      <c r="Z135" s="1095"/>
      <c r="AA135" s="1095"/>
      <c r="AB135" s="1095"/>
      <c r="AC135" s="1095"/>
      <c r="AD135" s="1095"/>
      <c r="AE135" s="1095"/>
      <c r="AF135" s="1095"/>
      <c r="AG135" s="1095"/>
      <c r="AH135" s="1095"/>
      <c r="AI135" s="1095"/>
      <c r="AJ135" s="1095"/>
      <c r="AK135" s="1095"/>
      <c r="AL135" s="1095"/>
      <c r="AM135" s="1095"/>
      <c r="AN135" s="1095"/>
      <c r="AO135" s="1095"/>
      <c r="AP135" s="1095"/>
      <c r="AQ135" s="1095"/>
      <c r="AR135" s="1095"/>
      <c r="AS135" s="1095"/>
      <c r="AT135" s="1095"/>
      <c r="AU135" s="1095"/>
      <c r="AV135" s="1095"/>
      <c r="AW135" s="1095"/>
      <c r="AX135" s="1095"/>
      <c r="AY135" s="1095"/>
      <c r="AZ135" s="1095"/>
      <c r="BA135" s="1095"/>
      <c r="BB135" s="1095"/>
      <c r="BC135" s="1095"/>
      <c r="BD135" s="1095"/>
      <c r="BE135" s="1095"/>
      <c r="BF135" s="1095"/>
      <c r="BG135" s="1095"/>
      <c r="BH135" s="1095"/>
      <c r="BI135" s="1095"/>
      <c r="BJ135" s="1095"/>
      <c r="BK135" s="1095"/>
      <c r="BL135" s="1095"/>
      <c r="BM135" s="1095"/>
      <c r="BN135" s="1095"/>
      <c r="BO135" s="1095"/>
      <c r="BP135" s="1095"/>
      <c r="BQ135" s="1095"/>
      <c r="BR135" s="1095"/>
      <c r="BS135" s="1095"/>
      <c r="BT135" s="1095"/>
      <c r="BU135" s="1095"/>
    </row>
    <row r="136" spans="1:73" x14ac:dyDescent="0.25">
      <c r="A136" s="1095"/>
      <c r="B136" s="1095"/>
      <c r="C136" s="1119"/>
      <c r="D136" s="1099"/>
      <c r="E136" s="1112"/>
      <c r="F136" s="1112"/>
      <c r="G136" s="1112"/>
      <c r="H136" s="1112">
        <f t="shared" ref="H136:S136" ca="1" si="65">OFFSET(H$76,MATCH($C135,$N$101:$N$107,0)*3-2,0)</f>
        <v>0.12057337854587141</v>
      </c>
      <c r="I136" s="1112">
        <f t="shared" ca="1" si="65"/>
        <v>0.12729412824163427</v>
      </c>
      <c r="J136" s="1112">
        <f t="shared" ca="1" si="65"/>
        <v>1.7719232066163829E-2</v>
      </c>
      <c r="K136" s="1112">
        <f t="shared" ca="1" si="65"/>
        <v>8.5279214492318825E-4</v>
      </c>
      <c r="L136" s="1112">
        <f t="shared" ca="1" si="65"/>
        <v>1.5209809226909659E-3</v>
      </c>
      <c r="M136" s="1112">
        <f t="shared" ca="1" si="65"/>
        <v>0.10788236942826793</v>
      </c>
      <c r="N136" s="1112">
        <f t="shared" ca="1" si="65"/>
        <v>1.0325789537263574</v>
      </c>
      <c r="O136" s="1112">
        <f t="shared" ca="1" si="65"/>
        <v>0</v>
      </c>
      <c r="P136" s="1112">
        <f t="shared" ca="1" si="65"/>
        <v>0.20905891705123886</v>
      </c>
      <c r="Q136" s="1112">
        <f t="shared" ca="1" si="65"/>
        <v>8.1646371512934537E-2</v>
      </c>
      <c r="R136" s="1112">
        <f t="shared" ca="1" si="65"/>
        <v>2.7744411380940946E-2</v>
      </c>
      <c r="S136" s="1112">
        <f t="shared" ca="1" si="65"/>
        <v>4.1396086803383953E-3</v>
      </c>
      <c r="T136" s="1095"/>
      <c r="U136" s="1095"/>
      <c r="V136" s="1095"/>
      <c r="W136" s="1095"/>
      <c r="X136" s="1095"/>
      <c r="Y136" s="1095"/>
      <c r="Z136" s="1095"/>
      <c r="AA136" s="1095"/>
      <c r="AB136" s="1095"/>
      <c r="AC136" s="1095"/>
      <c r="AD136" s="1095"/>
      <c r="AE136" s="1095"/>
      <c r="AF136" s="1095"/>
      <c r="AG136" s="1095"/>
      <c r="AH136" s="1095"/>
      <c r="AI136" s="1095"/>
      <c r="AJ136" s="1095"/>
      <c r="AK136" s="1095"/>
      <c r="AL136" s="1095"/>
      <c r="AM136" s="1095"/>
      <c r="AN136" s="1095"/>
      <c r="AO136" s="1095"/>
      <c r="AP136" s="1095"/>
      <c r="AQ136" s="1095"/>
      <c r="AR136" s="1095"/>
      <c r="AS136" s="1095"/>
      <c r="AT136" s="1095"/>
      <c r="AU136" s="1095"/>
      <c r="AV136" s="1095"/>
      <c r="AW136" s="1095"/>
      <c r="AX136" s="1095"/>
      <c r="AY136" s="1095"/>
      <c r="AZ136" s="1095"/>
      <c r="BA136" s="1095"/>
      <c r="BB136" s="1095"/>
      <c r="BC136" s="1095"/>
      <c r="BD136" s="1095"/>
      <c r="BE136" s="1095"/>
      <c r="BF136" s="1095"/>
      <c r="BG136" s="1095"/>
      <c r="BH136" s="1095"/>
      <c r="BI136" s="1095"/>
      <c r="BJ136" s="1095"/>
      <c r="BK136" s="1095"/>
      <c r="BL136" s="1095"/>
      <c r="BM136" s="1095"/>
      <c r="BN136" s="1095"/>
      <c r="BO136" s="1095"/>
      <c r="BP136" s="1095"/>
      <c r="BQ136" s="1095"/>
      <c r="BR136" s="1095"/>
      <c r="BS136" s="1095"/>
      <c r="BT136" s="1095"/>
      <c r="BU136" s="1095"/>
    </row>
    <row r="137" spans="1:73" x14ac:dyDescent="0.25">
      <c r="A137" s="1095"/>
      <c r="B137" s="1095"/>
      <c r="C137" s="1119">
        <v>5</v>
      </c>
      <c r="D137" s="1099" t="str">
        <f t="shared" ref="D137:G137" ca="1" si="66">OFFSET(D$76,MATCH($C137,$N$101:$N$107,0)*3,0)</f>
        <v>After-tax Real IRR = 8%</v>
      </c>
      <c r="E137" s="1112">
        <f t="shared" ca="1" si="66"/>
        <v>1.7468427694552915</v>
      </c>
      <c r="F137" s="1112">
        <f t="shared" ca="1" si="66"/>
        <v>0</v>
      </c>
      <c r="G137" s="1112">
        <f t="shared" ca="1" si="66"/>
        <v>1.2392724667617989E-3</v>
      </c>
      <c r="H137" s="1112"/>
      <c r="I137" s="1112"/>
      <c r="J137" s="1112"/>
      <c r="K137" s="1112"/>
      <c r="L137" s="1112"/>
      <c r="M137" s="1112"/>
      <c r="N137" s="1112"/>
      <c r="O137" s="1112"/>
      <c r="P137" s="1112"/>
      <c r="Q137" s="1112"/>
      <c r="R137" s="1112"/>
      <c r="S137" s="1112"/>
      <c r="T137" s="1095"/>
      <c r="U137" s="1095"/>
      <c r="V137" s="1095"/>
      <c r="W137" s="1095"/>
      <c r="X137" s="1095"/>
      <c r="Y137" s="1095"/>
      <c r="Z137" s="1095"/>
      <c r="AA137" s="1095"/>
      <c r="AB137" s="1095"/>
      <c r="AC137" s="1095"/>
      <c r="AD137" s="1095"/>
      <c r="AE137" s="1095"/>
      <c r="AF137" s="1095"/>
      <c r="AG137" s="1095"/>
      <c r="AH137" s="1095"/>
      <c r="AI137" s="1095"/>
      <c r="AJ137" s="1095"/>
      <c r="AK137" s="1095"/>
      <c r="AL137" s="1095"/>
      <c r="AM137" s="1095"/>
      <c r="AN137" s="1095"/>
      <c r="AO137" s="1095"/>
      <c r="AP137" s="1095"/>
      <c r="AQ137" s="1095"/>
      <c r="AR137" s="1095"/>
      <c r="AS137" s="1095"/>
      <c r="AT137" s="1095"/>
      <c r="AU137" s="1095"/>
      <c r="AV137" s="1095"/>
      <c r="AW137" s="1095"/>
      <c r="AX137" s="1095"/>
      <c r="AY137" s="1095"/>
      <c r="AZ137" s="1095"/>
      <c r="BA137" s="1095"/>
      <c r="BB137" s="1095"/>
      <c r="BC137" s="1095"/>
      <c r="BD137" s="1095"/>
      <c r="BE137" s="1095"/>
      <c r="BF137" s="1095"/>
      <c r="BG137" s="1095"/>
      <c r="BH137" s="1095"/>
      <c r="BI137" s="1095"/>
      <c r="BJ137" s="1095"/>
      <c r="BK137" s="1095"/>
      <c r="BL137" s="1095"/>
      <c r="BM137" s="1095"/>
      <c r="BN137" s="1095"/>
      <c r="BO137" s="1095"/>
      <c r="BP137" s="1095"/>
      <c r="BQ137" s="1095"/>
      <c r="BR137" s="1095"/>
      <c r="BS137" s="1095"/>
      <c r="BT137" s="1095"/>
      <c r="BU137" s="1095"/>
    </row>
    <row r="138" spans="1:73" x14ac:dyDescent="0.25">
      <c r="A138" s="1095"/>
      <c r="B138" s="1095"/>
      <c r="C138" s="1119"/>
      <c r="D138" s="1099"/>
      <c r="E138" s="1112"/>
      <c r="F138" s="1112"/>
      <c r="G138" s="1112"/>
      <c r="H138" s="1112">
        <f t="shared" ref="H138:S138" ca="1" si="67">OFFSET(H$76,MATCH($C137,$N$101:$N$107,0)*3,0)</f>
        <v>0.13255105889529045</v>
      </c>
      <c r="I138" s="1112">
        <f t="shared" ca="1" si="67"/>
        <v>0.12769726967023903</v>
      </c>
      <c r="J138" s="1112">
        <f t="shared" ca="1" si="67"/>
        <v>1.9056903769543058E-2</v>
      </c>
      <c r="K138" s="1112">
        <f t="shared" ca="1" si="67"/>
        <v>9.4597380273744066E-4</v>
      </c>
      <c r="L138" s="1112">
        <f t="shared" ca="1" si="67"/>
        <v>1.2360761540870322E-3</v>
      </c>
      <c r="M138" s="1112">
        <f t="shared" ca="1" si="67"/>
        <v>0.10805644883711274</v>
      </c>
      <c r="N138" s="1112">
        <f t="shared" ca="1" si="67"/>
        <v>1.0296058938063528</v>
      </c>
      <c r="O138" s="1112">
        <f t="shared" ca="1" si="67"/>
        <v>0</v>
      </c>
      <c r="P138" s="1112">
        <f t="shared" ca="1" si="67"/>
        <v>0.20934615597520159</v>
      </c>
      <c r="Q138" s="1112">
        <f t="shared" ca="1" si="67"/>
        <v>8.4576198622847265E-2</v>
      </c>
      <c r="R138" s="1112">
        <f t="shared" ca="1" si="67"/>
        <v>3.1645870569609873E-2</v>
      </c>
      <c r="S138" s="1112">
        <f t="shared" ca="1" si="67"/>
        <v>3.3641918190302181E-3</v>
      </c>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095"/>
      <c r="BN138" s="1095"/>
      <c r="BO138" s="1095"/>
      <c r="BP138" s="1095"/>
      <c r="BQ138" s="1095"/>
      <c r="BR138" s="1095"/>
      <c r="BS138" s="1095"/>
      <c r="BT138" s="1095"/>
      <c r="BU138" s="1095"/>
    </row>
    <row r="139" spans="1:73" x14ac:dyDescent="0.25">
      <c r="A139" s="1095"/>
      <c r="B139" s="1095"/>
      <c r="C139" s="1119"/>
      <c r="D139" s="1099"/>
      <c r="E139" s="1112"/>
      <c r="F139" s="1112"/>
      <c r="G139" s="1112"/>
      <c r="H139" s="1112"/>
      <c r="I139" s="1112"/>
      <c r="J139" s="1112"/>
      <c r="K139" s="1112"/>
      <c r="L139" s="1112"/>
      <c r="M139" s="1112"/>
      <c r="N139" s="1112"/>
      <c r="O139" s="1112"/>
      <c r="P139" s="1112"/>
      <c r="Q139" s="1112"/>
      <c r="R139" s="1112"/>
      <c r="S139" s="1112"/>
      <c r="T139" s="1095"/>
      <c r="U139" s="1095"/>
      <c r="V139" s="1095"/>
      <c r="W139" s="1095"/>
      <c r="X139" s="1095"/>
      <c r="Y139" s="1095"/>
      <c r="Z139" s="1095"/>
      <c r="AA139" s="1095"/>
      <c r="AB139" s="1095"/>
      <c r="AC139" s="1095"/>
      <c r="AD139" s="1095"/>
      <c r="AE139" s="1095"/>
      <c r="AF139" s="1095"/>
      <c r="AG139" s="1095"/>
      <c r="AH139" s="1095"/>
      <c r="AI139" s="1095"/>
      <c r="AJ139" s="1095"/>
      <c r="AK139" s="1095"/>
      <c r="AL139" s="1095"/>
      <c r="AM139" s="1095"/>
      <c r="AN139" s="1095"/>
      <c r="AO139" s="1095"/>
      <c r="AP139" s="1095"/>
      <c r="AQ139" s="1095"/>
      <c r="AR139" s="1095"/>
      <c r="AS139" s="1095"/>
      <c r="AT139" s="1095"/>
      <c r="AU139" s="1095"/>
      <c r="AV139" s="1095"/>
      <c r="AW139" s="1095"/>
      <c r="AX139" s="1095"/>
      <c r="AY139" s="1095"/>
      <c r="AZ139" s="1095"/>
      <c r="BA139" s="1095"/>
      <c r="BB139" s="1095"/>
      <c r="BC139" s="1095"/>
      <c r="BD139" s="1095"/>
      <c r="BE139" s="1095"/>
      <c r="BF139" s="1095"/>
      <c r="BG139" s="1095"/>
      <c r="BH139" s="1095"/>
      <c r="BI139" s="1095"/>
      <c r="BJ139" s="1095"/>
      <c r="BK139" s="1095"/>
      <c r="BL139" s="1095"/>
      <c r="BM139" s="1095"/>
      <c r="BN139" s="1095"/>
      <c r="BO139" s="1095"/>
      <c r="BP139" s="1095"/>
      <c r="BQ139" s="1095"/>
      <c r="BR139" s="1095"/>
      <c r="BS139" s="1095"/>
      <c r="BT139" s="1095"/>
      <c r="BU139" s="1095"/>
    </row>
    <row r="140" spans="1:73" x14ac:dyDescent="0.25">
      <c r="A140" s="1095"/>
      <c r="B140" s="1095"/>
      <c r="C140" s="1119">
        <v>6</v>
      </c>
      <c r="D140" s="1099" t="str">
        <f t="shared" ref="D140:G140" ca="1" si="68">OFFSET(D$76,MATCH($C140,$N$101:$N$107,0)*3-2,0)</f>
        <v>Total Fixed Operating Cost = $12,530K</v>
      </c>
      <c r="E140" s="1112">
        <f t="shared" ca="1" si="68"/>
        <v>1.732523630300667</v>
      </c>
      <c r="F140" s="1112">
        <f t="shared" ca="1" si="68"/>
        <v>0</v>
      </c>
      <c r="G140" s="1112">
        <f t="shared" ca="1" si="68"/>
        <v>1.3752474814784693E-3</v>
      </c>
      <c r="H140" s="1112"/>
      <c r="I140" s="1112"/>
      <c r="J140" s="1112"/>
      <c r="K140" s="1112"/>
      <c r="L140" s="1112"/>
      <c r="M140" s="1112"/>
      <c r="N140" s="1112"/>
      <c r="O140" s="1112"/>
      <c r="P140" s="1112"/>
      <c r="Q140" s="1112"/>
      <c r="R140" s="1112"/>
      <c r="S140" s="1112"/>
      <c r="T140" s="1095"/>
      <c r="U140" s="1095"/>
      <c r="V140" s="1095"/>
      <c r="W140" s="1095"/>
      <c r="X140" s="1095"/>
      <c r="Y140" s="1095"/>
      <c r="Z140" s="1095"/>
      <c r="AA140" s="1095"/>
      <c r="AB140" s="1095"/>
      <c r="AC140" s="1095"/>
      <c r="AD140" s="1095"/>
      <c r="AE140" s="1095"/>
      <c r="AF140" s="1095"/>
      <c r="AG140" s="1095"/>
      <c r="AH140" s="1095"/>
      <c r="AI140" s="1095"/>
      <c r="AJ140" s="1095"/>
      <c r="AK140" s="1095"/>
      <c r="AL140" s="1095"/>
      <c r="AM140" s="1095"/>
      <c r="AN140" s="1095"/>
      <c r="AO140" s="1095"/>
      <c r="AP140" s="1095"/>
      <c r="AQ140" s="1095"/>
      <c r="AR140" s="1095"/>
      <c r="AS140" s="1095"/>
      <c r="AT140" s="1095"/>
      <c r="AU140" s="1095"/>
      <c r="AV140" s="1095"/>
      <c r="AW140" s="1095"/>
      <c r="AX140" s="1095"/>
      <c r="AY140" s="1095"/>
      <c r="AZ140" s="1095"/>
      <c r="BA140" s="1095"/>
      <c r="BB140" s="1095"/>
      <c r="BC140" s="1095"/>
      <c r="BD140" s="1095"/>
      <c r="BE140" s="1095"/>
      <c r="BF140" s="1095"/>
      <c r="BG140" s="1095"/>
      <c r="BH140" s="1095"/>
      <c r="BI140" s="1095"/>
      <c r="BJ140" s="1095"/>
      <c r="BK140" s="1095"/>
      <c r="BL140" s="1095"/>
      <c r="BM140" s="1095"/>
      <c r="BN140" s="1095"/>
      <c r="BO140" s="1095"/>
      <c r="BP140" s="1095"/>
      <c r="BQ140" s="1095"/>
      <c r="BR140" s="1095"/>
      <c r="BS140" s="1095"/>
      <c r="BT140" s="1095"/>
      <c r="BU140" s="1095"/>
    </row>
    <row r="141" spans="1:73" x14ac:dyDescent="0.25">
      <c r="A141" s="1095"/>
      <c r="B141" s="1095"/>
      <c r="C141" s="1119"/>
      <c r="D141" s="1099"/>
      <c r="E141" s="1112"/>
      <c r="F141" s="1112"/>
      <c r="G141" s="1112"/>
      <c r="H141" s="1112">
        <f t="shared" ref="H141:S141" ca="1" si="69">OFFSET(H$76,MATCH($C140,$N$101:$N$107,0)*3-2,0)</f>
        <v>0.12650642153831423</v>
      </c>
      <c r="I141" s="1112">
        <f t="shared" ca="1" si="69"/>
        <v>0.12749490878546157</v>
      </c>
      <c r="J141" s="1112">
        <f t="shared" ca="1" si="69"/>
        <v>1.8317105892772363E-2</v>
      </c>
      <c r="K141" s="1112">
        <f t="shared" ca="1" si="69"/>
        <v>8.987958215351487E-4</v>
      </c>
      <c r="L141" s="1112">
        <f t="shared" ca="1" si="69"/>
        <v>1.371700464116358E-3</v>
      </c>
      <c r="M141" s="1112">
        <f t="shared" ca="1" si="69"/>
        <v>0.10257061453475087</v>
      </c>
      <c r="N141" s="1112">
        <f t="shared" ca="1" si="69"/>
        <v>1.0310552346010684</v>
      </c>
      <c r="O141" s="1112">
        <f t="shared" ca="1" si="69"/>
        <v>0</v>
      </c>
      <c r="P141" s="1112">
        <f t="shared" ca="1" si="69"/>
        <v>0.20920159808505334</v>
      </c>
      <c r="Q141" s="1112">
        <f t="shared" ca="1" si="69"/>
        <v>8.3106119156208025E-2</v>
      </c>
      <c r="R141" s="1112">
        <f t="shared" ca="1" si="69"/>
        <v>2.9643062420475388E-2</v>
      </c>
      <c r="S141" s="1112">
        <f t="shared" ca="1" si="69"/>
        <v>3.7333164823882565E-3</v>
      </c>
      <c r="T141" s="1095"/>
      <c r="U141" s="1095"/>
      <c r="V141" s="1095"/>
      <c r="W141" s="1095"/>
      <c r="X141" s="1095"/>
      <c r="Y141" s="1095"/>
      <c r="Z141" s="1095"/>
      <c r="AA141" s="1095"/>
      <c r="AB141" s="1095"/>
      <c r="AC141" s="1095"/>
      <c r="AD141" s="1095"/>
      <c r="AE141" s="1095"/>
      <c r="AF141" s="1095"/>
      <c r="AG141" s="1095"/>
      <c r="AH141" s="1095"/>
      <c r="AI141" s="1095"/>
      <c r="AJ141" s="1095"/>
      <c r="AK141" s="1095"/>
      <c r="AL141" s="1095"/>
      <c r="AM141" s="1095"/>
      <c r="AN141" s="1095"/>
      <c r="AO141" s="1095"/>
      <c r="AP141" s="1095"/>
      <c r="AQ141" s="1095"/>
      <c r="AR141" s="1095"/>
      <c r="AS141" s="1095"/>
      <c r="AT141" s="1095"/>
      <c r="AU141" s="1095"/>
      <c r="AV141" s="1095"/>
      <c r="AW141" s="1095"/>
      <c r="AX141" s="1095"/>
      <c r="AY141" s="1095"/>
      <c r="AZ141" s="1095"/>
      <c r="BA141" s="1095"/>
      <c r="BB141" s="1095"/>
      <c r="BC141" s="1095"/>
      <c r="BD141" s="1095"/>
      <c r="BE141" s="1095"/>
      <c r="BF141" s="1095"/>
      <c r="BG141" s="1095"/>
      <c r="BH141" s="1095"/>
      <c r="BI141" s="1095"/>
      <c r="BJ141" s="1095"/>
      <c r="BK141" s="1095"/>
      <c r="BL141" s="1095"/>
      <c r="BM141" s="1095"/>
      <c r="BN141" s="1095"/>
      <c r="BO141" s="1095"/>
      <c r="BP141" s="1095"/>
      <c r="BQ141" s="1095"/>
      <c r="BR141" s="1095"/>
      <c r="BS141" s="1095"/>
      <c r="BT141" s="1095"/>
      <c r="BU141" s="1095"/>
    </row>
    <row r="142" spans="1:73" x14ac:dyDescent="0.25">
      <c r="A142" s="1095"/>
      <c r="B142" s="1095"/>
      <c r="C142" s="1119">
        <v>6</v>
      </c>
      <c r="D142" s="1099" t="str">
        <f t="shared" ref="D142:G142" ca="1" si="70">OFFSET(D$76,MATCH($C142,$N$101:$N$107,0)*3,0)</f>
        <v>Total Fixed Operating Cost = $13,849K</v>
      </c>
      <c r="E142" s="1112">
        <f t="shared" ca="1" si="70"/>
        <v>1.7435189533260593</v>
      </c>
      <c r="F142" s="1112">
        <f t="shared" ca="1" si="70"/>
        <v>0</v>
      </c>
      <c r="G142" s="1112">
        <f t="shared" ca="1" si="70"/>
        <v>1.3752474814784693E-3</v>
      </c>
      <c r="H142" s="1112"/>
      <c r="I142" s="1112"/>
      <c r="J142" s="1112"/>
      <c r="K142" s="1112"/>
      <c r="L142" s="1112"/>
      <c r="M142" s="1112"/>
      <c r="N142" s="1112"/>
      <c r="O142" s="1112"/>
      <c r="P142" s="1112"/>
      <c r="Q142" s="1112"/>
      <c r="R142" s="1112"/>
      <c r="S142" s="1112"/>
      <c r="T142" s="1095"/>
      <c r="U142" s="1095"/>
      <c r="V142" s="1095"/>
      <c r="W142" s="1095"/>
      <c r="X142" s="1095"/>
      <c r="Y142" s="1095"/>
      <c r="Z142" s="1095"/>
      <c r="AA142" s="1095"/>
      <c r="AB142" s="1095"/>
      <c r="AC142" s="1095"/>
      <c r="AD142" s="1095"/>
      <c r="AE142" s="1095"/>
      <c r="AF142" s="1095"/>
      <c r="AG142" s="1095"/>
      <c r="AH142" s="1095"/>
      <c r="AI142" s="1095"/>
      <c r="AJ142" s="1095"/>
      <c r="AK142" s="1095"/>
      <c r="AL142" s="1095"/>
      <c r="AM142" s="1095"/>
      <c r="AN142" s="1095"/>
      <c r="AO142" s="1095"/>
      <c r="AP142" s="1095"/>
      <c r="AQ142" s="1095"/>
      <c r="AR142" s="1095"/>
      <c r="AS142" s="1095"/>
      <c r="AT142" s="1095"/>
      <c r="AU142" s="1095"/>
      <c r="AV142" s="1095"/>
      <c r="AW142" s="1095"/>
      <c r="AX142" s="1095"/>
      <c r="AY142" s="1095"/>
      <c r="AZ142" s="1095"/>
      <c r="BA142" s="1095"/>
      <c r="BB142" s="1095"/>
      <c r="BC142" s="1095"/>
      <c r="BD142" s="1095"/>
      <c r="BE142" s="1095"/>
      <c r="BF142" s="1095"/>
      <c r="BG142" s="1095"/>
      <c r="BH142" s="1095"/>
      <c r="BI142" s="1095"/>
      <c r="BJ142" s="1095"/>
      <c r="BK142" s="1095"/>
      <c r="BL142" s="1095"/>
      <c r="BM142" s="1095"/>
      <c r="BN142" s="1095"/>
      <c r="BO142" s="1095"/>
      <c r="BP142" s="1095"/>
      <c r="BQ142" s="1095"/>
      <c r="BR142" s="1095"/>
      <c r="BS142" s="1095"/>
      <c r="BT142" s="1095"/>
      <c r="BU142" s="1095"/>
    </row>
    <row r="143" spans="1:73" x14ac:dyDescent="0.25">
      <c r="A143" s="1095"/>
      <c r="B143" s="1095"/>
      <c r="C143" s="1119"/>
      <c r="D143" s="1099"/>
      <c r="E143" s="1112"/>
      <c r="F143" s="1112"/>
      <c r="G143" s="1112"/>
      <c r="H143" s="1112">
        <f t="shared" ref="H143:S143" ca="1" si="71">OFFSET(H$76,MATCH($C142,$N$101:$N$107,0)*3,0)</f>
        <v>0.12650642153831423</v>
      </c>
      <c r="I143" s="1112">
        <f t="shared" ca="1" si="71"/>
        <v>0.12749490878546157</v>
      </c>
      <c r="J143" s="1112">
        <f t="shared" ca="1" si="71"/>
        <v>1.8464449786849579E-2</v>
      </c>
      <c r="K143" s="1112">
        <f t="shared" ca="1" si="71"/>
        <v>8.987958215351487E-4</v>
      </c>
      <c r="L143" s="1112">
        <f t="shared" ca="1" si="71"/>
        <v>1.371700464116358E-3</v>
      </c>
      <c r="M143" s="1112">
        <f t="shared" ca="1" si="71"/>
        <v>0.11336752132788257</v>
      </c>
      <c r="N143" s="1112">
        <f t="shared" ca="1" si="71"/>
        <v>1.0310552346010684</v>
      </c>
      <c r="O143" s="1112">
        <f t="shared" ca="1" si="71"/>
        <v>0</v>
      </c>
      <c r="P143" s="1112">
        <f t="shared" ca="1" si="71"/>
        <v>0.20920159808505334</v>
      </c>
      <c r="Q143" s="1112">
        <f t="shared" ca="1" si="71"/>
        <v>8.3106119156208025E-2</v>
      </c>
      <c r="R143" s="1112">
        <f t="shared" ca="1" si="71"/>
        <v>2.9694134758659247E-2</v>
      </c>
      <c r="S143" s="1112">
        <f t="shared" ca="1" si="71"/>
        <v>3.7333164823882565E-3</v>
      </c>
      <c r="T143" s="1095"/>
      <c r="U143" s="1095"/>
      <c r="V143" s="1095"/>
      <c r="W143" s="1095"/>
      <c r="X143" s="1095"/>
      <c r="Y143" s="1095"/>
      <c r="Z143" s="1095"/>
      <c r="AA143" s="1095"/>
      <c r="AB143" s="1095"/>
      <c r="AC143" s="1095"/>
      <c r="AD143" s="1095"/>
      <c r="AE143" s="1095"/>
      <c r="AF143" s="1095"/>
      <c r="AG143" s="1095"/>
      <c r="AH143" s="1095"/>
      <c r="AI143" s="1095"/>
      <c r="AJ143" s="1095"/>
      <c r="AK143" s="1095"/>
      <c r="AL143" s="1095"/>
      <c r="AM143" s="1095"/>
      <c r="AN143" s="1095"/>
      <c r="AO143" s="1095"/>
      <c r="AP143" s="1095"/>
      <c r="AQ143" s="1095"/>
      <c r="AR143" s="1095"/>
      <c r="AS143" s="1095"/>
      <c r="AT143" s="1095"/>
      <c r="AU143" s="1095"/>
      <c r="AV143" s="1095"/>
      <c r="AW143" s="1095"/>
      <c r="AX143" s="1095"/>
      <c r="AY143" s="1095"/>
      <c r="AZ143" s="1095"/>
      <c r="BA143" s="1095"/>
      <c r="BB143" s="1095"/>
      <c r="BC143" s="1095"/>
      <c r="BD143" s="1095"/>
      <c r="BE143" s="1095"/>
      <c r="BF143" s="1095"/>
      <c r="BG143" s="1095"/>
      <c r="BH143" s="1095"/>
      <c r="BI143" s="1095"/>
      <c r="BJ143" s="1095"/>
      <c r="BK143" s="1095"/>
      <c r="BL143" s="1095"/>
      <c r="BM143" s="1095"/>
      <c r="BN143" s="1095"/>
      <c r="BO143" s="1095"/>
      <c r="BP143" s="1095"/>
      <c r="BQ143" s="1095"/>
      <c r="BR143" s="1095"/>
      <c r="BS143" s="1095"/>
      <c r="BT143" s="1095"/>
      <c r="BU143" s="1095"/>
    </row>
    <row r="144" spans="1:73" x14ac:dyDescent="0.25">
      <c r="A144" s="1095"/>
      <c r="B144" s="1095"/>
      <c r="C144" s="1119"/>
      <c r="D144" s="1099"/>
      <c r="E144" s="1112"/>
      <c r="F144" s="1112"/>
      <c r="G144" s="1112"/>
      <c r="H144" s="1112"/>
      <c r="I144" s="1112"/>
      <c r="J144" s="1112"/>
      <c r="K144" s="1112"/>
      <c r="L144" s="1112"/>
      <c r="M144" s="1112"/>
      <c r="N144" s="1112"/>
      <c r="O144" s="1112"/>
      <c r="P144" s="1112"/>
      <c r="Q144" s="1112"/>
      <c r="R144" s="1112"/>
      <c r="S144" s="1112"/>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095"/>
      <c r="BN144" s="1095"/>
      <c r="BO144" s="1095"/>
      <c r="BP144" s="1095"/>
      <c r="BQ144" s="1095"/>
      <c r="BR144" s="1095"/>
      <c r="BS144" s="1095"/>
      <c r="BT144" s="1095"/>
      <c r="BU144" s="1095"/>
    </row>
    <row r="145" spans="1:73" x14ac:dyDescent="0.25">
      <c r="A145" s="1095"/>
      <c r="B145" s="1095"/>
      <c r="C145" s="1119">
        <v>7</v>
      </c>
      <c r="D145" s="1099" t="str">
        <f t="shared" ref="D145:G145" ca="1" si="72">OFFSET(D$76,MATCH($C145,$N$101:$N$107,0)*3-2,0)</f>
        <v>Utilities Consumption (% of baseline) = 95%</v>
      </c>
      <c r="E145" s="1112">
        <f t="shared" ca="1" si="72"/>
        <v>1.735558000703026</v>
      </c>
      <c r="F145" s="1112">
        <f t="shared" ca="1" si="72"/>
        <v>0</v>
      </c>
      <c r="G145" s="1112">
        <f t="shared" ca="1" si="72"/>
        <v>1.3752474814784693E-3</v>
      </c>
      <c r="H145" s="1112"/>
      <c r="I145" s="1112"/>
      <c r="J145" s="1112"/>
      <c r="K145" s="1112"/>
      <c r="L145" s="1112"/>
      <c r="M145" s="1112"/>
      <c r="N145" s="1112"/>
      <c r="O145" s="1112"/>
      <c r="P145" s="1112"/>
      <c r="Q145" s="1112"/>
      <c r="R145" s="1112"/>
      <c r="S145" s="1112"/>
      <c r="T145" s="1095"/>
      <c r="U145" s="1095"/>
      <c r="V145" s="1095"/>
      <c r="W145" s="1095"/>
      <c r="X145" s="1095"/>
      <c r="Y145" s="1095"/>
      <c r="Z145" s="1095"/>
      <c r="AA145" s="1095"/>
      <c r="AB145" s="1095"/>
      <c r="AC145" s="1095"/>
      <c r="AD145" s="1095"/>
      <c r="AE145" s="1095"/>
      <c r="AF145" s="1095"/>
      <c r="AG145" s="1095"/>
      <c r="AH145" s="1095"/>
      <c r="AI145" s="1095"/>
      <c r="AJ145" s="1095"/>
      <c r="AK145" s="1095"/>
      <c r="AL145" s="1095"/>
      <c r="AM145" s="1095"/>
      <c r="AN145" s="1095"/>
      <c r="AO145" s="1095"/>
      <c r="AP145" s="1095"/>
      <c r="AQ145" s="1095"/>
      <c r="AR145" s="1095"/>
      <c r="AS145" s="1095"/>
      <c r="AT145" s="1095"/>
      <c r="AU145" s="1095"/>
      <c r="AV145" s="1095"/>
      <c r="AW145" s="1095"/>
      <c r="AX145" s="1095"/>
      <c r="AY145" s="1095"/>
      <c r="AZ145" s="1095"/>
      <c r="BA145" s="1095"/>
      <c r="BB145" s="1095"/>
      <c r="BC145" s="1095"/>
      <c r="BD145" s="1095"/>
      <c r="BE145" s="1095"/>
      <c r="BF145" s="1095"/>
      <c r="BG145" s="1095"/>
      <c r="BH145" s="1095"/>
      <c r="BI145" s="1095"/>
      <c r="BJ145" s="1095"/>
      <c r="BK145" s="1095"/>
      <c r="BL145" s="1095"/>
      <c r="BM145" s="1095"/>
      <c r="BN145" s="1095"/>
      <c r="BO145" s="1095"/>
      <c r="BP145" s="1095"/>
      <c r="BQ145" s="1095"/>
      <c r="BR145" s="1095"/>
      <c r="BS145" s="1095"/>
      <c r="BT145" s="1095"/>
      <c r="BU145" s="1095"/>
    </row>
    <row r="146" spans="1:73" x14ac:dyDescent="0.25">
      <c r="A146" s="1095"/>
      <c r="B146" s="1095"/>
      <c r="C146" s="1119"/>
      <c r="D146" s="1099"/>
      <c r="E146" s="1112"/>
      <c r="F146" s="1112"/>
      <c r="G146" s="1112"/>
      <c r="H146" s="1112">
        <f t="shared" ref="H146:S146" ca="1" si="73">OFFSET(H$76,MATCH($C145,$N$101:$N$107,0)*3-2,0)</f>
        <v>0.12650642153831423</v>
      </c>
      <c r="I146" s="1112">
        <f t="shared" ca="1" si="73"/>
        <v>0.12749490878546157</v>
      </c>
      <c r="J146" s="1112">
        <f t="shared" ca="1" si="73"/>
        <v>1.8357771197497531E-2</v>
      </c>
      <c r="K146" s="1112">
        <f t="shared" ca="1" si="73"/>
        <v>8.987958215351487E-4</v>
      </c>
      <c r="L146" s="1112">
        <f t="shared" ca="1" si="73"/>
        <v>1.371700464116358E-3</v>
      </c>
      <c r="M146" s="1112">
        <f t="shared" ca="1" si="73"/>
        <v>0.10796906793131673</v>
      </c>
      <c r="N146" s="1112">
        <f t="shared" ca="1" si="73"/>
        <v>1.0310552346010684</v>
      </c>
      <c r="O146" s="1112">
        <f t="shared" ca="1" si="73"/>
        <v>0</v>
      </c>
      <c r="P146" s="1112">
        <f t="shared" ca="1" si="73"/>
        <v>0.20678275437885416</v>
      </c>
      <c r="Q146" s="1112">
        <f t="shared" ca="1" si="73"/>
        <v>8.3106119156208025E-2</v>
      </c>
      <c r="R146" s="1112">
        <f t="shared" ca="1" si="73"/>
        <v>2.9657157827742048E-2</v>
      </c>
      <c r="S146" s="1112">
        <f t="shared" ca="1" si="73"/>
        <v>3.7333164823882565E-3</v>
      </c>
      <c r="T146" s="1095"/>
      <c r="U146" s="1095"/>
      <c r="V146" s="1095"/>
      <c r="W146" s="1095"/>
      <c r="X146" s="1095"/>
      <c r="Y146" s="1095"/>
      <c r="Z146" s="1095"/>
      <c r="AA146" s="1095"/>
      <c r="AB146" s="1095"/>
      <c r="AC146" s="1095"/>
      <c r="AD146" s="1095"/>
      <c r="AE146" s="1095"/>
      <c r="AF146" s="1095"/>
      <c r="AG146" s="1095"/>
      <c r="AH146" s="1095"/>
      <c r="AI146" s="1095"/>
      <c r="AJ146" s="1095"/>
      <c r="AK146" s="1095"/>
      <c r="AL146" s="1095"/>
      <c r="AM146" s="1095"/>
      <c r="AN146" s="1095"/>
      <c r="AO146" s="1095"/>
      <c r="AP146" s="1095"/>
      <c r="AQ146" s="1095"/>
      <c r="AR146" s="1095"/>
      <c r="AS146" s="1095"/>
      <c r="AT146" s="1095"/>
      <c r="AU146" s="1095"/>
      <c r="AV146" s="1095"/>
      <c r="AW146" s="1095"/>
      <c r="AX146" s="1095"/>
      <c r="AY146" s="1095"/>
      <c r="AZ146" s="1095"/>
      <c r="BA146" s="1095"/>
      <c r="BB146" s="1095"/>
      <c r="BC146" s="1095"/>
      <c r="BD146" s="1095"/>
      <c r="BE146" s="1095"/>
      <c r="BF146" s="1095"/>
      <c r="BG146" s="1095"/>
      <c r="BH146" s="1095"/>
      <c r="BI146" s="1095"/>
      <c r="BJ146" s="1095"/>
      <c r="BK146" s="1095"/>
      <c r="BL146" s="1095"/>
      <c r="BM146" s="1095"/>
      <c r="BN146" s="1095"/>
      <c r="BO146" s="1095"/>
      <c r="BP146" s="1095"/>
      <c r="BQ146" s="1095"/>
      <c r="BR146" s="1095"/>
      <c r="BS146" s="1095"/>
      <c r="BT146" s="1095"/>
      <c r="BU146" s="1095"/>
    </row>
    <row r="147" spans="1:73" x14ac:dyDescent="0.25">
      <c r="A147" s="1095"/>
      <c r="B147" s="1095"/>
      <c r="C147" s="1119">
        <v>7</v>
      </c>
      <c r="D147" s="1099" t="str">
        <f t="shared" ref="D147:G147" ca="1" si="74">OFFSET(D$76,MATCH($C147,$N$101:$N$107,0)*3,0)</f>
        <v>Utilities Consumption (% of baseline) = 105%</v>
      </c>
      <c r="E147" s="1112">
        <f t="shared" ca="1" si="74"/>
        <v>1.7404845829237012</v>
      </c>
      <c r="F147" s="1112">
        <f t="shared" ca="1" si="74"/>
        <v>0</v>
      </c>
      <c r="G147" s="1112">
        <f t="shared" ca="1" si="74"/>
        <v>1.3752474814784693E-3</v>
      </c>
      <c r="H147" s="1112"/>
      <c r="I147" s="1112"/>
      <c r="J147" s="1112"/>
      <c r="K147" s="1112"/>
      <c r="L147" s="1112"/>
      <c r="M147" s="1112"/>
      <c r="N147" s="1112"/>
      <c r="O147" s="1112"/>
      <c r="P147" s="1112"/>
      <c r="Q147" s="1112"/>
      <c r="R147" s="1112"/>
      <c r="S147" s="1112"/>
      <c r="T147" s="1095"/>
      <c r="U147" s="1095"/>
      <c r="V147" s="1095"/>
      <c r="W147" s="1095"/>
      <c r="X147" s="1095"/>
      <c r="Y147" s="1095"/>
      <c r="Z147" s="1095"/>
      <c r="AA147" s="1095"/>
      <c r="AB147" s="1095"/>
      <c r="AC147" s="1095"/>
      <c r="AD147" s="1095"/>
      <c r="AE147" s="1095"/>
      <c r="AF147" s="1095"/>
      <c r="AG147" s="1095"/>
      <c r="AH147" s="1095"/>
      <c r="AI147" s="1095"/>
      <c r="AJ147" s="1095"/>
      <c r="AK147" s="1095"/>
      <c r="AL147" s="1095"/>
      <c r="AM147" s="1095"/>
      <c r="AN147" s="1095"/>
      <c r="AO147" s="1095"/>
      <c r="AP147" s="1095"/>
      <c r="AQ147" s="1095"/>
      <c r="AR147" s="1095"/>
      <c r="AS147" s="1095"/>
      <c r="AT147" s="1095"/>
      <c r="AU147" s="1095"/>
      <c r="AV147" s="1095"/>
      <c r="AW147" s="1095"/>
      <c r="AX147" s="1095"/>
      <c r="AY147" s="1095"/>
      <c r="AZ147" s="1095"/>
      <c r="BA147" s="1095"/>
      <c r="BB147" s="1095"/>
      <c r="BC147" s="1095"/>
      <c r="BD147" s="1095"/>
      <c r="BE147" s="1095"/>
      <c r="BF147" s="1095"/>
      <c r="BG147" s="1095"/>
      <c r="BH147" s="1095"/>
      <c r="BI147" s="1095"/>
      <c r="BJ147" s="1095"/>
      <c r="BK147" s="1095"/>
      <c r="BL147" s="1095"/>
      <c r="BM147" s="1095"/>
      <c r="BN147" s="1095"/>
      <c r="BO147" s="1095"/>
      <c r="BP147" s="1095"/>
      <c r="BQ147" s="1095"/>
      <c r="BR147" s="1095"/>
      <c r="BS147" s="1095"/>
      <c r="BT147" s="1095"/>
      <c r="BU147" s="1095"/>
    </row>
    <row r="148" spans="1:73" x14ac:dyDescent="0.25">
      <c r="A148" s="1095"/>
      <c r="B148" s="1095"/>
      <c r="C148" s="1099"/>
      <c r="D148" s="1099"/>
      <c r="E148" s="1099"/>
      <c r="F148" s="1099"/>
      <c r="G148" s="1099"/>
      <c r="H148" s="1112">
        <f t="shared" ref="H148:S148" ca="1" si="75">OFFSET(H$76,MATCH($C147,$N$101:$N$107,0)*3,0)</f>
        <v>0.12650642153831423</v>
      </c>
      <c r="I148" s="1112">
        <f t="shared" ca="1" si="75"/>
        <v>0.12749490878546157</v>
      </c>
      <c r="J148" s="1112">
        <f t="shared" ca="1" si="75"/>
        <v>1.8423784482124388E-2</v>
      </c>
      <c r="K148" s="1112">
        <f t="shared" ca="1" si="75"/>
        <v>8.987958215351487E-4</v>
      </c>
      <c r="L148" s="1112">
        <f t="shared" ca="1" si="75"/>
        <v>1.371700464116358E-3</v>
      </c>
      <c r="M148" s="1112">
        <f t="shared" ca="1" si="75"/>
        <v>0.10796906793131673</v>
      </c>
      <c r="N148" s="1112">
        <f t="shared" ca="1" si="75"/>
        <v>1.0310552346010684</v>
      </c>
      <c r="O148" s="1112">
        <f t="shared" ca="1" si="75"/>
        <v>0</v>
      </c>
      <c r="P148" s="1112">
        <f t="shared" ca="1" si="75"/>
        <v>0.21162044179125258</v>
      </c>
      <c r="Q148" s="1112">
        <f t="shared" ca="1" si="75"/>
        <v>8.3106119156208025E-2</v>
      </c>
      <c r="R148" s="1112">
        <f t="shared" ca="1" si="75"/>
        <v>2.9680039351392584E-2</v>
      </c>
      <c r="S148" s="1112">
        <f t="shared" ca="1" si="75"/>
        <v>3.7333164823882565E-3</v>
      </c>
      <c r="T148" s="1095"/>
      <c r="U148" s="1095"/>
      <c r="V148" s="1095"/>
      <c r="W148" s="1095"/>
      <c r="X148" s="1095"/>
      <c r="Y148" s="1095"/>
      <c r="Z148" s="1095"/>
      <c r="AA148" s="1095"/>
      <c r="AB148" s="1095"/>
      <c r="AC148" s="1095"/>
      <c r="AD148" s="1095"/>
      <c r="AE148" s="1095"/>
      <c r="AF148" s="1095"/>
      <c r="AG148" s="1095"/>
      <c r="AH148" s="1095"/>
      <c r="AI148" s="1095"/>
      <c r="AJ148" s="1095"/>
      <c r="AK148" s="1095"/>
      <c r="AL148" s="1095"/>
      <c r="AM148" s="1095"/>
      <c r="AN148" s="1095"/>
      <c r="AO148" s="1095"/>
      <c r="AP148" s="1095"/>
      <c r="AQ148" s="1095"/>
      <c r="AR148" s="1095"/>
      <c r="AS148" s="1095"/>
      <c r="AT148" s="1095"/>
      <c r="AU148" s="1095"/>
      <c r="AV148" s="1095"/>
      <c r="AW148" s="1095"/>
      <c r="AX148" s="1095"/>
      <c r="AY148" s="1095"/>
      <c r="AZ148" s="1095"/>
      <c r="BA148" s="1095"/>
      <c r="BB148" s="1095"/>
      <c r="BC148" s="1095"/>
      <c r="BD148" s="1095"/>
      <c r="BE148" s="1095"/>
      <c r="BF148" s="1095"/>
      <c r="BG148" s="1095"/>
      <c r="BH148" s="1095"/>
      <c r="BI148" s="1095"/>
      <c r="BJ148" s="1095"/>
      <c r="BK148" s="1095"/>
      <c r="BL148" s="1095"/>
      <c r="BM148" s="1095"/>
      <c r="BN148" s="1095"/>
      <c r="BO148" s="1095"/>
      <c r="BP148" s="1095"/>
      <c r="BQ148" s="1095"/>
      <c r="BR148" s="1095"/>
      <c r="BS148" s="1095"/>
      <c r="BT148" s="1095"/>
      <c r="BU148" s="1095"/>
    </row>
    <row r="149" spans="1:73" x14ac:dyDescent="0.25">
      <c r="A149" s="1095"/>
      <c r="B149" s="1095"/>
      <c r="C149" s="1095"/>
      <c r="D149" s="1095"/>
      <c r="E149" s="1095"/>
      <c r="F149" s="1095"/>
      <c r="G149" s="1095"/>
      <c r="H149" s="1095"/>
      <c r="I149" s="1095"/>
      <c r="J149" s="1095"/>
      <c r="K149" s="1095"/>
      <c r="L149" s="1095"/>
      <c r="M149" s="1095"/>
      <c r="N149" s="1095"/>
      <c r="O149" s="1095"/>
      <c r="P149" s="1095"/>
      <c r="Q149" s="1095"/>
      <c r="R149" s="1095"/>
      <c r="S149" s="1095"/>
      <c r="T149" s="1095"/>
      <c r="U149" s="1095"/>
      <c r="V149" s="1095"/>
      <c r="W149" s="1095"/>
      <c r="X149" s="1095"/>
      <c r="Y149" s="1095"/>
      <c r="Z149" s="1095"/>
      <c r="AA149" s="1095"/>
      <c r="AB149" s="1095"/>
      <c r="AC149" s="1095"/>
      <c r="AD149" s="1095"/>
      <c r="AE149" s="1095"/>
      <c r="AF149" s="1095"/>
      <c r="AG149" s="1095"/>
      <c r="AH149" s="1095"/>
      <c r="AI149" s="1095"/>
      <c r="AJ149" s="1095"/>
      <c r="AK149" s="1095"/>
      <c r="AL149" s="1095"/>
      <c r="AM149" s="1095"/>
      <c r="AN149" s="1095"/>
      <c r="AO149" s="1095"/>
      <c r="AP149" s="1095"/>
      <c r="AQ149" s="1095"/>
      <c r="AR149" s="1095"/>
      <c r="AS149" s="1095"/>
      <c r="AT149" s="1095"/>
      <c r="AU149" s="1095"/>
      <c r="AV149" s="1095"/>
      <c r="AW149" s="1095"/>
      <c r="AX149" s="1095"/>
      <c r="AY149" s="1095"/>
      <c r="AZ149" s="1095"/>
      <c r="BA149" s="1095"/>
      <c r="BB149" s="1095"/>
      <c r="BC149" s="1095"/>
      <c r="BD149" s="1095"/>
      <c r="BE149" s="1095"/>
      <c r="BF149" s="1095"/>
      <c r="BG149" s="1095"/>
      <c r="BH149" s="1095"/>
      <c r="BI149" s="1095"/>
      <c r="BJ149" s="1095"/>
      <c r="BK149" s="1095"/>
      <c r="BL149" s="1095"/>
      <c r="BM149" s="1095"/>
      <c r="BN149" s="1095"/>
      <c r="BO149" s="1095"/>
      <c r="BP149" s="1095"/>
      <c r="BQ149" s="1095"/>
      <c r="BR149" s="1095"/>
      <c r="BS149" s="1095"/>
      <c r="BT149" s="1095"/>
      <c r="BU149" s="1095"/>
    </row>
    <row r="150" spans="1:73" x14ac:dyDescent="0.25">
      <c r="A150" s="1095"/>
      <c r="B150" s="1095"/>
      <c r="C150" s="1095"/>
      <c r="D150" s="1095"/>
      <c r="E150" s="1095"/>
      <c r="F150" s="1095"/>
      <c r="G150" s="1095"/>
      <c r="H150" s="1095"/>
      <c r="I150" s="1095"/>
      <c r="J150" s="1095"/>
      <c r="K150" s="1095"/>
      <c r="L150" s="1095"/>
      <c r="M150" s="1095"/>
      <c r="N150" s="1095"/>
      <c r="O150" s="1095"/>
      <c r="P150" s="1095"/>
      <c r="Q150" s="1095"/>
      <c r="R150" s="1095"/>
      <c r="S150" s="1095"/>
      <c r="T150" s="1095"/>
      <c r="U150" s="1095"/>
      <c r="V150" s="1095"/>
      <c r="W150" s="1095"/>
      <c r="X150" s="1095"/>
      <c r="Y150" s="1095"/>
      <c r="Z150" s="1095"/>
      <c r="AA150" s="1095"/>
      <c r="AB150" s="1095"/>
      <c r="AC150" s="1095"/>
      <c r="AD150" s="1095"/>
      <c r="AE150" s="1095"/>
      <c r="AF150" s="1095"/>
      <c r="AG150" s="1095"/>
      <c r="AH150" s="1095"/>
      <c r="AI150" s="1095"/>
      <c r="AJ150" s="1095"/>
      <c r="AK150" s="1095"/>
      <c r="AL150" s="1095"/>
      <c r="AM150" s="1095"/>
      <c r="AN150" s="1095"/>
      <c r="AO150" s="1095"/>
      <c r="AP150" s="1095"/>
      <c r="AQ150" s="1095"/>
      <c r="AR150" s="1095"/>
      <c r="AS150" s="1095"/>
      <c r="AT150" s="1095"/>
      <c r="AU150" s="1095"/>
      <c r="AV150" s="1095"/>
      <c r="AW150" s="1095"/>
      <c r="AX150" s="1095"/>
      <c r="AY150" s="1095"/>
      <c r="AZ150" s="1095"/>
      <c r="BA150" s="1095"/>
      <c r="BB150" s="1095"/>
      <c r="BC150" s="1095"/>
      <c r="BD150" s="1095"/>
      <c r="BE150" s="1095"/>
      <c r="BF150" s="1095"/>
      <c r="BG150" s="1095"/>
      <c r="BH150" s="1095"/>
      <c r="BI150" s="1095"/>
      <c r="BJ150" s="1095"/>
      <c r="BK150" s="1095"/>
      <c r="BL150" s="1095"/>
      <c r="BM150" s="1095"/>
      <c r="BN150" s="1095"/>
      <c r="BO150" s="1095"/>
      <c r="BP150" s="1095"/>
      <c r="BQ150" s="1095"/>
      <c r="BR150" s="1095"/>
      <c r="BS150" s="1095"/>
      <c r="BT150" s="1095"/>
      <c r="BU150" s="1095"/>
    </row>
    <row r="151" spans="1:73" x14ac:dyDescent="0.25">
      <c r="A151" s="1095"/>
      <c r="B151" s="1095"/>
      <c r="C151" s="1095"/>
      <c r="D151" s="1095"/>
      <c r="E151" s="1095"/>
      <c r="F151" s="1095"/>
      <c r="G151" s="1095"/>
      <c r="H151" s="1095"/>
      <c r="I151" s="1095"/>
      <c r="J151" s="1095"/>
      <c r="K151" s="1095"/>
      <c r="L151" s="1095"/>
      <c r="M151" s="1095"/>
      <c r="N151" s="1095"/>
      <c r="O151" s="1095"/>
      <c r="P151" s="1095"/>
      <c r="Q151" s="1095"/>
      <c r="R151" s="1095"/>
      <c r="S151" s="1095"/>
      <c r="T151" s="1095"/>
      <c r="U151" s="1095"/>
      <c r="V151" s="1095"/>
      <c r="W151" s="1095"/>
      <c r="X151" s="1095"/>
      <c r="Y151" s="1095"/>
      <c r="Z151" s="1095"/>
      <c r="AA151" s="1095"/>
      <c r="AB151" s="1095"/>
      <c r="AC151" s="1095"/>
      <c r="AD151" s="1095"/>
      <c r="AE151" s="1095"/>
      <c r="AF151" s="1095"/>
      <c r="AG151" s="1095"/>
      <c r="AH151" s="1095"/>
      <c r="AI151" s="1095"/>
      <c r="AJ151" s="1095"/>
      <c r="AK151" s="1095"/>
      <c r="AL151" s="1095"/>
      <c r="AM151" s="1095"/>
      <c r="AN151" s="1095"/>
      <c r="AO151" s="1095"/>
      <c r="AP151" s="1095"/>
      <c r="AQ151" s="1095"/>
      <c r="AR151" s="1095"/>
      <c r="AS151" s="1095"/>
    </row>
    <row r="152" spans="1:73" ht="13" x14ac:dyDescent="0.3">
      <c r="A152" s="1095"/>
      <c r="B152" s="1097" t="s">
        <v>1162</v>
      </c>
      <c r="C152" s="1095"/>
      <c r="D152" s="1095"/>
      <c r="E152" s="1095"/>
      <c r="F152" s="1095"/>
      <c r="G152" s="1095"/>
      <c r="H152" s="1095"/>
      <c r="I152" s="1095"/>
      <c r="J152" s="1095"/>
      <c r="K152" s="1095"/>
      <c r="L152" s="1095"/>
      <c r="M152" s="1095"/>
      <c r="N152" s="1095"/>
      <c r="O152" s="1095"/>
      <c r="P152" s="1095"/>
      <c r="Q152" s="1095"/>
      <c r="R152" s="1095"/>
      <c r="S152" s="1095"/>
      <c r="T152" s="1095"/>
      <c r="U152" s="1095"/>
      <c r="V152" s="1095"/>
      <c r="W152" s="1095"/>
      <c r="X152" s="1095"/>
      <c r="Y152" s="1095"/>
      <c r="Z152" s="1095"/>
      <c r="AA152" s="1095"/>
      <c r="AB152" s="1095"/>
      <c r="AC152" s="1095"/>
      <c r="AD152" s="1095"/>
      <c r="AE152" s="1095"/>
      <c r="AF152" s="1095"/>
      <c r="AG152" s="1095"/>
      <c r="AH152" s="1095"/>
      <c r="AI152" s="1095"/>
      <c r="AJ152" s="1095"/>
      <c r="AK152" s="1095"/>
      <c r="AL152" s="1095"/>
      <c r="AM152" s="1095"/>
      <c r="AN152" s="1095"/>
      <c r="AO152" s="1095"/>
      <c r="AP152" s="1095"/>
      <c r="AQ152" s="1095"/>
      <c r="AR152" s="1095"/>
      <c r="AS152" s="1095"/>
    </row>
    <row r="153" spans="1:73" ht="13" x14ac:dyDescent="0.3">
      <c r="A153" s="1095"/>
      <c r="B153" s="1095"/>
      <c r="C153" s="1095"/>
      <c r="D153" s="1106" t="s">
        <v>1166</v>
      </c>
      <c r="E153" s="1106"/>
      <c r="F153" s="1106"/>
      <c r="G153" s="1106"/>
      <c r="H153" s="1106"/>
      <c r="I153" s="1106"/>
      <c r="J153" s="1095"/>
      <c r="K153" s="1095"/>
      <c r="L153" s="1095"/>
      <c r="M153" s="1095"/>
      <c r="N153" s="1095"/>
      <c r="O153" s="1095"/>
      <c r="P153" s="1095"/>
      <c r="Q153" s="1095"/>
      <c r="R153" s="1095"/>
      <c r="S153" s="1095"/>
      <c r="T153" s="1095"/>
      <c r="U153" s="1095"/>
      <c r="V153" s="1095"/>
      <c r="W153" s="1095"/>
      <c r="X153" s="1095"/>
      <c r="Y153" s="1095"/>
      <c r="Z153" s="1095"/>
      <c r="AA153" s="1095"/>
      <c r="AB153" s="1095"/>
      <c r="AC153" s="1095"/>
      <c r="AD153" s="1095"/>
      <c r="AE153" s="1095"/>
      <c r="AF153" s="1095"/>
      <c r="AG153" s="1095"/>
      <c r="AH153" s="1095"/>
      <c r="AI153" s="1095"/>
      <c r="AJ153" s="1095"/>
      <c r="AK153" s="1095"/>
      <c r="AL153" s="1095"/>
      <c r="AM153" s="1095"/>
      <c r="AN153" s="1095"/>
      <c r="AO153" s="1095"/>
      <c r="AP153" s="1095"/>
      <c r="AQ153" s="1095"/>
      <c r="AR153" s="1095"/>
      <c r="AS153" s="1095"/>
    </row>
    <row r="154" spans="1:73" ht="26" x14ac:dyDescent="0.3">
      <c r="A154" s="1095"/>
      <c r="B154" s="1097"/>
      <c r="C154" s="1095"/>
      <c r="D154" s="1106" t="s">
        <v>1165</v>
      </c>
      <c r="E154" s="1106" t="s">
        <v>1171</v>
      </c>
      <c r="F154" s="1106" t="s">
        <v>1167</v>
      </c>
      <c r="G154" s="1106" t="s">
        <v>1168</v>
      </c>
      <c r="H154" s="1106" t="s">
        <v>1169</v>
      </c>
      <c r="I154" s="1106" t="s">
        <v>1170</v>
      </c>
      <c r="J154" s="1095"/>
      <c r="K154" s="1106" t="s">
        <v>1200</v>
      </c>
      <c r="L154" s="1106" t="s">
        <v>1198</v>
      </c>
      <c r="M154" s="1106" t="s">
        <v>1199</v>
      </c>
      <c r="N154" s="1106" t="s">
        <v>1201</v>
      </c>
      <c r="O154" s="1095"/>
      <c r="P154" s="1095"/>
      <c r="Q154" s="1095"/>
      <c r="R154" s="1095"/>
      <c r="S154" s="1095"/>
      <c r="T154" s="1095"/>
      <c r="U154" s="1095"/>
      <c r="V154" s="1095"/>
      <c r="W154" s="1095"/>
      <c r="X154" s="1095"/>
      <c r="Y154" s="1095"/>
      <c r="Z154" s="1095"/>
      <c r="AA154" s="1095"/>
      <c r="AB154" s="1095"/>
      <c r="AC154" s="1095"/>
      <c r="AD154" s="1095"/>
      <c r="AE154" s="1095"/>
      <c r="AF154" s="1095"/>
      <c r="AG154" s="1095"/>
      <c r="AH154" s="1095"/>
      <c r="AI154" s="1095"/>
      <c r="AJ154" s="1095"/>
      <c r="AK154" s="1095"/>
      <c r="AL154" s="1095"/>
      <c r="AM154" s="1095"/>
      <c r="AN154" s="1095"/>
      <c r="AO154" s="1095"/>
      <c r="AP154" s="1095"/>
      <c r="AQ154" s="1095"/>
      <c r="AR154" s="1095"/>
      <c r="AS154" s="1095"/>
    </row>
    <row r="155" spans="1:73" ht="13" x14ac:dyDescent="0.3">
      <c r="A155" s="1095"/>
      <c r="B155" s="1097" t="s">
        <v>1164</v>
      </c>
      <c r="C155" s="1095">
        <v>1</v>
      </c>
      <c r="D155" s="1098" t="s">
        <v>1179</v>
      </c>
      <c r="E155" s="1112">
        <f ca="1">+K48+C155/10000000000</f>
        <v>1.738021291913364</v>
      </c>
      <c r="F155" s="1099">
        <f ca="1">+RANK(E155,$E$155:$E$157)</f>
        <v>1</v>
      </c>
      <c r="G155" s="1104">
        <v>1</v>
      </c>
      <c r="H155" s="1099" t="str">
        <f ca="1">OFFSET($D$154,MATCH($G155,$F$155:$F$157,0),0)</f>
        <v>Cost of Hydrogen</v>
      </c>
      <c r="I155" s="1114">
        <f ca="1">OFFSET($E$154,MATCH($G155,$F$155:$F$157,0),0)-OFFSET($C$154,MATCH($G155,$F$155:$F$157,0),0)/10000000000</f>
        <v>1.738021291813364</v>
      </c>
      <c r="J155" s="1095"/>
      <c r="K155" s="1099" t="str">
        <f ca="1">+H155</f>
        <v>Cost of Hydrogen</v>
      </c>
      <c r="L155" s="1112">
        <f ca="1">+I155</f>
        <v>1.738021291813364</v>
      </c>
      <c r="M155" s="1099"/>
      <c r="N155" s="1099" t="str">
        <f ca="1">+IF(L155&gt;0,K155,"")</f>
        <v>Cost of Hydrogen</v>
      </c>
      <c r="O155" s="1095"/>
      <c r="P155" s="1095"/>
      <c r="Q155" s="1095"/>
      <c r="R155" s="1095"/>
      <c r="S155" s="1095"/>
      <c r="T155" s="1095"/>
      <c r="U155" s="1095"/>
      <c r="V155" s="1095"/>
      <c r="W155" s="1095"/>
      <c r="X155" s="1095"/>
      <c r="Y155" s="1095"/>
      <c r="Z155" s="1095"/>
      <c r="AA155" s="1095"/>
      <c r="AB155" s="1095"/>
      <c r="AC155" s="1095"/>
      <c r="AD155" s="1095"/>
      <c r="AE155" s="1095"/>
      <c r="AF155" s="1095"/>
      <c r="AG155" s="1095"/>
      <c r="AH155" s="1095"/>
      <c r="AI155" s="1095"/>
      <c r="AJ155" s="1095"/>
    </row>
    <row r="156" spans="1:73" ht="13" x14ac:dyDescent="0.3">
      <c r="A156" s="1095"/>
      <c r="B156" s="1097"/>
      <c r="C156" s="1095">
        <v>2</v>
      </c>
      <c r="D156" s="1099" t="str">
        <f>+F110</f>
        <v>Byproduct Sales</v>
      </c>
      <c r="E156" s="1112">
        <f ca="1">+L48+C156/10000000000</f>
        <v>2.0000000000000001E-10</v>
      </c>
      <c r="F156" s="1099">
        <f ca="1">+RANK(E156,$E$155:$E$157)</f>
        <v>3</v>
      </c>
      <c r="G156" s="1104">
        <v>2</v>
      </c>
      <c r="H156" s="1099" t="str">
        <f ca="1">OFFSET($D$154,MATCH($G156,$F$155:$F$157,0),0)</f>
        <v>Salvage Value</v>
      </c>
      <c r="I156" s="1114">
        <f ca="1">OFFSET($E$154,MATCH($G156,$F$155:$F$157,0),0)-OFFSET($C$154,MATCH($G156,$F$155:$F$157,0),0)/10000000000</f>
        <v>1.3752474814784693E-3</v>
      </c>
      <c r="J156" s="1095"/>
      <c r="K156" s="1099" t="str">
        <f t="shared" ref="K156:K170" ca="1" si="76">+H156</f>
        <v>Salvage Value</v>
      </c>
      <c r="L156" s="1112">
        <f t="shared" ref="L156:L157" ca="1" si="77">+I156</f>
        <v>1.3752474814784693E-3</v>
      </c>
      <c r="M156" s="1099"/>
      <c r="N156" s="1099" t="str">
        <f t="shared" ref="N156:N157" ca="1" si="78">+IF(L156&gt;0,K156,"")</f>
        <v>Salvage Value</v>
      </c>
      <c r="O156" s="1095"/>
      <c r="P156" s="1095"/>
      <c r="Q156" s="1095"/>
      <c r="R156" s="1095"/>
      <c r="S156" s="1095"/>
      <c r="T156" s="1095"/>
      <c r="U156" s="1095"/>
      <c r="V156" s="1095"/>
      <c r="W156" s="1095"/>
      <c r="X156" s="1095"/>
      <c r="Y156" s="1095"/>
      <c r="Z156" s="1095"/>
      <c r="AA156" s="1095"/>
      <c r="AB156" s="1095"/>
      <c r="AC156" s="1095"/>
      <c r="AD156" s="1095"/>
      <c r="AE156" s="1095"/>
      <c r="AF156" s="1095"/>
      <c r="AG156" s="1095"/>
      <c r="AH156" s="1095"/>
      <c r="AI156" s="1095"/>
      <c r="AJ156" s="1095"/>
    </row>
    <row r="157" spans="1:73" ht="13" x14ac:dyDescent="0.3">
      <c r="A157" s="1095"/>
      <c r="B157" s="1097"/>
      <c r="C157" s="1095">
        <v>3</v>
      </c>
      <c r="D157" s="1099" t="str">
        <f>+G110</f>
        <v>Salvage Value</v>
      </c>
      <c r="E157" s="1112">
        <f ca="1">+M48+C157/10000000000</f>
        <v>1.3752477814784694E-3</v>
      </c>
      <c r="F157" s="1099">
        <f ca="1">+RANK(E157,$E$155:$E$157)</f>
        <v>2</v>
      </c>
      <c r="G157" s="1104">
        <v>3</v>
      </c>
      <c r="H157" s="1099" t="str">
        <f ca="1">OFFSET($D$154,MATCH($G157,$F$155:$F$157,0),0)</f>
        <v>Byproduct Sales</v>
      </c>
      <c r="I157" s="1114">
        <f ca="1">OFFSET($E$154,MATCH($G157,$F$155:$F$157,0),0)-OFFSET($C$154,MATCH($G157,$F$155:$F$157,0),0)/10000000000</f>
        <v>0</v>
      </c>
      <c r="J157" s="1095"/>
      <c r="K157" s="1099" t="str">
        <f t="shared" ca="1" si="76"/>
        <v>Byproduct Sales</v>
      </c>
      <c r="L157" s="1112">
        <f t="shared" ca="1" si="77"/>
        <v>0</v>
      </c>
      <c r="M157" s="1099"/>
      <c r="N157" s="1099" t="str">
        <f t="shared" ca="1" si="78"/>
        <v/>
      </c>
      <c r="O157" s="1095"/>
      <c r="P157" s="1095"/>
      <c r="Q157" s="1095"/>
      <c r="R157" s="1095"/>
      <c r="S157" s="1095"/>
      <c r="T157" s="1095"/>
      <c r="U157" s="1095"/>
      <c r="V157" s="1095"/>
      <c r="W157" s="1095"/>
      <c r="X157" s="1095"/>
      <c r="Y157" s="1095"/>
      <c r="Z157" s="1095"/>
      <c r="AA157" s="1095"/>
      <c r="AB157" s="1095"/>
      <c r="AC157" s="1095"/>
      <c r="AD157" s="1095"/>
      <c r="AE157" s="1095"/>
      <c r="AF157" s="1095"/>
      <c r="AG157" s="1095"/>
      <c r="AH157" s="1095"/>
      <c r="AI157" s="1095"/>
      <c r="AJ157" s="1095"/>
    </row>
    <row r="158" spans="1:73" ht="13" x14ac:dyDescent="0.3">
      <c r="A158" s="1095"/>
      <c r="B158" s="1097"/>
      <c r="C158" s="1095"/>
      <c r="D158" s="1097"/>
      <c r="E158" s="1097"/>
      <c r="F158" s="1097"/>
      <c r="G158" s="1097"/>
      <c r="H158" s="1097"/>
      <c r="I158" s="1125"/>
      <c r="J158" s="1095"/>
      <c r="K158" s="1099"/>
      <c r="L158" s="1099"/>
      <c r="M158" s="1112"/>
      <c r="N158" s="1099" t="str">
        <f t="shared" ref="N158" si="79">+IF(L158&gt;0.01,K158,"")</f>
        <v/>
      </c>
      <c r="O158" s="1095"/>
      <c r="P158" s="1095"/>
      <c r="Q158" s="1095"/>
      <c r="R158" s="1095"/>
      <c r="S158" s="1095"/>
      <c r="T158" s="1095"/>
      <c r="U158" s="1095"/>
      <c r="V158" s="1095"/>
      <c r="W158" s="1095"/>
      <c r="X158" s="1095"/>
      <c r="Y158" s="1095"/>
      <c r="Z158" s="1095"/>
      <c r="AA158" s="1095"/>
      <c r="AB158" s="1095"/>
      <c r="AC158" s="1095"/>
      <c r="AD158" s="1095"/>
      <c r="AE158" s="1095"/>
      <c r="AF158" s="1095"/>
      <c r="AG158" s="1095"/>
      <c r="AH158" s="1095"/>
      <c r="AI158" s="1095"/>
      <c r="AJ158" s="1095"/>
    </row>
    <row r="159" spans="1:73" ht="13" x14ac:dyDescent="0.3">
      <c r="A159" s="1095"/>
      <c r="B159" s="1097" t="s">
        <v>1163</v>
      </c>
      <c r="C159" s="1095">
        <v>1</v>
      </c>
      <c r="D159" s="1099" t="str">
        <f>+H110</f>
        <v>Initial Equity Depreciable Capital</v>
      </c>
      <c r="E159" s="1112">
        <f ca="1">+N48+C159/10000000000</f>
        <v>0.12650642163831424</v>
      </c>
      <c r="F159" s="1099">
        <f t="shared" ref="F159:F170" ca="1" si="80">+RANK(E159,$E$159:$E$170)</f>
        <v>4</v>
      </c>
      <c r="G159" s="1104">
        <v>1</v>
      </c>
      <c r="H159" s="1099" t="str">
        <f t="shared" ref="H159:H170" ca="1" si="81">OFFSET($D$158,MATCH($G159,$F$159:$F$170,0),0)</f>
        <v>Feedstock Cost</v>
      </c>
      <c r="I159" s="1114">
        <f t="shared" ref="I159:I170" ca="1" si="82">OFFSET($E$158,MATCH($G159,$F$159:$F$170,0),0)-OFFSET($C$158,MATCH($G159,$F$159:$F$170,0),0)/10000000000</f>
        <v>1.0310552346010684</v>
      </c>
      <c r="J159" s="1095"/>
      <c r="K159" s="1099" t="str">
        <f t="shared" ca="1" si="76"/>
        <v>Feedstock Cost</v>
      </c>
      <c r="L159" s="1099"/>
      <c r="M159" s="1112">
        <f ca="1">+I159</f>
        <v>1.0310552346010684</v>
      </c>
      <c r="N159" s="1099" t="str">
        <f ca="1">+IF(M159&gt;0,K159,"")</f>
        <v>Feedstock Cost</v>
      </c>
      <c r="O159" s="1095"/>
      <c r="P159" s="1095"/>
      <c r="Q159" s="1095"/>
      <c r="R159" s="1095"/>
      <c r="S159" s="1095"/>
      <c r="T159" s="1095"/>
      <c r="U159" s="1095"/>
      <c r="V159" s="1095"/>
      <c r="W159" s="1095"/>
      <c r="X159" s="1095"/>
      <c r="Y159" s="1095"/>
      <c r="Z159" s="1095"/>
      <c r="AA159" s="1095"/>
      <c r="AB159" s="1095"/>
      <c r="AC159" s="1095"/>
      <c r="AD159" s="1095"/>
      <c r="AE159" s="1095"/>
      <c r="AF159" s="1095"/>
      <c r="AG159" s="1095"/>
      <c r="AH159" s="1095"/>
      <c r="AI159" s="1095"/>
      <c r="AJ159" s="1095"/>
    </row>
    <row r="160" spans="1:73" x14ac:dyDescent="0.25">
      <c r="A160" s="1095"/>
      <c r="B160" s="1095"/>
      <c r="C160" s="1095">
        <f>+C159+1</f>
        <v>2</v>
      </c>
      <c r="D160" s="1099" t="str">
        <f>+I110</f>
        <v>Yearly Replacement Costs</v>
      </c>
      <c r="E160" s="1112">
        <f ca="1">+O48+C160/10000000000</f>
        <v>0.12749490898546156</v>
      </c>
      <c r="F160" s="1099">
        <f t="shared" ca="1" si="80"/>
        <v>3</v>
      </c>
      <c r="G160" s="1104">
        <v>2</v>
      </c>
      <c r="H160" s="1099" t="str">
        <f t="shared" ca="1" si="81"/>
        <v>Other Variable Operating Costs</v>
      </c>
      <c r="I160" s="1114">
        <f t="shared" ca="1" si="82"/>
        <v>0.20920159808505334</v>
      </c>
      <c r="J160" s="1095"/>
      <c r="K160" s="1099" t="str">
        <f t="shared" ca="1" si="76"/>
        <v>Other Variable Operating Costs</v>
      </c>
      <c r="L160" s="1099"/>
      <c r="M160" s="1112">
        <f t="shared" ref="M160:M170" ca="1" si="83">+I160</f>
        <v>0.20920159808505334</v>
      </c>
      <c r="N160" s="1099" t="str">
        <f t="shared" ref="N160:N170" ca="1" si="84">+IF(M160&gt;0,K160,"")</f>
        <v>Other Variable Operating Costs</v>
      </c>
      <c r="O160" s="1095"/>
      <c r="P160" s="1095"/>
      <c r="Q160" s="1095"/>
      <c r="R160" s="1095"/>
      <c r="S160" s="1095"/>
      <c r="T160" s="1095"/>
      <c r="U160" s="1095"/>
      <c r="V160" s="1095"/>
      <c r="W160" s="1095"/>
      <c r="X160" s="1095"/>
      <c r="Y160" s="1095"/>
      <c r="Z160" s="1095"/>
      <c r="AA160" s="1095"/>
      <c r="AB160" s="1095"/>
      <c r="AC160" s="1095"/>
      <c r="AD160" s="1095"/>
      <c r="AE160" s="1095"/>
      <c r="AF160" s="1095"/>
      <c r="AG160" s="1095"/>
      <c r="AH160" s="1095"/>
      <c r="AI160" s="1095"/>
      <c r="AJ160" s="1095"/>
    </row>
    <row r="161" spans="1:36" x14ac:dyDescent="0.25">
      <c r="A161" s="1095"/>
      <c r="B161" s="1095"/>
      <c r="C161" s="1095">
        <f t="shared" ref="C161:C170" si="85">+C160+1</f>
        <v>3</v>
      </c>
      <c r="D161" s="1099" t="str">
        <f>+J110</f>
        <v>Cash for Working Capital Reserve</v>
      </c>
      <c r="E161" s="1112">
        <f ca="1">+P48+C161/10000000000</f>
        <v>1.8390778139810975E-2</v>
      </c>
      <c r="F161" s="1099">
        <f t="shared" ca="1" si="80"/>
        <v>8</v>
      </c>
      <c r="G161" s="1104">
        <v>3</v>
      </c>
      <c r="H161" s="1099" t="str">
        <f t="shared" ca="1" si="81"/>
        <v>Yearly Replacement Costs</v>
      </c>
      <c r="I161" s="1114">
        <f t="shared" ca="1" si="82"/>
        <v>0.12749490878546157</v>
      </c>
      <c r="J161" s="1095"/>
      <c r="K161" s="1099" t="str">
        <f t="shared" ca="1" si="76"/>
        <v>Yearly Replacement Costs</v>
      </c>
      <c r="L161" s="1099"/>
      <c r="M161" s="1112">
        <f t="shared" ca="1" si="83"/>
        <v>0.12749490878546157</v>
      </c>
      <c r="N161" s="1099" t="str">
        <f t="shared" ca="1" si="84"/>
        <v>Yearly Replacement Costs</v>
      </c>
      <c r="O161" s="1095"/>
      <c r="P161" s="1095"/>
      <c r="Q161" s="1095"/>
      <c r="R161" s="1095"/>
      <c r="S161" s="1095"/>
      <c r="T161" s="1095"/>
      <c r="U161" s="1095"/>
      <c r="V161" s="1095"/>
      <c r="W161" s="1095"/>
      <c r="X161" s="1095"/>
      <c r="Y161" s="1095"/>
      <c r="Z161" s="1095"/>
      <c r="AA161" s="1095"/>
      <c r="AB161" s="1095"/>
      <c r="AC161" s="1095"/>
      <c r="AD161" s="1095"/>
      <c r="AE161" s="1095"/>
      <c r="AF161" s="1095"/>
      <c r="AG161" s="1095"/>
      <c r="AH161" s="1095"/>
      <c r="AI161" s="1095"/>
      <c r="AJ161" s="1095"/>
    </row>
    <row r="162" spans="1:36" x14ac:dyDescent="0.25">
      <c r="A162" s="1095"/>
      <c r="B162" s="1095"/>
      <c r="C162" s="1095">
        <f t="shared" si="85"/>
        <v>4</v>
      </c>
      <c r="D162" s="1099" t="str">
        <f>+K110</f>
        <v>Other Non-Depreciable Capital Costs</v>
      </c>
      <c r="E162" s="1112">
        <f ca="1">+Q48+C162/10000000000</f>
        <v>8.9879622153514872E-4</v>
      </c>
      <c r="F162" s="1099">
        <f t="shared" ca="1" si="80"/>
        <v>11</v>
      </c>
      <c r="G162" s="1104">
        <v>4</v>
      </c>
      <c r="H162" s="1099" t="str">
        <f t="shared" ca="1" si="81"/>
        <v>Initial Equity Depreciable Capital</v>
      </c>
      <c r="I162" s="1114">
        <f t="shared" ca="1" si="82"/>
        <v>0.12650642153831423</v>
      </c>
      <c r="J162" s="1095"/>
      <c r="K162" s="1099" t="str">
        <f t="shared" ca="1" si="76"/>
        <v>Initial Equity Depreciable Capital</v>
      </c>
      <c r="L162" s="1099"/>
      <c r="M162" s="1112">
        <f t="shared" ca="1" si="83"/>
        <v>0.12650642153831423</v>
      </c>
      <c r="N162" s="1099" t="str">
        <f t="shared" ca="1" si="84"/>
        <v>Initial Equity Depreciable Capital</v>
      </c>
      <c r="O162" s="1095"/>
      <c r="P162" s="1095"/>
      <c r="Q162" s="1095"/>
      <c r="R162" s="1095"/>
      <c r="S162" s="1095"/>
      <c r="T162" s="1095"/>
      <c r="U162" s="1095"/>
      <c r="V162" s="1095"/>
      <c r="W162" s="1095"/>
      <c r="X162" s="1095"/>
      <c r="Y162" s="1095"/>
      <c r="Z162" s="1095"/>
      <c r="AA162" s="1095"/>
      <c r="AB162" s="1095"/>
      <c r="AC162" s="1095"/>
      <c r="AD162" s="1095"/>
      <c r="AE162" s="1095"/>
      <c r="AF162" s="1095"/>
      <c r="AG162" s="1095"/>
      <c r="AH162" s="1095"/>
      <c r="AI162" s="1095"/>
      <c r="AJ162" s="1095"/>
    </row>
    <row r="163" spans="1:36" x14ac:dyDescent="0.25">
      <c r="A163" s="1095"/>
      <c r="B163" s="1095"/>
      <c r="C163" s="1095">
        <f t="shared" si="85"/>
        <v>5</v>
      </c>
      <c r="D163" s="1099" t="str">
        <f>+L110</f>
        <v>Decommissioning Costs</v>
      </c>
      <c r="E163" s="1112">
        <f ca="1">+R48+C163/10000000000</f>
        <v>1.3717009641163579E-3</v>
      </c>
      <c r="F163" s="1099">
        <f t="shared" ca="1" si="80"/>
        <v>10</v>
      </c>
      <c r="G163" s="1104">
        <v>5</v>
      </c>
      <c r="H163" s="1099" t="str">
        <f t="shared" ca="1" si="81"/>
        <v>Fixed Operating Cost</v>
      </c>
      <c r="I163" s="1114">
        <f t="shared" ca="1" si="82"/>
        <v>0.10796906793131673</v>
      </c>
      <c r="J163" s="1095"/>
      <c r="K163" s="1099" t="str">
        <f t="shared" ca="1" si="76"/>
        <v>Fixed Operating Cost</v>
      </c>
      <c r="L163" s="1099"/>
      <c r="M163" s="1112">
        <f t="shared" ca="1" si="83"/>
        <v>0.10796906793131673</v>
      </c>
      <c r="N163" s="1099" t="str">
        <f t="shared" ca="1" si="84"/>
        <v>Fixed Operating Cost</v>
      </c>
      <c r="O163" s="1095"/>
      <c r="P163" s="1095"/>
      <c r="Q163" s="1095"/>
      <c r="R163" s="1095"/>
      <c r="S163" s="1095"/>
      <c r="T163" s="1095"/>
      <c r="U163" s="1095"/>
      <c r="V163" s="1095"/>
      <c r="W163" s="1095"/>
      <c r="X163" s="1095"/>
      <c r="Y163" s="1095"/>
      <c r="Z163" s="1095"/>
      <c r="AA163" s="1095"/>
      <c r="AB163" s="1095"/>
      <c r="AC163" s="1095"/>
      <c r="AD163" s="1095"/>
      <c r="AE163" s="1095"/>
      <c r="AF163" s="1095"/>
      <c r="AG163" s="1095"/>
      <c r="AH163" s="1095"/>
      <c r="AI163" s="1095"/>
      <c r="AJ163" s="1095"/>
    </row>
    <row r="164" spans="1:36" x14ac:dyDescent="0.25">
      <c r="A164" s="1095"/>
      <c r="B164" s="1095"/>
      <c r="C164" s="1095">
        <f t="shared" si="85"/>
        <v>6</v>
      </c>
      <c r="D164" s="1099" t="str">
        <f>+M110</f>
        <v>Fixed Operating Cost</v>
      </c>
      <c r="E164" s="1112">
        <f ca="1">+S48+C164/10000000000</f>
        <v>0.10796906853131673</v>
      </c>
      <c r="F164" s="1099">
        <f t="shared" ca="1" si="80"/>
        <v>5</v>
      </c>
      <c r="G164" s="1104">
        <v>6</v>
      </c>
      <c r="H164" s="1099" t="str">
        <f t="shared" ca="1" si="81"/>
        <v>Debt Interest</v>
      </c>
      <c r="I164" s="1114">
        <f t="shared" ca="1" si="82"/>
        <v>8.3106119156208025E-2</v>
      </c>
      <c r="J164" s="1095"/>
      <c r="K164" s="1099" t="str">
        <f t="shared" ca="1" si="76"/>
        <v>Debt Interest</v>
      </c>
      <c r="L164" s="1099"/>
      <c r="M164" s="1112">
        <f t="shared" ca="1" si="83"/>
        <v>8.3106119156208025E-2</v>
      </c>
      <c r="N164" s="1099" t="str">
        <f t="shared" ca="1" si="84"/>
        <v>Debt Interest</v>
      </c>
      <c r="O164" s="1095"/>
      <c r="P164" s="1095"/>
      <c r="Q164" s="1095"/>
      <c r="R164" s="1095"/>
      <c r="S164" s="1095"/>
      <c r="T164" s="1095"/>
      <c r="U164" s="1095"/>
      <c r="V164" s="1095"/>
      <c r="W164" s="1095"/>
      <c r="X164" s="1095"/>
      <c r="Y164" s="1095"/>
      <c r="Z164" s="1095"/>
      <c r="AA164" s="1095"/>
      <c r="AB164" s="1095"/>
      <c r="AC164" s="1095"/>
      <c r="AD164" s="1095"/>
      <c r="AE164" s="1095"/>
      <c r="AF164" s="1095"/>
      <c r="AG164" s="1095"/>
      <c r="AH164" s="1095"/>
      <c r="AI164" s="1095"/>
      <c r="AJ164" s="1095"/>
    </row>
    <row r="165" spans="1:36" x14ac:dyDescent="0.25">
      <c r="A165" s="1095"/>
      <c r="B165" s="1095"/>
      <c r="C165" s="1095">
        <f t="shared" si="85"/>
        <v>7</v>
      </c>
      <c r="D165" s="1099" t="str">
        <f>+N110</f>
        <v>Feedstock Cost</v>
      </c>
      <c r="E165" s="1112">
        <f ca="1">+T48+C165/10000000000</f>
        <v>1.0310552353010685</v>
      </c>
      <c r="F165" s="1099">
        <f t="shared" ca="1" si="80"/>
        <v>1</v>
      </c>
      <c r="G165" s="1104">
        <v>7</v>
      </c>
      <c r="H165" s="1099" t="str">
        <f t="shared" ca="1" si="81"/>
        <v>Taxes</v>
      </c>
      <c r="I165" s="1114">
        <f t="shared" ca="1" si="82"/>
        <v>2.9668598589567396E-2</v>
      </c>
      <c r="J165" s="1095"/>
      <c r="K165" s="1099" t="str">
        <f t="shared" ca="1" si="76"/>
        <v>Taxes</v>
      </c>
      <c r="L165" s="1099"/>
      <c r="M165" s="1112">
        <f t="shared" ca="1" si="83"/>
        <v>2.9668598589567396E-2</v>
      </c>
      <c r="N165" s="1099" t="str">
        <f t="shared" ca="1" si="84"/>
        <v>Taxes</v>
      </c>
      <c r="O165" s="1095"/>
      <c r="P165" s="1095"/>
      <c r="Q165" s="1095"/>
      <c r="R165" s="1095"/>
      <c r="S165" s="1095"/>
      <c r="T165" s="1095"/>
      <c r="U165" s="1095"/>
      <c r="V165" s="1095"/>
      <c r="W165" s="1095"/>
      <c r="X165" s="1095"/>
      <c r="Y165" s="1095"/>
      <c r="Z165" s="1095"/>
      <c r="AA165" s="1095"/>
      <c r="AB165" s="1095"/>
      <c r="AC165" s="1095"/>
      <c r="AD165" s="1095"/>
      <c r="AE165" s="1095"/>
      <c r="AF165" s="1095"/>
      <c r="AG165" s="1095"/>
      <c r="AH165" s="1095"/>
      <c r="AI165" s="1095"/>
      <c r="AJ165" s="1095"/>
    </row>
    <row r="166" spans="1:36" x14ac:dyDescent="0.25">
      <c r="A166" s="1095"/>
      <c r="B166" s="1095"/>
      <c r="C166" s="1095">
        <f t="shared" si="85"/>
        <v>8</v>
      </c>
      <c r="D166" s="1099" t="str">
        <f>+O110</f>
        <v>Other Raw Material Cost</v>
      </c>
      <c r="E166" s="1112">
        <f ca="1">+U48+C166/10000000000</f>
        <v>8.0000000000000003E-10</v>
      </c>
      <c r="F166" s="1099">
        <f t="shared" ca="1" si="80"/>
        <v>12</v>
      </c>
      <c r="G166" s="1104">
        <v>8</v>
      </c>
      <c r="H166" s="1099" t="str">
        <f t="shared" ca="1" si="81"/>
        <v>Cash for Working Capital Reserve</v>
      </c>
      <c r="I166" s="1114">
        <f t="shared" ca="1" si="82"/>
        <v>1.8390777839810975E-2</v>
      </c>
      <c r="J166" s="1095"/>
      <c r="K166" s="1099" t="str">
        <f t="shared" ca="1" si="76"/>
        <v>Cash for Working Capital Reserve</v>
      </c>
      <c r="L166" s="1099"/>
      <c r="M166" s="1112">
        <f t="shared" ca="1" si="83"/>
        <v>1.8390777839810975E-2</v>
      </c>
      <c r="N166" s="1099" t="str">
        <f t="shared" ca="1" si="84"/>
        <v>Cash for Working Capital Reserve</v>
      </c>
      <c r="O166" s="1095"/>
      <c r="P166" s="1095"/>
      <c r="Q166" s="1095"/>
      <c r="R166" s="1095"/>
      <c r="S166" s="1095"/>
      <c r="T166" s="1095"/>
      <c r="U166" s="1095"/>
      <c r="V166" s="1095"/>
      <c r="W166" s="1095"/>
      <c r="X166" s="1095"/>
      <c r="Y166" s="1095"/>
      <c r="Z166" s="1095"/>
      <c r="AA166" s="1095"/>
      <c r="AB166" s="1095"/>
      <c r="AC166" s="1095"/>
      <c r="AD166" s="1095"/>
      <c r="AE166" s="1095"/>
      <c r="AF166" s="1095"/>
      <c r="AG166" s="1095"/>
      <c r="AH166" s="1095"/>
      <c r="AI166" s="1095"/>
      <c r="AJ166" s="1095"/>
    </row>
    <row r="167" spans="1:36" x14ac:dyDescent="0.25">
      <c r="A167" s="1095"/>
      <c r="B167" s="1095"/>
      <c r="C167" s="1095">
        <f t="shared" si="85"/>
        <v>9</v>
      </c>
      <c r="D167" s="1099" t="str">
        <f>+P110</f>
        <v>Other Variable Operating Costs</v>
      </c>
      <c r="E167" s="1112">
        <f ca="1">+V48+C167/10000000000</f>
        <v>0.20920159898505333</v>
      </c>
      <c r="F167" s="1099">
        <f t="shared" ca="1" si="80"/>
        <v>2</v>
      </c>
      <c r="G167" s="1104">
        <v>9</v>
      </c>
      <c r="H167" s="1099" t="str">
        <f t="shared" ca="1" si="81"/>
        <v>Principal Payment</v>
      </c>
      <c r="I167" s="1114">
        <f t="shared" ca="1" si="82"/>
        <v>3.7333164823882565E-3</v>
      </c>
      <c r="J167" s="1095"/>
      <c r="K167" s="1099" t="str">
        <f t="shared" ca="1" si="76"/>
        <v>Principal Payment</v>
      </c>
      <c r="L167" s="1099"/>
      <c r="M167" s="1112">
        <f t="shared" ca="1" si="83"/>
        <v>3.7333164823882565E-3</v>
      </c>
      <c r="N167" s="1099" t="str">
        <f t="shared" ca="1" si="84"/>
        <v>Principal Payment</v>
      </c>
      <c r="O167" s="1095"/>
      <c r="P167" s="1095"/>
      <c r="Q167" s="1095"/>
      <c r="R167" s="1095"/>
      <c r="S167" s="1095"/>
      <c r="T167" s="1095"/>
      <c r="U167" s="1095"/>
      <c r="V167" s="1095"/>
      <c r="W167" s="1095"/>
      <c r="X167" s="1095"/>
      <c r="Y167" s="1095"/>
      <c r="Z167" s="1095"/>
      <c r="AA167" s="1095"/>
      <c r="AB167" s="1095"/>
      <c r="AC167" s="1095"/>
      <c r="AD167" s="1095"/>
      <c r="AE167" s="1095"/>
      <c r="AF167" s="1095"/>
      <c r="AG167" s="1095"/>
      <c r="AH167" s="1095"/>
      <c r="AI167" s="1095"/>
      <c r="AJ167" s="1095"/>
    </row>
    <row r="168" spans="1:36" x14ac:dyDescent="0.25">
      <c r="A168" s="1095"/>
      <c r="B168" s="1095"/>
      <c r="C168" s="1095">
        <f t="shared" si="85"/>
        <v>10</v>
      </c>
      <c r="D168" s="1099" t="str">
        <f>+Q110</f>
        <v>Debt Interest</v>
      </c>
      <c r="E168" s="1112">
        <f ca="1">+W48+C168/10000000000</f>
        <v>8.3106120156208024E-2</v>
      </c>
      <c r="F168" s="1099">
        <f t="shared" ca="1" si="80"/>
        <v>6</v>
      </c>
      <c r="G168" s="1104">
        <v>10</v>
      </c>
      <c r="H168" s="1099" t="str">
        <f t="shared" ca="1" si="81"/>
        <v>Decommissioning Costs</v>
      </c>
      <c r="I168" s="1114">
        <f t="shared" ca="1" si="82"/>
        <v>1.371700464116358E-3</v>
      </c>
      <c r="J168" s="1095"/>
      <c r="K168" s="1099" t="str">
        <f t="shared" ca="1" si="76"/>
        <v>Decommissioning Costs</v>
      </c>
      <c r="L168" s="1099"/>
      <c r="M168" s="1112">
        <f t="shared" ca="1" si="83"/>
        <v>1.371700464116358E-3</v>
      </c>
      <c r="N168" s="1099" t="str">
        <f t="shared" ca="1" si="84"/>
        <v>Decommissioning Costs</v>
      </c>
      <c r="O168" s="1095"/>
      <c r="P168" s="1095"/>
      <c r="Q168" s="1095"/>
      <c r="R168" s="1095"/>
      <c r="S168" s="1095"/>
      <c r="T168" s="1095"/>
      <c r="U168" s="1095"/>
      <c r="V168" s="1095"/>
      <c r="W168" s="1095"/>
      <c r="X168" s="1095"/>
      <c r="Y168" s="1095"/>
      <c r="Z168" s="1095"/>
      <c r="AA168" s="1095"/>
      <c r="AB168" s="1095"/>
      <c r="AC168" s="1095"/>
      <c r="AD168" s="1095"/>
      <c r="AE168" s="1095"/>
      <c r="AF168" s="1095"/>
      <c r="AG168" s="1095"/>
      <c r="AH168" s="1095"/>
      <c r="AI168" s="1095"/>
      <c r="AJ168" s="1095"/>
    </row>
    <row r="169" spans="1:36" x14ac:dyDescent="0.25">
      <c r="A169" s="1095"/>
      <c r="B169" s="1095"/>
      <c r="C169" s="1095">
        <f t="shared" si="85"/>
        <v>11</v>
      </c>
      <c r="D169" s="1099" t="str">
        <f>+R110</f>
        <v>Taxes</v>
      </c>
      <c r="E169" s="1112">
        <f ca="1">+X48+C169/10000000000</f>
        <v>2.9668599689567397E-2</v>
      </c>
      <c r="F169" s="1099">
        <f t="shared" ca="1" si="80"/>
        <v>7</v>
      </c>
      <c r="G169" s="1104">
        <v>11</v>
      </c>
      <c r="H169" s="1099" t="str">
        <f t="shared" ca="1" si="81"/>
        <v>Other Non-Depreciable Capital Costs</v>
      </c>
      <c r="I169" s="1114">
        <f t="shared" ca="1" si="82"/>
        <v>8.987958215351487E-4</v>
      </c>
      <c r="J169" s="1095"/>
      <c r="K169" s="1099" t="str">
        <f t="shared" ca="1" si="76"/>
        <v>Other Non-Depreciable Capital Costs</v>
      </c>
      <c r="L169" s="1099"/>
      <c r="M169" s="1112">
        <f t="shared" ca="1" si="83"/>
        <v>8.987958215351487E-4</v>
      </c>
      <c r="N169" s="1099" t="str">
        <f t="shared" ca="1" si="84"/>
        <v>Other Non-Depreciable Capital Costs</v>
      </c>
      <c r="O169" s="1095"/>
      <c r="P169" s="1095"/>
      <c r="Q169" s="1095"/>
      <c r="R169" s="1095"/>
      <c r="S169" s="1095"/>
      <c r="T169" s="1095"/>
      <c r="U169" s="1095"/>
      <c r="V169" s="1095"/>
      <c r="W169" s="1095"/>
      <c r="X169" s="1095"/>
      <c r="Y169" s="1095"/>
      <c r="Z169" s="1095"/>
      <c r="AA169" s="1095"/>
      <c r="AB169" s="1095"/>
      <c r="AC169" s="1095"/>
      <c r="AD169" s="1095"/>
      <c r="AE169" s="1095"/>
      <c r="AF169" s="1095"/>
      <c r="AG169" s="1095"/>
      <c r="AH169" s="1095"/>
      <c r="AI169" s="1095"/>
      <c r="AJ169" s="1095"/>
    </row>
    <row r="170" spans="1:36" x14ac:dyDescent="0.25">
      <c r="A170" s="1095"/>
      <c r="B170" s="1095"/>
      <c r="C170" s="1095">
        <f t="shared" si="85"/>
        <v>12</v>
      </c>
      <c r="D170" s="1099" t="str">
        <f>+S110</f>
        <v>Principal Payment</v>
      </c>
      <c r="E170" s="1112">
        <f ca="1">+Y48+C170/10000000000</f>
        <v>3.7333176823882565E-3</v>
      </c>
      <c r="F170" s="1099">
        <f t="shared" ca="1" si="80"/>
        <v>9</v>
      </c>
      <c r="G170" s="1104">
        <v>12</v>
      </c>
      <c r="H170" s="1099" t="str">
        <f t="shared" ca="1" si="81"/>
        <v>Other Raw Material Cost</v>
      </c>
      <c r="I170" s="1114">
        <f t="shared" ca="1" si="82"/>
        <v>0</v>
      </c>
      <c r="J170" s="1095"/>
      <c r="K170" s="1099" t="str">
        <f t="shared" ca="1" si="76"/>
        <v>Other Raw Material Cost</v>
      </c>
      <c r="L170" s="1099"/>
      <c r="M170" s="1112">
        <f t="shared" ca="1" si="83"/>
        <v>0</v>
      </c>
      <c r="N170" s="1099" t="str">
        <f t="shared" ca="1" si="84"/>
        <v/>
      </c>
      <c r="O170" s="1095"/>
      <c r="P170" s="1095"/>
      <c r="Q170" s="1095"/>
      <c r="R170" s="1095"/>
      <c r="S170" s="1095"/>
      <c r="T170" s="1095"/>
      <c r="U170" s="1095"/>
      <c r="V170" s="1095"/>
      <c r="W170" s="1095"/>
      <c r="X170" s="1095"/>
      <c r="Y170" s="1095"/>
      <c r="Z170" s="1095"/>
      <c r="AA170" s="1095"/>
      <c r="AB170" s="1095"/>
      <c r="AC170" s="1095"/>
      <c r="AD170" s="1095"/>
      <c r="AE170" s="1095"/>
      <c r="AF170" s="1095"/>
      <c r="AG170" s="1095"/>
      <c r="AH170" s="1095"/>
      <c r="AI170" s="1095"/>
      <c r="AJ170" s="1095"/>
    </row>
    <row r="171" spans="1:36" ht="13" x14ac:dyDescent="0.3">
      <c r="A171" s="1095"/>
      <c r="B171" s="1095"/>
      <c r="C171" s="1095"/>
      <c r="D171" s="1095"/>
      <c r="E171" s="1095"/>
      <c r="F171" s="1095"/>
      <c r="G171" s="1095"/>
      <c r="H171" s="1097"/>
      <c r="I171" s="1095"/>
      <c r="J171" s="1095"/>
      <c r="K171" s="1098" t="s">
        <v>58</v>
      </c>
      <c r="L171" s="1112">
        <f ca="1">+SUM(L155:L170)</f>
        <v>1.7393965392948425</v>
      </c>
      <c r="M171" s="1112">
        <f ca="1">+SUM(M155:M170)</f>
        <v>1.7393965392948407</v>
      </c>
      <c r="N171" s="1099" t="str">
        <f t="shared" ref="N171" ca="1" si="86">+IF(M171&lt;0.01,K171,"")</f>
        <v/>
      </c>
      <c r="O171" s="1095"/>
      <c r="P171" s="1095"/>
      <c r="Q171" s="1095"/>
      <c r="R171" s="1095"/>
      <c r="S171" s="1095"/>
      <c r="T171" s="1095"/>
      <c r="U171" s="1095"/>
      <c r="V171" s="1095"/>
      <c r="W171" s="1095"/>
      <c r="X171" s="1095"/>
      <c r="Y171" s="1095"/>
      <c r="Z171" s="1095"/>
      <c r="AA171" s="1095"/>
      <c r="AB171" s="1095"/>
      <c r="AC171" s="1095"/>
      <c r="AD171" s="1095"/>
      <c r="AE171" s="1095"/>
      <c r="AF171" s="1095"/>
      <c r="AG171" s="1095"/>
      <c r="AH171" s="1095"/>
      <c r="AI171" s="1095"/>
      <c r="AJ171" s="1095"/>
    </row>
    <row r="172" spans="1:36" x14ac:dyDescent="0.25">
      <c r="A172" s="1095"/>
      <c r="B172" s="1095"/>
      <c r="C172" s="1095"/>
      <c r="E172" s="1095"/>
      <c r="F172" s="1095"/>
      <c r="G172" s="1095"/>
      <c r="H172" s="1095"/>
      <c r="I172" s="1095"/>
      <c r="J172" s="1095"/>
      <c r="K172" s="1095"/>
      <c r="L172" s="1095"/>
      <c r="M172" s="1095"/>
      <c r="N172" s="1095"/>
      <c r="O172" s="1095"/>
      <c r="P172" s="1095"/>
      <c r="Q172" s="1095"/>
      <c r="R172" s="1095"/>
      <c r="S172" s="1095"/>
      <c r="T172" s="1095"/>
      <c r="U172" s="1095"/>
      <c r="V172" s="1095"/>
      <c r="W172" s="1095"/>
      <c r="X172" s="1095"/>
      <c r="Y172" s="1095"/>
      <c r="Z172" s="1095"/>
      <c r="AA172" s="1095"/>
      <c r="AB172" s="1095"/>
      <c r="AC172" s="1095"/>
      <c r="AD172" s="1095"/>
      <c r="AE172" s="1095"/>
      <c r="AF172" s="1095"/>
      <c r="AG172" s="1095"/>
      <c r="AH172" s="1095"/>
      <c r="AI172" s="1095"/>
      <c r="AJ172" s="1095"/>
    </row>
    <row r="173" spans="1:36" x14ac:dyDescent="0.25">
      <c r="A173" s="1095"/>
      <c r="B173" s="1095"/>
      <c r="C173" s="1095"/>
      <c r="D173" s="1095"/>
      <c r="E173" s="1095"/>
      <c r="F173" s="1095"/>
      <c r="G173" s="1095"/>
      <c r="H173" s="1095"/>
      <c r="I173" s="1095"/>
      <c r="J173" s="1095"/>
      <c r="K173" s="1095"/>
      <c r="L173" s="1095"/>
      <c r="M173" s="1095"/>
      <c r="N173" s="1095"/>
      <c r="O173" s="1095"/>
      <c r="P173" s="1095"/>
      <c r="Q173" s="1095"/>
      <c r="R173" s="1095"/>
      <c r="S173" s="1095"/>
      <c r="T173" s="1095"/>
      <c r="U173" s="1095"/>
      <c r="V173" s="1095"/>
      <c r="W173" s="1095"/>
      <c r="X173" s="1095"/>
      <c r="Y173" s="1095"/>
      <c r="Z173" s="1095"/>
      <c r="AA173" s="1095"/>
      <c r="AB173" s="1095"/>
      <c r="AC173" s="1095"/>
      <c r="AD173" s="1095"/>
      <c r="AE173" s="1095"/>
      <c r="AF173" s="1095"/>
      <c r="AG173" s="1095"/>
      <c r="AH173" s="1095"/>
      <c r="AI173" s="1095"/>
      <c r="AJ173" s="1095"/>
    </row>
    <row r="174" spans="1:36" ht="13" x14ac:dyDescent="0.3">
      <c r="A174" s="1095"/>
      <c r="B174" s="1097" t="s">
        <v>1184</v>
      </c>
      <c r="C174" s="1095"/>
      <c r="D174" s="1096" t="s">
        <v>1196</v>
      </c>
      <c r="E174" s="1096" t="s">
        <v>1194</v>
      </c>
      <c r="F174" s="1096" t="s">
        <v>1197</v>
      </c>
      <c r="G174" s="1096" t="s">
        <v>1195</v>
      </c>
      <c r="H174" s="1095"/>
      <c r="I174" s="1095"/>
      <c r="J174" s="1095"/>
      <c r="K174" s="1095"/>
      <c r="L174" s="1095"/>
      <c r="M174" s="1096"/>
      <c r="N174" s="1096"/>
      <c r="O174" s="1095"/>
      <c r="P174" s="1095"/>
      <c r="Q174" s="1095"/>
      <c r="R174" s="1095"/>
      <c r="S174" s="1095"/>
      <c r="T174" s="1095"/>
      <c r="U174" s="1095"/>
      <c r="V174" s="1095"/>
      <c r="W174" s="1095"/>
      <c r="X174" s="1095"/>
      <c r="Y174" s="1095"/>
      <c r="Z174" s="1095"/>
      <c r="AA174" s="1095"/>
      <c r="AB174" s="1095"/>
      <c r="AC174" s="1095"/>
      <c r="AD174" s="1095"/>
      <c r="AE174" s="1095"/>
      <c r="AF174" s="1095"/>
      <c r="AG174" s="1095"/>
      <c r="AH174" s="1095"/>
      <c r="AI174" s="1095"/>
      <c r="AJ174" s="1095"/>
    </row>
    <row r="175" spans="1:36" x14ac:dyDescent="0.25">
      <c r="A175" s="1095"/>
      <c r="B175">
        <v>0</v>
      </c>
      <c r="C175" s="1098" t="s">
        <v>1185</v>
      </c>
      <c r="D175" s="1112">
        <f>+K51</f>
        <v>1.738021291813364</v>
      </c>
      <c r="E175" s="1112">
        <f>+D175</f>
        <v>1.738021291813364</v>
      </c>
      <c r="F175" s="1112"/>
      <c r="G175" s="1112"/>
      <c r="H175" s="1095"/>
      <c r="I175" s="1095"/>
      <c r="J175" s="1095"/>
      <c r="K175" s="1095"/>
      <c r="L175" s="1095"/>
      <c r="M175" s="1229"/>
      <c r="N175" s="1229"/>
      <c r="O175" s="1095"/>
      <c r="P175" s="1095"/>
      <c r="Q175" s="1095"/>
      <c r="R175" s="1095"/>
      <c r="S175" s="1095"/>
      <c r="T175" s="1095"/>
      <c r="U175" s="1095"/>
      <c r="V175" s="1095"/>
      <c r="W175" s="1095"/>
      <c r="X175" s="1095"/>
      <c r="Y175" s="1095"/>
      <c r="Z175" s="1095"/>
      <c r="AA175" s="1095"/>
      <c r="AB175" s="1095"/>
      <c r="AC175" s="1095"/>
      <c r="AD175" s="1095"/>
      <c r="AE175" s="1095"/>
      <c r="AF175" s="1095"/>
      <c r="AG175" s="1095"/>
      <c r="AH175" s="1095"/>
      <c r="AI175" s="1095"/>
      <c r="AJ175" s="1095"/>
    </row>
    <row r="176" spans="1:36" x14ac:dyDescent="0.25">
      <c r="A176" s="1095"/>
      <c r="B176" s="1095">
        <v>1</v>
      </c>
      <c r="C176" s="1099" t="str">
        <f ca="1">OFFSET($B$50,0,MATCH($B176,$C$72:$I$72,0))&amp;
IF(OFFSET($F$2,MATCH($B176,$C$72:$I$72,0),0)&lt;1,
"
= "&amp;OFFSET($F$2,MATCH($B176,$C$72:$I$72,0),0)*100-100,
"
= +"&amp;OFFSET($F$2,MATCH($B176,$C$72:$I$72,0),0)*100-100)
&amp;"%"</f>
        <v>Feedstock consumption (% of most likely value)
= -5%</v>
      </c>
      <c r="D176" s="1112">
        <f>+K66</f>
        <v>1.6770445332498354</v>
      </c>
      <c r="E176" s="1112">
        <f t="shared" ref="E176:E181" si="87">+E175+G175-F176</f>
        <v>1.6770445332498354</v>
      </c>
      <c r="F176" s="1112">
        <f>+MAX(D175-D176,0)</f>
        <v>6.0976758563528577E-2</v>
      </c>
      <c r="G176" s="1112">
        <f>+MAX(D176-D175,0)</f>
        <v>0</v>
      </c>
      <c r="H176" s="1095"/>
      <c r="I176" s="1095"/>
      <c r="J176" s="1095"/>
      <c r="K176" s="1095"/>
      <c r="L176" s="1095"/>
      <c r="M176" s="1229"/>
      <c r="N176" s="1229"/>
      <c r="O176" s="1095"/>
      <c r="P176" s="1095"/>
      <c r="Q176" s="1095"/>
      <c r="R176" s="1095"/>
      <c r="S176" s="1095"/>
      <c r="T176" s="1095"/>
      <c r="U176" s="1095"/>
      <c r="V176" s="1095"/>
      <c r="W176" s="1095"/>
      <c r="X176" s="1095"/>
      <c r="Y176" s="1095"/>
      <c r="Z176" s="1095"/>
      <c r="AA176" s="1095"/>
      <c r="AB176" s="1095"/>
      <c r="AC176" s="1095"/>
      <c r="AD176" s="1095"/>
      <c r="AE176" s="1095"/>
      <c r="AF176" s="1095"/>
      <c r="AG176" s="1095"/>
      <c r="AH176" s="1095"/>
      <c r="AI176" s="1095"/>
      <c r="AJ176" s="1095"/>
    </row>
    <row r="177" spans="1:36" x14ac:dyDescent="0.25">
      <c r="A177" s="1095"/>
      <c r="B177" s="1095">
        <v>2</v>
      </c>
      <c r="C177" s="1099" t="str">
        <f ca="1">OFFSET($B$50,0,MATCH($B177,$C$72:$I$72,0))&amp;
IF(OFFSET($F$2,MATCH($B177,$C$72:$I$72,0),0)&lt;1,
"
= "&amp;OFFSET($F$2,MATCH($B177,$C$72:$I$72,0),0)*100-100,
"
= +"&amp;OFFSET($F$2,MATCH($B177,$C$72:$I$72,0),0)*100-100)
&amp;"%"</f>
        <v>Operating capacity factor
= +5%</v>
      </c>
      <c r="D177" s="1112">
        <f>+K67</f>
        <v>1.6558288361723175</v>
      </c>
      <c r="E177" s="1112">
        <f t="shared" si="87"/>
        <v>1.6558288361723175</v>
      </c>
      <c r="F177" s="1112">
        <f>+MAX(D176-D177,0)</f>
        <v>2.1215697077517914E-2</v>
      </c>
      <c r="G177" s="1112">
        <f>+MAX(D177-D176,0)</f>
        <v>0</v>
      </c>
      <c r="H177" s="1095"/>
      <c r="I177" s="1095"/>
      <c r="J177" s="1095"/>
      <c r="K177" s="1095"/>
      <c r="L177" s="1095"/>
      <c r="M177" s="1229"/>
      <c r="N177" s="1229"/>
      <c r="O177" s="1095"/>
      <c r="P177" s="1095"/>
      <c r="Q177" s="1095"/>
      <c r="R177" s="1095"/>
      <c r="S177" s="1095"/>
      <c r="T177" s="1095"/>
      <c r="U177" s="1095"/>
      <c r="V177" s="1095"/>
      <c r="W177" s="1095"/>
      <c r="X177" s="1095"/>
      <c r="Y177" s="1095"/>
      <c r="Z177" s="1095"/>
      <c r="AA177" s="1095"/>
      <c r="AB177" s="1095"/>
      <c r="AC177" s="1095"/>
      <c r="AD177" s="1095"/>
      <c r="AE177" s="1095"/>
      <c r="AF177" s="1095"/>
      <c r="AG177" s="1095"/>
      <c r="AH177" s="1095"/>
      <c r="AI177" s="1095"/>
      <c r="AJ177" s="1095"/>
    </row>
    <row r="178" spans="1:36" x14ac:dyDescent="0.25">
      <c r="A178" s="1095"/>
      <c r="B178" s="1095">
        <v>3</v>
      </c>
      <c r="C178" s="1099" t="str">
        <f ca="1">OFFSET($B$50,0,MATCH($B178,$C$72:$I$72,0))&amp;
IF(OFFSET($F$2,MATCH($B178,$C$72:$I$72,0),0)&lt;1,
"
= "&amp;OFFSET($F$2,MATCH($B178,$C$72:$I$72,0),0)*100-100,
"
= +"&amp;OFFSET($F$2,MATCH($B178,$C$72:$I$72,0),0)*100-100)
&amp;"%"</f>
        <v>Total capital investment ($)
= -5%</v>
      </c>
      <c r="D178" s="1112">
        <f>+K68</f>
        <v>1.6422189266804679</v>
      </c>
      <c r="E178" s="1112">
        <f t="shared" si="87"/>
        <v>1.6422189266804679</v>
      </c>
      <c r="F178" s="1112">
        <f>+MAX(D177-D178,0)</f>
        <v>1.3609909491849592E-2</v>
      </c>
      <c r="G178" s="1112">
        <f>+MAX(D178-D177,0)</f>
        <v>0</v>
      </c>
      <c r="H178" s="1095"/>
      <c r="I178" s="1095"/>
      <c r="J178" s="1095"/>
      <c r="K178" s="1095"/>
      <c r="L178" s="1095"/>
      <c r="M178" s="1229"/>
      <c r="N178" s="1229"/>
      <c r="O178" s="1095"/>
      <c r="P178" s="1095"/>
      <c r="Q178" s="1095"/>
      <c r="R178" s="1095"/>
      <c r="S178" s="1095"/>
      <c r="T178" s="1095"/>
      <c r="U178" s="1095"/>
      <c r="V178" s="1095"/>
      <c r="W178" s="1095"/>
      <c r="X178" s="1095"/>
      <c r="Y178" s="1095"/>
      <c r="Z178" s="1095"/>
      <c r="AA178" s="1095"/>
      <c r="AB178" s="1095"/>
      <c r="AC178" s="1095"/>
      <c r="AD178" s="1095"/>
      <c r="AE178" s="1095"/>
      <c r="AF178" s="1095"/>
      <c r="AG178" s="1095"/>
      <c r="AH178" s="1095"/>
      <c r="AI178" s="1095"/>
      <c r="AJ178" s="1095"/>
    </row>
    <row r="179" spans="1:36" x14ac:dyDescent="0.25">
      <c r="A179" s="1095"/>
      <c r="B179" s="1095">
        <v>4</v>
      </c>
      <c r="C179" s="1099" t="str">
        <f ca="1">OFFSET($B$50,0,MATCH($B179,$C$72:$I$72,0))&amp;
IF(OFFSET($F$2,MATCH($B179,$C$72:$I$72,0),0)&lt;1,
"
= "&amp;OFFSET($F$2,MATCH($B179,$C$72:$I$72,0),0)*100-100,
"
= +"&amp;OFFSET($F$2,MATCH($B179,$C$72:$I$72,0),0)*100-100)
&amp;"%"</f>
        <v>Total fixed operating cost ($/year)
= -5%</v>
      </c>
      <c r="D179" s="1112">
        <f>+K69</f>
        <v>1.63715372541712</v>
      </c>
      <c r="E179" s="1112">
        <f t="shared" si="87"/>
        <v>1.63715372541712</v>
      </c>
      <c r="F179" s="1112">
        <f>+MAX(D178-D179,0)</f>
        <v>5.0652012633478627E-3</v>
      </c>
      <c r="G179" s="1112">
        <f>+MAX(D179-D178,0)</f>
        <v>0</v>
      </c>
      <c r="H179" s="1095"/>
      <c r="I179" s="1095"/>
      <c r="J179" s="1095"/>
      <c r="K179" s="1095"/>
      <c r="L179" s="1095"/>
      <c r="M179" s="1229"/>
      <c r="N179" s="1229"/>
      <c r="O179" s="1095"/>
      <c r="P179" s="1095"/>
      <c r="Q179" s="1095"/>
      <c r="R179" s="1095"/>
      <c r="S179" s="1095"/>
      <c r="T179" s="1095"/>
      <c r="U179" s="1095"/>
      <c r="V179" s="1095"/>
      <c r="W179" s="1095"/>
      <c r="X179" s="1095"/>
      <c r="Y179" s="1095"/>
      <c r="Z179" s="1095"/>
      <c r="AA179" s="1095"/>
      <c r="AB179" s="1095"/>
      <c r="AC179" s="1095"/>
      <c r="AD179" s="1095"/>
      <c r="AE179" s="1095"/>
      <c r="AF179" s="1095"/>
      <c r="AG179" s="1095"/>
      <c r="AH179" s="1095"/>
      <c r="AI179" s="1095"/>
      <c r="AJ179" s="1095"/>
    </row>
    <row r="180" spans="1:36" x14ac:dyDescent="0.25">
      <c r="A180" s="1095"/>
      <c r="B180" s="1095">
        <v>5</v>
      </c>
      <c r="C180" s="1099" t="str">
        <f ca="1">OFFSET($B$50,0,MATCH($B180,$C$72:$I$72,0))&amp;
IF(OFFSET($F$2,MATCH($B180,$C$72:$I$72,0),0)&lt;1,
"
= "&amp;OFFSET($F$2,MATCH($B180,$C$72:$I$72,0),0)*100-100,
"
= +"&amp;OFFSET($F$2,MATCH($B180,$C$72:$I$72,0),0)*100-100)
&amp;"%"</f>
        <v>Utilities consumption (% of most likely value)
= -5%</v>
      </c>
      <c r="D180" s="1112">
        <f>+K70</f>
        <v>1.6346904343067814</v>
      </c>
      <c r="E180" s="1112">
        <f t="shared" si="87"/>
        <v>1.6346904343067814</v>
      </c>
      <c r="F180" s="1112">
        <f>+MAX(D179-D180,0)</f>
        <v>2.4632911103386057E-3</v>
      </c>
      <c r="G180" s="1112">
        <f>+MAX(D180-D179,0)</f>
        <v>0</v>
      </c>
      <c r="H180" s="1095"/>
      <c r="I180" s="1095"/>
      <c r="J180" s="1095"/>
      <c r="K180" s="1095"/>
      <c r="L180" s="1095"/>
      <c r="M180" s="1229"/>
      <c r="N180" s="1229"/>
      <c r="O180" s="1095"/>
      <c r="P180" s="1095"/>
      <c r="Q180" s="1095"/>
      <c r="R180" s="1095"/>
      <c r="S180" s="1095"/>
      <c r="T180" s="1095"/>
      <c r="U180" s="1095"/>
      <c r="V180" s="1095"/>
      <c r="W180" s="1095"/>
      <c r="X180" s="1095"/>
      <c r="Y180" s="1095"/>
      <c r="Z180" s="1095"/>
      <c r="AA180" s="1095"/>
      <c r="AB180" s="1095"/>
      <c r="AC180" s="1095"/>
      <c r="AD180" s="1095"/>
      <c r="AE180" s="1095"/>
      <c r="AF180" s="1095"/>
      <c r="AG180" s="1095"/>
      <c r="AH180" s="1095"/>
      <c r="AI180" s="1095"/>
      <c r="AJ180" s="1095"/>
    </row>
    <row r="181" spans="1:36" x14ac:dyDescent="0.25">
      <c r="A181" s="1095"/>
      <c r="B181" s="1095">
        <v>6</v>
      </c>
      <c r="C181" s="1098" t="s">
        <v>1192</v>
      </c>
      <c r="D181" s="1112">
        <f>+K70</f>
        <v>1.6346904343067814</v>
      </c>
      <c r="E181" s="1112">
        <f t="shared" si="87"/>
        <v>1.6346904343067814</v>
      </c>
      <c r="F181" s="1112"/>
      <c r="G181" s="1112"/>
      <c r="H181" s="1095"/>
      <c r="I181" s="1095"/>
      <c r="J181" s="1095"/>
      <c r="K181" s="1095"/>
      <c r="L181" s="1095"/>
      <c r="M181" s="1229"/>
      <c r="N181" s="1229"/>
      <c r="O181" s="1095"/>
      <c r="P181" s="1095"/>
      <c r="Q181" s="1095"/>
      <c r="R181" s="1095"/>
      <c r="S181" s="1095"/>
      <c r="T181" s="1095"/>
      <c r="U181" s="1095"/>
      <c r="V181" s="1095"/>
      <c r="W181" s="1095"/>
      <c r="X181" s="1095"/>
      <c r="Y181" s="1095"/>
      <c r="Z181" s="1095"/>
      <c r="AA181" s="1095"/>
      <c r="AB181" s="1095"/>
      <c r="AC181" s="1095"/>
      <c r="AD181" s="1095"/>
      <c r="AE181" s="1095"/>
      <c r="AF181" s="1095"/>
      <c r="AG181" s="1095"/>
      <c r="AH181" s="1095"/>
      <c r="AI181" s="1095"/>
      <c r="AJ181" s="1095"/>
    </row>
    <row r="182" spans="1:36" x14ac:dyDescent="0.25">
      <c r="A182" s="1095"/>
      <c r="B182" s="1095"/>
      <c r="C182" s="1095"/>
      <c r="D182" s="1095"/>
      <c r="E182" s="1095"/>
      <c r="F182" s="1095"/>
      <c r="G182" s="1095"/>
      <c r="H182" s="1095"/>
      <c r="I182" s="1095"/>
      <c r="J182" s="1095"/>
      <c r="K182" s="1095"/>
      <c r="L182" s="1095"/>
      <c r="M182" s="1095"/>
      <c r="N182" s="1095"/>
      <c r="O182" s="1095"/>
      <c r="P182" s="1095"/>
      <c r="Q182" s="1095"/>
      <c r="R182" s="1095"/>
      <c r="S182" s="1095"/>
      <c r="T182" s="1095"/>
      <c r="U182" s="1095"/>
      <c r="V182" s="1095"/>
      <c r="W182" s="1095"/>
      <c r="X182" s="1095"/>
      <c r="Y182" s="1095"/>
      <c r="Z182" s="1095"/>
      <c r="AA182" s="1095"/>
      <c r="AB182" s="1095"/>
      <c r="AC182" s="1095"/>
      <c r="AD182" s="1095"/>
      <c r="AE182" s="1095"/>
      <c r="AF182" s="1095"/>
      <c r="AG182" s="1095"/>
      <c r="AH182" s="1095"/>
      <c r="AI182" s="1095"/>
      <c r="AJ182" s="1095"/>
    </row>
    <row r="183" spans="1:36" x14ac:dyDescent="0.25">
      <c r="A183" s="1095"/>
      <c r="B183" s="1095"/>
      <c r="C183" s="1095"/>
      <c r="D183" s="1095"/>
      <c r="E183" s="1095"/>
      <c r="F183" s="1095"/>
      <c r="G183" s="1095"/>
      <c r="H183" s="1095"/>
      <c r="I183" s="1095"/>
      <c r="J183" s="1095"/>
      <c r="K183" s="1095"/>
      <c r="L183" s="1095"/>
      <c r="M183" s="1095"/>
      <c r="N183" s="1095"/>
      <c r="O183" s="1095"/>
      <c r="P183" s="1095"/>
      <c r="Q183" s="1095"/>
      <c r="R183" s="1095"/>
      <c r="S183" s="1095"/>
      <c r="T183" s="1095"/>
      <c r="U183" s="1095"/>
      <c r="V183" s="1095"/>
      <c r="W183" s="1095"/>
      <c r="X183" s="1095"/>
      <c r="Y183" s="1095"/>
      <c r="Z183" s="1095"/>
      <c r="AA183" s="1095"/>
      <c r="AB183" s="1095"/>
      <c r="AC183" s="1095"/>
      <c r="AD183" s="1095"/>
      <c r="AE183" s="1095"/>
      <c r="AF183" s="1095"/>
      <c r="AG183" s="1095"/>
      <c r="AH183" s="1095"/>
      <c r="AI183" s="1095"/>
      <c r="AJ183" s="1095"/>
    </row>
    <row r="184" spans="1:36" x14ac:dyDescent="0.25">
      <c r="A184" s="1095"/>
      <c r="B184" s="1095"/>
      <c r="C184" s="1095"/>
      <c r="D184" s="1095"/>
      <c r="E184" s="1095"/>
      <c r="F184" s="1095"/>
      <c r="G184" s="1095"/>
      <c r="H184" s="1095"/>
      <c r="I184" s="1095"/>
      <c r="J184" s="1095"/>
      <c r="K184" s="1095"/>
      <c r="L184" s="1095"/>
      <c r="M184" s="1095"/>
      <c r="N184" s="1095"/>
      <c r="O184" s="1095"/>
      <c r="P184" s="1095"/>
      <c r="Q184" s="1095"/>
      <c r="R184" s="1095"/>
      <c r="S184" s="1095"/>
      <c r="T184" s="1095"/>
      <c r="U184" s="1095"/>
      <c r="V184" s="1095"/>
      <c r="W184" s="1095"/>
      <c r="X184" s="1095"/>
      <c r="Y184" s="1095"/>
      <c r="Z184" s="1095"/>
      <c r="AA184" s="1095"/>
      <c r="AB184" s="1095"/>
      <c r="AC184" s="1095"/>
      <c r="AD184" s="1095"/>
      <c r="AE184" s="1095"/>
      <c r="AF184" s="1095"/>
      <c r="AG184" s="1095"/>
      <c r="AH184" s="1095"/>
      <c r="AI184" s="1095"/>
      <c r="AJ184" s="1095"/>
    </row>
    <row r="185" spans="1:36" x14ac:dyDescent="0.25">
      <c r="A185" s="1095"/>
      <c r="B185" s="1095"/>
      <c r="C185" s="1095"/>
      <c r="D185" s="1095"/>
      <c r="E185" s="1095"/>
      <c r="F185" s="1095"/>
      <c r="G185" s="1095"/>
      <c r="H185" s="1095"/>
      <c r="I185" s="1095"/>
      <c r="J185" s="1095"/>
      <c r="K185" s="1095"/>
      <c r="L185" s="1095"/>
      <c r="M185" s="1095"/>
      <c r="N185" s="1095"/>
      <c r="O185" s="1095"/>
      <c r="P185" s="1095"/>
      <c r="Q185" s="1095"/>
      <c r="R185" s="1095"/>
      <c r="S185" s="1095"/>
      <c r="T185" s="1095"/>
      <c r="U185" s="1095"/>
      <c r="V185" s="1095"/>
      <c r="W185" s="1095"/>
      <c r="X185" s="1095"/>
      <c r="Y185" s="1095"/>
      <c r="Z185" s="1095"/>
      <c r="AA185" s="1095"/>
      <c r="AB185" s="1095"/>
      <c r="AC185" s="1095"/>
      <c r="AD185" s="1095"/>
      <c r="AE185" s="1095"/>
      <c r="AF185" s="1095"/>
      <c r="AG185" s="1095"/>
      <c r="AH185" s="1095"/>
      <c r="AI185" s="1095"/>
      <c r="AJ185" s="1095"/>
    </row>
    <row r="186" spans="1:36" x14ac:dyDescent="0.25">
      <c r="A186" s="1095"/>
      <c r="B186" s="1095"/>
      <c r="C186" s="1095"/>
      <c r="D186" s="1095"/>
      <c r="E186" s="1095"/>
      <c r="F186" s="1095"/>
      <c r="G186" s="1095"/>
      <c r="H186" s="1095"/>
      <c r="I186" s="1095"/>
      <c r="J186" s="1095"/>
      <c r="K186" s="1095"/>
      <c r="L186" s="1095"/>
      <c r="M186" s="1095"/>
      <c r="N186" s="1095"/>
      <c r="O186" s="1095"/>
      <c r="P186" s="1095"/>
      <c r="Q186" s="1095"/>
      <c r="R186" s="1095"/>
      <c r="S186" s="1095"/>
      <c r="T186" s="1095"/>
      <c r="U186" s="1095"/>
      <c r="V186" s="1095"/>
      <c r="W186" s="1095"/>
      <c r="X186" s="1095"/>
      <c r="Y186" s="1095"/>
      <c r="Z186" s="1095"/>
      <c r="AA186" s="1095"/>
      <c r="AB186" s="1095"/>
      <c r="AC186" s="1095"/>
      <c r="AD186" s="1095"/>
      <c r="AE186" s="1095"/>
      <c r="AF186" s="1095"/>
      <c r="AG186" s="1095"/>
      <c r="AH186" s="1095"/>
      <c r="AI186" s="1095"/>
      <c r="AJ186" s="1095"/>
    </row>
    <row r="187" spans="1:36" x14ac:dyDescent="0.25">
      <c r="A187" s="1095"/>
      <c r="B187" s="1095"/>
      <c r="C187" s="1095"/>
      <c r="D187" s="1095"/>
      <c r="E187" s="1095"/>
      <c r="F187" s="1095"/>
      <c r="G187" s="1095"/>
      <c r="H187" s="1095"/>
      <c r="I187" s="1095"/>
      <c r="J187" s="1095"/>
      <c r="K187" s="1095"/>
      <c r="L187" s="1095"/>
      <c r="M187" s="1095"/>
      <c r="N187" s="1095"/>
      <c r="O187" s="1095"/>
      <c r="P187" s="1095"/>
      <c r="Q187" s="1095"/>
      <c r="R187" s="1095"/>
      <c r="S187" s="1095"/>
      <c r="T187" s="1095"/>
      <c r="U187" s="1095"/>
      <c r="V187" s="1095"/>
      <c r="W187" s="1095"/>
      <c r="X187" s="1095"/>
      <c r="Y187" s="1095"/>
      <c r="Z187" s="1095"/>
      <c r="AA187" s="1095"/>
      <c r="AB187" s="1095"/>
      <c r="AC187" s="1095"/>
      <c r="AD187" s="1095"/>
      <c r="AE187" s="1095"/>
      <c r="AF187" s="1095"/>
      <c r="AG187" s="1095"/>
      <c r="AH187" s="1095"/>
      <c r="AI187" s="1095"/>
      <c r="AJ187" s="1095"/>
    </row>
    <row r="188" spans="1:36" x14ac:dyDescent="0.25">
      <c r="A188" s="1095"/>
      <c r="B188" s="1095"/>
      <c r="C188" s="1095"/>
      <c r="D188" s="1095"/>
      <c r="E188" s="1095"/>
      <c r="F188" s="1095"/>
      <c r="G188" s="1095"/>
      <c r="H188" s="1095"/>
      <c r="I188" s="1095"/>
      <c r="J188" s="1095"/>
      <c r="K188" s="1095"/>
      <c r="L188" s="1095"/>
      <c r="M188" s="1095"/>
      <c r="N188" s="1095"/>
      <c r="O188" s="1095"/>
      <c r="P188" s="1095"/>
      <c r="Q188" s="1095"/>
      <c r="R188" s="1095"/>
      <c r="S188" s="1095"/>
      <c r="T188" s="1095"/>
      <c r="U188" s="1095"/>
      <c r="V188" s="1095"/>
      <c r="W188" s="1095"/>
      <c r="X188" s="1095"/>
      <c r="Y188" s="1095"/>
      <c r="Z188" s="1095"/>
      <c r="AA188" s="1095"/>
      <c r="AB188" s="1095"/>
      <c r="AC188" s="1095"/>
      <c r="AD188" s="1095"/>
      <c r="AE188" s="1095"/>
      <c r="AF188" s="1095"/>
      <c r="AG188" s="1095"/>
      <c r="AH188" s="1095"/>
      <c r="AI188" s="1095"/>
      <c r="AJ188" s="1095"/>
    </row>
    <row r="189" spans="1:36" x14ac:dyDescent="0.25">
      <c r="A189" s="1095"/>
      <c r="B189" s="1450" t="s">
        <v>1304</v>
      </c>
      <c r="C189" s="1451">
        <f>+MIN(F3:G3)</f>
        <v>0.95</v>
      </c>
      <c r="D189" s="1451">
        <f>+MIN(F4:G4)</f>
        <v>0.95</v>
      </c>
      <c r="E189" s="1451">
        <f>+MIN(F5:G5)</f>
        <v>0.95</v>
      </c>
      <c r="F189" s="1451">
        <f>+MIN(F6:G6)</f>
        <v>0.95</v>
      </c>
      <c r="G189" s="1451">
        <f>+MIN(F7:G7)</f>
        <v>0.95</v>
      </c>
      <c r="H189" s="1451">
        <f>+MIN(F8:G8)</f>
        <v>0.95</v>
      </c>
      <c r="I189" s="1451">
        <f>+MIN(F9:G9)</f>
        <v>0.95</v>
      </c>
      <c r="J189" s="1095"/>
      <c r="K189" s="1095"/>
      <c r="L189" s="1095"/>
      <c r="M189" s="1095"/>
      <c r="N189" s="1095"/>
      <c r="O189" s="1095"/>
      <c r="P189" s="1095"/>
      <c r="Q189" s="1095"/>
      <c r="R189" s="1095"/>
      <c r="S189" s="1095"/>
      <c r="T189" s="1095"/>
      <c r="U189" s="1095"/>
      <c r="V189" s="1095"/>
      <c r="W189" s="1095"/>
      <c r="X189" s="1095"/>
      <c r="Y189" s="1095"/>
      <c r="Z189" s="1095"/>
      <c r="AA189" s="1095"/>
      <c r="AB189" s="1095"/>
      <c r="AC189" s="1095"/>
      <c r="AD189" s="1095"/>
      <c r="AE189" s="1095"/>
      <c r="AF189" s="1095"/>
      <c r="AG189" s="1095"/>
      <c r="AH189" s="1095"/>
      <c r="AI189" s="1095"/>
      <c r="AJ189" s="1095"/>
    </row>
    <row r="190" spans="1:36" x14ac:dyDescent="0.25">
      <c r="A190" s="1095"/>
      <c r="B190" s="1450" t="s">
        <v>1306</v>
      </c>
      <c r="C190" s="1452">
        <v>1</v>
      </c>
      <c r="D190" s="1452">
        <v>1</v>
      </c>
      <c r="E190" s="1452">
        <v>1</v>
      </c>
      <c r="F190" s="1452">
        <v>1</v>
      </c>
      <c r="G190" s="1452">
        <v>1</v>
      </c>
      <c r="H190" s="1452">
        <v>1</v>
      </c>
      <c r="I190" s="1452">
        <v>1</v>
      </c>
      <c r="J190" s="1095"/>
      <c r="K190" s="1095"/>
      <c r="L190" s="1095"/>
      <c r="M190" s="1095"/>
      <c r="N190" s="1095"/>
      <c r="O190" s="1095"/>
      <c r="P190" s="1095"/>
      <c r="Q190" s="1095"/>
      <c r="R190" s="1095"/>
      <c r="S190" s="1095"/>
      <c r="T190" s="1095"/>
      <c r="U190" s="1095"/>
      <c r="V190" s="1095"/>
      <c r="W190" s="1095"/>
      <c r="X190" s="1095"/>
      <c r="Y190" s="1095"/>
      <c r="Z190" s="1095"/>
      <c r="AA190" s="1095"/>
      <c r="AB190" s="1095"/>
      <c r="AC190" s="1095"/>
      <c r="AD190" s="1095"/>
      <c r="AE190" s="1095"/>
      <c r="AF190" s="1095"/>
      <c r="AG190" s="1095"/>
      <c r="AH190" s="1095"/>
      <c r="AI190" s="1095"/>
      <c r="AJ190" s="1095"/>
    </row>
    <row r="191" spans="1:36" x14ac:dyDescent="0.25">
      <c r="A191" s="1095"/>
      <c r="B191" s="1450" t="s">
        <v>1305</v>
      </c>
      <c r="C191" s="1451">
        <f>+MAX(F3:G3)</f>
        <v>1.05</v>
      </c>
      <c r="D191" s="1451">
        <f>+MAX(F4:G4)</f>
        <v>1.05</v>
      </c>
      <c r="E191" s="1451">
        <f>+MAX(F5:G5)</f>
        <v>1.05</v>
      </c>
      <c r="F191" s="1451">
        <f>+MAX(F6:G6)</f>
        <v>1.05</v>
      </c>
      <c r="G191" s="1451">
        <f>+MAX(F7:G7)</f>
        <v>1.05</v>
      </c>
      <c r="H191" s="1451">
        <f>+MAX(F8:G8)</f>
        <v>1.05</v>
      </c>
      <c r="I191" s="1451">
        <f>+MAX(F9:G9)</f>
        <v>1.05</v>
      </c>
      <c r="J191" s="1095"/>
      <c r="K191" s="1095"/>
      <c r="L191" s="1095"/>
      <c r="M191" s="1095"/>
      <c r="N191" s="1095"/>
      <c r="O191" s="1095"/>
      <c r="P191" s="1095"/>
      <c r="Q191" s="1095"/>
      <c r="R191" s="1095"/>
      <c r="S191" s="1095"/>
      <c r="T191" s="1095"/>
      <c r="U191" s="1095"/>
      <c r="V191" s="1095"/>
      <c r="W191" s="1095"/>
      <c r="X191" s="1095"/>
      <c r="Y191" s="1095"/>
      <c r="Z191" s="1095"/>
      <c r="AA191" s="1095"/>
      <c r="AB191" s="1095"/>
      <c r="AC191" s="1095"/>
      <c r="AD191" s="1095"/>
      <c r="AE191" s="1095"/>
      <c r="AF191" s="1095"/>
      <c r="AG191" s="1095"/>
      <c r="AH191" s="1095"/>
      <c r="AI191" s="1095"/>
      <c r="AJ191" s="1095"/>
    </row>
    <row r="192" spans="1:36" x14ac:dyDescent="0.25">
      <c r="A192" s="1095"/>
      <c r="B192" s="1095"/>
      <c r="C192" s="1095"/>
      <c r="D192" s="1095"/>
      <c r="E192" s="1095"/>
      <c r="F192" s="1095"/>
      <c r="G192" s="1095"/>
      <c r="H192" s="1095"/>
      <c r="I192" s="1095"/>
      <c r="J192" s="1095"/>
      <c r="K192" s="1095"/>
      <c r="L192" s="1095"/>
      <c r="M192" s="1095"/>
      <c r="N192" s="1095"/>
      <c r="O192" s="1095"/>
      <c r="P192" s="1095"/>
      <c r="Q192" s="1095"/>
      <c r="R192" s="1095"/>
      <c r="S192" s="1095"/>
      <c r="T192" s="1095"/>
      <c r="U192" s="1095"/>
      <c r="V192" s="1095"/>
      <c r="W192" s="1095"/>
      <c r="X192" s="1095"/>
      <c r="Y192" s="1095"/>
      <c r="Z192" s="1095"/>
      <c r="AA192" s="1095"/>
      <c r="AB192" s="1095"/>
      <c r="AC192" s="1095"/>
      <c r="AD192" s="1095"/>
      <c r="AE192" s="1095"/>
      <c r="AF192" s="1095"/>
      <c r="AG192" s="1095"/>
      <c r="AH192" s="1095"/>
      <c r="AI192" s="1095"/>
      <c r="AJ192" s="1095"/>
    </row>
    <row r="193" spans="1:36" x14ac:dyDescent="0.25">
      <c r="A193" s="1095"/>
      <c r="B193" s="1095"/>
      <c r="C193" s="1095"/>
      <c r="D193" s="1095"/>
      <c r="E193" s="1095"/>
      <c r="F193" s="1095"/>
      <c r="G193" s="1095"/>
      <c r="H193" s="1095"/>
      <c r="I193" s="1095"/>
      <c r="J193" s="1095"/>
      <c r="K193" s="1095"/>
      <c r="L193" s="1095"/>
      <c r="M193" s="1095"/>
      <c r="N193" s="1095"/>
      <c r="O193" s="1095"/>
      <c r="P193" s="1095"/>
      <c r="Q193" s="1095"/>
      <c r="R193" s="1095"/>
      <c r="S193" s="1095"/>
      <c r="T193" s="1095"/>
      <c r="U193" s="1095"/>
      <c r="V193" s="1095"/>
      <c r="W193" s="1095"/>
      <c r="X193" s="1095"/>
      <c r="Y193" s="1095"/>
      <c r="Z193" s="1095"/>
      <c r="AA193" s="1095"/>
      <c r="AB193" s="1095"/>
      <c r="AC193" s="1095"/>
      <c r="AD193" s="1095"/>
      <c r="AE193" s="1095"/>
      <c r="AF193" s="1095"/>
      <c r="AG193" s="1095"/>
      <c r="AH193" s="1095"/>
      <c r="AI193" s="1095"/>
      <c r="AJ193" s="1095"/>
    </row>
    <row r="194" spans="1:36" x14ac:dyDescent="0.25">
      <c r="A194" s="1095"/>
      <c r="B194" s="1096" t="s">
        <v>1312</v>
      </c>
      <c r="C194" s="1095">
        <f>+MATCH(R12,C50:Y50,0)</f>
        <v>9</v>
      </c>
      <c r="D194" s="1095"/>
      <c r="E194" s="1095"/>
      <c r="F194" s="1095"/>
      <c r="G194" s="1095"/>
      <c r="H194" s="1095"/>
      <c r="I194" s="1095"/>
      <c r="J194" s="1095"/>
      <c r="K194" s="1095"/>
      <c r="L194" s="1095"/>
      <c r="M194" s="1095"/>
      <c r="N194" s="1095"/>
      <c r="O194" s="1095"/>
      <c r="P194" s="1095"/>
      <c r="Q194" s="1095"/>
      <c r="R194" s="1095"/>
      <c r="S194" s="1095"/>
      <c r="T194" s="1095"/>
      <c r="U194" s="1095"/>
      <c r="V194" s="1095"/>
      <c r="W194" s="1095"/>
      <c r="X194" s="1095"/>
      <c r="Y194" s="1095"/>
      <c r="Z194" s="1095"/>
      <c r="AA194" s="1095"/>
      <c r="AB194" s="1095"/>
      <c r="AC194" s="1095"/>
      <c r="AD194" s="1095"/>
      <c r="AE194" s="1095"/>
      <c r="AF194" s="1095"/>
      <c r="AG194" s="1095"/>
      <c r="AH194" s="1095"/>
      <c r="AI194" s="1095"/>
      <c r="AJ194" s="1095"/>
    </row>
    <row r="195" spans="1:36" x14ac:dyDescent="0.25">
      <c r="A195" s="1095"/>
      <c r="B195" s="1096" t="s">
        <v>1308</v>
      </c>
      <c r="C195" s="1095">
        <f ca="1">+MIN(OFFSET($B$251:$B$2250,0,C194))</f>
        <v>1.6614674722145049</v>
      </c>
      <c r="D195" s="1095"/>
      <c r="E195" s="1095"/>
      <c r="F195" s="1095"/>
      <c r="G195" s="1095"/>
      <c r="H195" s="1095"/>
      <c r="I195" s="1095"/>
      <c r="J195" s="1095"/>
      <c r="K195" s="1095"/>
      <c r="L195" s="1095"/>
      <c r="M195" s="1095"/>
      <c r="N195" s="1095"/>
      <c r="O195" s="1095"/>
      <c r="P195" s="1095"/>
      <c r="Q195" s="1095"/>
      <c r="R195" s="1095"/>
      <c r="S195" s="1095"/>
      <c r="T195" s="1095"/>
      <c r="U195" s="1095"/>
      <c r="V195" s="1095"/>
      <c r="W195" s="1095"/>
      <c r="X195" s="1095"/>
      <c r="Y195" s="1095"/>
      <c r="Z195" s="1095"/>
      <c r="AA195" s="1095"/>
      <c r="AB195" s="1095"/>
      <c r="AC195" s="1095"/>
      <c r="AD195" s="1095"/>
      <c r="AE195" s="1095"/>
      <c r="AF195" s="1095"/>
      <c r="AG195" s="1095"/>
      <c r="AH195" s="1095"/>
      <c r="AI195" s="1095"/>
      <c r="AJ195" s="1095"/>
    </row>
    <row r="196" spans="1:36" x14ac:dyDescent="0.25">
      <c r="A196" s="1095"/>
      <c r="B196" s="1096" t="s">
        <v>1313</v>
      </c>
      <c r="C196" s="1095">
        <f ca="1">+MAX(OFFSET($B$251:$B$2250,0,C194))</f>
        <v>1.8190006608294884</v>
      </c>
      <c r="D196" s="1095"/>
      <c r="E196" s="1095"/>
      <c r="F196" s="1095"/>
      <c r="G196" s="1095"/>
      <c r="H196" s="1095"/>
      <c r="I196" s="1095"/>
      <c r="J196" s="1095"/>
      <c r="K196" s="1095"/>
      <c r="L196" s="1095"/>
      <c r="M196" s="1095"/>
      <c r="N196" s="1095"/>
      <c r="O196" s="1095"/>
      <c r="P196" s="1095"/>
      <c r="Q196" s="1095"/>
      <c r="R196" s="1095"/>
      <c r="S196" s="1095"/>
      <c r="T196" s="1095"/>
      <c r="U196" s="1095"/>
      <c r="V196" s="1095"/>
      <c r="W196" s="1095"/>
      <c r="X196" s="1095"/>
      <c r="Y196" s="1095"/>
      <c r="Z196" s="1095"/>
      <c r="AA196" s="1095"/>
      <c r="AB196" s="1095"/>
      <c r="AC196" s="1095"/>
      <c r="AD196" s="1095"/>
      <c r="AE196" s="1095"/>
      <c r="AF196" s="1095"/>
      <c r="AG196" s="1095"/>
      <c r="AH196" s="1095"/>
      <c r="AI196" s="1095"/>
      <c r="AJ196" s="1095"/>
    </row>
    <row r="197" spans="1:36" x14ac:dyDescent="0.25">
      <c r="A197" s="1095"/>
      <c r="B197" s="1096" t="s">
        <v>1315</v>
      </c>
      <c r="C197" s="1095">
        <f ca="1">+C196-C195</f>
        <v>0.15753318861498355</v>
      </c>
      <c r="D197" s="1095"/>
      <c r="E197" s="1095"/>
      <c r="F197" s="1095"/>
      <c r="G197" s="1095"/>
      <c r="H197" s="1095"/>
      <c r="I197" s="1095"/>
      <c r="J197" s="1095"/>
      <c r="K197" s="1095"/>
      <c r="L197" s="1095"/>
      <c r="M197" s="1095"/>
      <c r="N197" s="1095"/>
      <c r="O197" s="1095"/>
      <c r="P197" s="1095"/>
      <c r="Q197" s="1095"/>
      <c r="R197" s="1095"/>
      <c r="S197" s="1095"/>
      <c r="T197" s="1095"/>
      <c r="U197" s="1095"/>
      <c r="V197" s="1095"/>
      <c r="W197" s="1095"/>
      <c r="X197" s="1095"/>
      <c r="Y197" s="1095"/>
      <c r="Z197" s="1095"/>
      <c r="AA197" s="1095"/>
      <c r="AB197" s="1095"/>
      <c r="AC197" s="1095"/>
      <c r="AD197" s="1095"/>
      <c r="AE197" s="1095"/>
      <c r="AF197" s="1095"/>
      <c r="AG197" s="1095"/>
      <c r="AH197" s="1095"/>
      <c r="AI197" s="1095"/>
      <c r="AJ197" s="1095"/>
    </row>
    <row r="198" spans="1:36" x14ac:dyDescent="0.25">
      <c r="A198" s="1095"/>
      <c r="B198" s="1096" t="s">
        <v>1314</v>
      </c>
      <c r="C198" s="1095">
        <f ca="1">+OFFSET(B199,0,C194)</f>
        <v>1</v>
      </c>
      <c r="D198" s="1095"/>
      <c r="E198" s="1095"/>
      <c r="F198" s="1095"/>
      <c r="G198" s="1095"/>
      <c r="H198" s="1095"/>
      <c r="I198" s="1095"/>
      <c r="J198" s="1095"/>
      <c r="K198" s="1095"/>
      <c r="L198" s="1095"/>
      <c r="M198" s="1095"/>
      <c r="N198" s="1095"/>
      <c r="O198" s="1095"/>
      <c r="P198" s="1095"/>
      <c r="Q198" s="1095"/>
      <c r="R198" s="1095"/>
      <c r="S198" s="1095"/>
      <c r="T198" s="1095"/>
      <c r="U198" s="1095"/>
      <c r="V198" s="1095"/>
      <c r="W198" s="1095"/>
      <c r="X198" s="1095"/>
      <c r="Y198" s="1095"/>
      <c r="Z198" s="1095"/>
      <c r="AA198" s="1095"/>
      <c r="AB198" s="1095"/>
      <c r="AC198" s="1095"/>
      <c r="AD198" s="1095"/>
      <c r="AE198" s="1095"/>
      <c r="AF198" s="1095"/>
      <c r="AG198" s="1095"/>
      <c r="AH198" s="1095"/>
      <c r="AI198" s="1095"/>
      <c r="AJ198" s="1095"/>
    </row>
    <row r="199" spans="1:36" x14ac:dyDescent="0.25">
      <c r="A199" s="1095"/>
      <c r="B199" s="1096" t="s">
        <v>1314</v>
      </c>
      <c r="C199" s="1448">
        <f ca="1">+C3</f>
        <v>0.9</v>
      </c>
      <c r="D199" s="1455">
        <f ca="1">+C4</f>
        <v>379387</v>
      </c>
      <c r="E199" s="1448">
        <f ca="1">+C5</f>
        <v>0.08</v>
      </c>
      <c r="F199" s="1448">
        <f>+C6</f>
        <v>1</v>
      </c>
      <c r="G199" s="1448">
        <f>+C7</f>
        <v>1</v>
      </c>
      <c r="H199" s="1455">
        <f ca="1">+C8</f>
        <v>426772133.02098882</v>
      </c>
      <c r="I199" s="1455">
        <f ca="1">+C9</f>
        <v>13189656.373843029</v>
      </c>
      <c r="J199" s="1095"/>
      <c r="K199" s="1095">
        <v>1</v>
      </c>
      <c r="L199" s="1095">
        <v>1</v>
      </c>
      <c r="M199" s="1095">
        <v>1</v>
      </c>
      <c r="N199" s="1095">
        <v>1</v>
      </c>
      <c r="O199" s="1095">
        <v>1</v>
      </c>
      <c r="P199" s="1095">
        <v>1</v>
      </c>
      <c r="Q199" s="1095">
        <v>1</v>
      </c>
      <c r="R199" s="1095">
        <v>1</v>
      </c>
      <c r="S199" s="1095">
        <v>1</v>
      </c>
      <c r="T199" s="1095">
        <v>1</v>
      </c>
      <c r="U199" s="1095">
        <v>1</v>
      </c>
      <c r="V199" s="1095">
        <v>1</v>
      </c>
      <c r="W199" s="1095">
        <v>1</v>
      </c>
      <c r="X199" s="1095">
        <v>1</v>
      </c>
      <c r="Y199" s="1095"/>
      <c r="Z199" s="1095"/>
      <c r="AA199" s="1095"/>
      <c r="AB199" s="1095"/>
      <c r="AC199" s="1095"/>
      <c r="AD199" s="1095"/>
      <c r="AE199" s="1095"/>
      <c r="AF199" s="1095"/>
      <c r="AG199" s="1095"/>
      <c r="AH199" s="1095"/>
      <c r="AI199" s="1095"/>
      <c r="AJ199" s="1095"/>
    </row>
    <row r="200" spans="1:36" x14ac:dyDescent="0.25">
      <c r="A200" s="1095"/>
      <c r="B200" s="1096" t="s">
        <v>1311</v>
      </c>
      <c r="C200" s="1095"/>
      <c r="D200" s="1095"/>
      <c r="E200" s="1095"/>
      <c r="F200" s="1095"/>
      <c r="G200" s="1095"/>
      <c r="H200" s="1095"/>
      <c r="I200" s="1095"/>
      <c r="J200" s="1095"/>
      <c r="K200" s="1095"/>
      <c r="L200" s="1095"/>
      <c r="M200" s="1095"/>
      <c r="N200" s="1095"/>
      <c r="O200" s="1095"/>
      <c r="P200" s="1095"/>
      <c r="Q200" s="1095"/>
      <c r="R200" s="1095"/>
      <c r="S200" s="1095"/>
      <c r="T200" s="1095"/>
      <c r="U200" s="1095"/>
      <c r="V200" s="1095"/>
      <c r="W200" s="1095"/>
      <c r="X200" s="1095"/>
      <c r="Y200" s="1095"/>
      <c r="Z200" s="1095"/>
      <c r="AA200" s="1095"/>
      <c r="AB200" s="1095"/>
      <c r="AC200" s="1095"/>
      <c r="AD200" s="1095"/>
      <c r="AE200" s="1095"/>
      <c r="AF200" s="1095"/>
      <c r="AG200" s="1095"/>
      <c r="AH200" s="1095"/>
      <c r="AI200" s="1095"/>
      <c r="AJ200" s="1095"/>
    </row>
    <row r="201" spans="1:36" x14ac:dyDescent="0.25">
      <c r="A201" s="1095"/>
      <c r="B201" s="1096" t="s">
        <v>1308</v>
      </c>
      <c r="C201" s="1096" t="s">
        <v>1309</v>
      </c>
      <c r="D201" s="1095"/>
      <c r="E201" s="1096" t="s">
        <v>1316</v>
      </c>
      <c r="F201" s="1096" t="s">
        <v>1317</v>
      </c>
      <c r="G201" s="1096" t="s">
        <v>1318</v>
      </c>
      <c r="H201" s="1096" t="s">
        <v>1319</v>
      </c>
      <c r="I201" s="1096" t="s">
        <v>1320</v>
      </c>
      <c r="J201" s="1095"/>
      <c r="K201" s="1095"/>
      <c r="L201" s="1095"/>
      <c r="M201" s="1095"/>
      <c r="N201" s="1095"/>
      <c r="O201" s="1095"/>
      <c r="P201" s="1095"/>
      <c r="Q201" s="1095"/>
      <c r="R201" s="1095"/>
      <c r="S201" s="1095"/>
      <c r="T201" s="1095"/>
      <c r="U201" s="1095"/>
      <c r="V201" s="1095"/>
      <c r="W201" s="1095"/>
      <c r="X201" s="1095"/>
      <c r="Y201" s="1095"/>
      <c r="Z201" s="1095"/>
      <c r="AA201" s="1095"/>
      <c r="AB201" s="1095"/>
      <c r="AC201" s="1095"/>
      <c r="AD201" s="1095"/>
      <c r="AE201" s="1095"/>
      <c r="AF201" s="1095"/>
      <c r="AG201" s="1095"/>
      <c r="AH201" s="1095"/>
      <c r="AI201" s="1095"/>
      <c r="AJ201" s="1095"/>
    </row>
    <row r="202" spans="1:36" x14ac:dyDescent="0.25">
      <c r="A202" s="1095"/>
      <c r="B202" s="1100">
        <f ca="1">+C195</f>
        <v>1.6614674722145049</v>
      </c>
      <c r="C202" s="1453">
        <f ca="1">+B202+($C$197/20)</f>
        <v>1.669344131645254</v>
      </c>
      <c r="D202" s="1095">
        <f t="shared" ref="D202:D221" ca="1" si="88">+COUNTIFS(OFFSET(B$251:B$2250,0,$C$194),"&gt;="&amp;$B202,
OFFSET(B$251:B$2250,0,$C$194),"&lt;="&amp;$C202)</f>
        <v>7</v>
      </c>
      <c r="E202" s="1456">
        <f ca="1">+B202*$C$198</f>
        <v>1.6614674722145049</v>
      </c>
      <c r="F202" s="1456">
        <f ca="1">+C202*$C$198</f>
        <v>1.669344131645254</v>
      </c>
      <c r="G202" s="1455">
        <f ca="1">+AVERAGE(E202:F202)</f>
        <v>1.6654058019298794</v>
      </c>
      <c r="H202" s="1095">
        <f ca="1">+D202/$D$223</f>
        <v>3.5000000000000001E-3</v>
      </c>
      <c r="I202" s="1095">
        <f ca="1">+H202</f>
        <v>3.5000000000000001E-3</v>
      </c>
      <c r="J202" s="1095"/>
      <c r="K202" s="1095"/>
      <c r="L202" s="1095"/>
      <c r="M202" s="1095"/>
      <c r="N202" s="1095"/>
      <c r="O202" s="1095"/>
      <c r="P202" s="1095"/>
      <c r="Q202" s="1095"/>
      <c r="R202" s="1095"/>
      <c r="S202" s="1095"/>
      <c r="T202" s="1095"/>
      <c r="U202" s="1095"/>
      <c r="V202" s="1095"/>
      <c r="W202" s="1095"/>
      <c r="X202" s="1095"/>
      <c r="Y202" s="1095"/>
      <c r="Z202" s="1095"/>
      <c r="AA202" s="1095"/>
      <c r="AB202" s="1095"/>
      <c r="AC202" s="1095"/>
      <c r="AD202" s="1095"/>
      <c r="AE202" s="1095"/>
      <c r="AF202" s="1095"/>
      <c r="AG202" s="1095"/>
      <c r="AH202" s="1095"/>
      <c r="AI202" s="1095"/>
      <c r="AJ202" s="1095"/>
    </row>
    <row r="203" spans="1:36" x14ac:dyDescent="0.25">
      <c r="A203" s="1095"/>
      <c r="B203" s="1100">
        <f ca="1">+C202</f>
        <v>1.669344131645254</v>
      </c>
      <c r="C203" s="1453">
        <f t="shared" ref="C203:C220" ca="1" si="89">+B203+($C$197/20)</f>
        <v>1.6772207910760031</v>
      </c>
      <c r="D203" s="1095">
        <f t="shared" ca="1" si="88"/>
        <v>22</v>
      </c>
      <c r="E203" s="1456">
        <f t="shared" ref="E203:E221" ca="1" si="90">+B203*$C$198</f>
        <v>1.669344131645254</v>
      </c>
      <c r="F203" s="1456">
        <f t="shared" ref="F203:F222" ca="1" si="91">+C203*$C$198</f>
        <v>1.6772207910760031</v>
      </c>
      <c r="G203" s="1455">
        <f t="shared" ref="G203:G222" ca="1" si="92">+AVERAGE(E203:F203)</f>
        <v>1.6732824613606285</v>
      </c>
      <c r="H203" s="1095">
        <f t="shared" ref="H203:H221" ca="1" si="93">+D203/$D$223</f>
        <v>1.0999999999999999E-2</v>
      </c>
      <c r="I203" s="1095">
        <f ca="1">+I202+H203</f>
        <v>1.4499999999999999E-2</v>
      </c>
      <c r="J203" s="1095"/>
      <c r="K203" s="1095"/>
      <c r="L203" s="1095"/>
      <c r="M203" s="1095"/>
      <c r="N203" s="1095"/>
      <c r="O203" s="1095"/>
      <c r="P203" s="1095"/>
      <c r="Q203" s="1095"/>
      <c r="R203" s="1095"/>
      <c r="S203" s="1095"/>
      <c r="T203" s="1095"/>
      <c r="U203" s="1095"/>
      <c r="V203" s="1095"/>
      <c r="W203" s="1095"/>
      <c r="X203" s="1095"/>
      <c r="Y203" s="1095"/>
      <c r="Z203" s="1095"/>
      <c r="AA203" s="1095"/>
      <c r="AB203" s="1095"/>
      <c r="AC203" s="1095"/>
      <c r="AD203" s="1095"/>
      <c r="AE203" s="1095"/>
      <c r="AF203" s="1095"/>
      <c r="AG203" s="1095"/>
      <c r="AH203" s="1095"/>
      <c r="AI203" s="1095"/>
      <c r="AJ203" s="1095"/>
    </row>
    <row r="204" spans="1:36" x14ac:dyDescent="0.25">
      <c r="A204" s="1095"/>
      <c r="B204" s="1100">
        <f t="shared" ref="B204:B221" ca="1" si="94">+C203</f>
        <v>1.6772207910760031</v>
      </c>
      <c r="C204" s="1453">
        <f t="shared" ca="1" si="89"/>
        <v>1.6850974505067522</v>
      </c>
      <c r="D204" s="1095">
        <f t="shared" ca="1" si="88"/>
        <v>29</v>
      </c>
      <c r="E204" s="1456">
        <f t="shared" ca="1" si="90"/>
        <v>1.6772207910760031</v>
      </c>
      <c r="F204" s="1456">
        <f t="shared" ca="1" si="91"/>
        <v>1.6850974505067522</v>
      </c>
      <c r="G204" s="1455">
        <f t="shared" ca="1" si="92"/>
        <v>1.6811591207913776</v>
      </c>
      <c r="H204" s="1095">
        <f t="shared" ca="1" si="93"/>
        <v>1.4500000000000001E-2</v>
      </c>
      <c r="I204" s="1095">
        <f t="shared" ref="I204:I221" ca="1" si="95">+I203+H204</f>
        <v>2.8999999999999998E-2</v>
      </c>
      <c r="J204" s="1095"/>
      <c r="K204" s="1095"/>
      <c r="L204" s="1095"/>
      <c r="M204" s="1095"/>
      <c r="N204" s="1095"/>
      <c r="O204" s="1095"/>
      <c r="P204" s="1095"/>
      <c r="Q204" s="1095"/>
      <c r="R204" s="1095"/>
      <c r="S204" s="1095"/>
      <c r="T204" s="1095"/>
      <c r="U204" s="1095"/>
      <c r="V204" s="1095"/>
      <c r="W204" s="1095"/>
      <c r="X204" s="1095"/>
      <c r="Y204" s="1095"/>
      <c r="Z204" s="1095"/>
      <c r="AA204" s="1095"/>
      <c r="AB204" s="1095"/>
      <c r="AC204" s="1095"/>
      <c r="AD204" s="1095"/>
      <c r="AE204" s="1095"/>
      <c r="AF204" s="1095"/>
      <c r="AG204" s="1095"/>
      <c r="AH204" s="1095"/>
      <c r="AI204" s="1095"/>
      <c r="AJ204" s="1095"/>
    </row>
    <row r="205" spans="1:36" x14ac:dyDescent="0.25">
      <c r="A205" s="1095"/>
      <c r="B205" s="1100">
        <f t="shared" ca="1" si="94"/>
        <v>1.6850974505067522</v>
      </c>
      <c r="C205" s="1453">
        <f t="shared" ca="1" si="89"/>
        <v>1.6929741099375013</v>
      </c>
      <c r="D205" s="1095">
        <f t="shared" ca="1" si="88"/>
        <v>50</v>
      </c>
      <c r="E205" s="1456">
        <f t="shared" ca="1" si="90"/>
        <v>1.6850974505067522</v>
      </c>
      <c r="F205" s="1456">
        <f t="shared" ca="1" si="91"/>
        <v>1.6929741099375013</v>
      </c>
      <c r="G205" s="1455">
        <f t="shared" ca="1" si="92"/>
        <v>1.6890357802221267</v>
      </c>
      <c r="H205" s="1095">
        <f t="shared" ca="1" si="93"/>
        <v>2.5000000000000001E-2</v>
      </c>
      <c r="I205" s="1095">
        <f t="shared" ca="1" si="95"/>
        <v>5.3999999999999999E-2</v>
      </c>
      <c r="J205" s="1095"/>
      <c r="K205" s="1095"/>
      <c r="L205" s="1095"/>
      <c r="M205" s="1095"/>
      <c r="N205" s="1095"/>
      <c r="O205" s="1095"/>
      <c r="P205" s="1095"/>
      <c r="Q205" s="1095"/>
      <c r="R205" s="1095"/>
      <c r="S205" s="1095"/>
      <c r="T205" s="1095"/>
      <c r="U205" s="1095"/>
      <c r="V205" s="1095"/>
      <c r="W205" s="1095"/>
      <c r="X205" s="1095"/>
      <c r="Y205" s="1095"/>
      <c r="Z205" s="1095"/>
      <c r="AA205" s="1095"/>
      <c r="AB205" s="1095"/>
      <c r="AC205" s="1095"/>
      <c r="AD205" s="1095"/>
      <c r="AE205" s="1095"/>
      <c r="AF205" s="1095"/>
      <c r="AG205" s="1095"/>
      <c r="AH205" s="1095"/>
      <c r="AI205" s="1095"/>
      <c r="AJ205" s="1095"/>
    </row>
    <row r="206" spans="1:36" x14ac:dyDescent="0.25">
      <c r="A206" s="1095"/>
      <c r="B206" s="1100">
        <f t="shared" ca="1" si="94"/>
        <v>1.6929741099375013</v>
      </c>
      <c r="C206" s="1453">
        <f t="shared" ca="1" si="89"/>
        <v>1.7008507693682504</v>
      </c>
      <c r="D206" s="1095">
        <f t="shared" ca="1" si="88"/>
        <v>84</v>
      </c>
      <c r="E206" s="1456">
        <f t="shared" ca="1" si="90"/>
        <v>1.6929741099375013</v>
      </c>
      <c r="F206" s="1456">
        <f t="shared" ca="1" si="91"/>
        <v>1.7008507693682504</v>
      </c>
      <c r="G206" s="1455">
        <f t="shared" ca="1" si="92"/>
        <v>1.6969124396528759</v>
      </c>
      <c r="H206" s="1095">
        <f t="shared" ca="1" si="93"/>
        <v>4.2000000000000003E-2</v>
      </c>
      <c r="I206" s="1095">
        <f t="shared" ca="1" si="95"/>
        <v>9.6000000000000002E-2</v>
      </c>
      <c r="J206" s="1095"/>
      <c r="K206" s="1095"/>
      <c r="L206" s="1095"/>
      <c r="M206" s="1095"/>
      <c r="N206" s="1095"/>
      <c r="O206" s="1095"/>
      <c r="P206" s="1095"/>
      <c r="Q206" s="1095"/>
      <c r="R206" s="1095"/>
      <c r="S206" s="1095"/>
      <c r="T206" s="1095"/>
      <c r="U206" s="1095"/>
      <c r="V206" s="1095"/>
      <c r="W206" s="1095"/>
      <c r="X206" s="1095"/>
      <c r="Y206" s="1095"/>
      <c r="Z206" s="1095"/>
      <c r="AA206" s="1095"/>
      <c r="AB206" s="1095"/>
      <c r="AC206" s="1095"/>
      <c r="AD206" s="1095"/>
      <c r="AE206" s="1095"/>
      <c r="AF206" s="1095"/>
      <c r="AG206" s="1095"/>
      <c r="AH206" s="1095"/>
      <c r="AI206" s="1095"/>
      <c r="AJ206" s="1095"/>
    </row>
    <row r="207" spans="1:36" x14ac:dyDescent="0.25">
      <c r="A207" s="1095"/>
      <c r="B207" s="1100">
        <f t="shared" ca="1" si="94"/>
        <v>1.7008507693682504</v>
      </c>
      <c r="C207" s="1453">
        <f t="shared" ca="1" si="89"/>
        <v>1.7087274287989995</v>
      </c>
      <c r="D207" s="1095">
        <f t="shared" ca="1" si="88"/>
        <v>123</v>
      </c>
      <c r="E207" s="1456">
        <f t="shared" ca="1" si="90"/>
        <v>1.7008507693682504</v>
      </c>
      <c r="F207" s="1456">
        <f t="shared" ca="1" si="91"/>
        <v>1.7087274287989995</v>
      </c>
      <c r="G207" s="1455">
        <f t="shared" ca="1" si="92"/>
        <v>1.704789099083625</v>
      </c>
      <c r="H207" s="1095">
        <f t="shared" ca="1" si="93"/>
        <v>6.1499999999999999E-2</v>
      </c>
      <c r="I207" s="1095">
        <f t="shared" ca="1" si="95"/>
        <v>0.1575</v>
      </c>
      <c r="J207" s="1095"/>
      <c r="K207" s="1095"/>
      <c r="L207" s="1095"/>
      <c r="M207" s="1095"/>
      <c r="N207" s="1095"/>
      <c r="O207" s="1095"/>
      <c r="P207" s="1095"/>
      <c r="Q207" s="1095"/>
      <c r="R207" s="1095"/>
      <c r="S207" s="1095"/>
      <c r="T207" s="1095"/>
      <c r="U207" s="1095"/>
      <c r="V207" s="1095"/>
      <c r="W207" s="1095"/>
      <c r="X207" s="1095"/>
      <c r="Y207" s="1095"/>
      <c r="Z207" s="1095"/>
      <c r="AA207" s="1095"/>
      <c r="AB207" s="1095"/>
      <c r="AC207" s="1095"/>
      <c r="AD207" s="1095"/>
      <c r="AE207" s="1095"/>
      <c r="AF207" s="1095"/>
      <c r="AG207" s="1095"/>
      <c r="AH207" s="1095"/>
      <c r="AI207" s="1095"/>
      <c r="AJ207" s="1095"/>
    </row>
    <row r="208" spans="1:36" x14ac:dyDescent="0.25">
      <c r="A208" s="1095"/>
      <c r="B208" s="1100">
        <f t="shared" ca="1" si="94"/>
        <v>1.7087274287989995</v>
      </c>
      <c r="C208" s="1453">
        <f t="shared" ca="1" si="89"/>
        <v>1.7166040882297486</v>
      </c>
      <c r="D208" s="1095">
        <f t="shared" ca="1" si="88"/>
        <v>141</v>
      </c>
      <c r="E208" s="1456">
        <f t="shared" ca="1" si="90"/>
        <v>1.7087274287989995</v>
      </c>
      <c r="F208" s="1456">
        <f t="shared" ca="1" si="91"/>
        <v>1.7166040882297486</v>
      </c>
      <c r="G208" s="1455">
        <f t="shared" ca="1" si="92"/>
        <v>1.7126657585143741</v>
      </c>
      <c r="H208" s="1095">
        <f t="shared" ca="1" si="93"/>
        <v>7.0499999999999993E-2</v>
      </c>
      <c r="I208" s="1095">
        <f t="shared" ca="1" si="95"/>
        <v>0.22799999999999998</v>
      </c>
      <c r="J208" s="1095"/>
      <c r="K208" s="1095"/>
      <c r="L208" s="1095"/>
      <c r="M208" s="1095"/>
      <c r="N208" s="1095"/>
      <c r="O208" s="1095"/>
      <c r="P208" s="1095"/>
      <c r="Q208" s="1095"/>
      <c r="R208" s="1095"/>
      <c r="S208" s="1095"/>
      <c r="T208" s="1095"/>
      <c r="U208" s="1095"/>
      <c r="V208" s="1095"/>
      <c r="W208" s="1095"/>
      <c r="X208" s="1095"/>
      <c r="Y208" s="1095"/>
      <c r="Z208" s="1095"/>
      <c r="AA208" s="1095"/>
      <c r="AB208" s="1095"/>
      <c r="AC208" s="1095"/>
      <c r="AD208" s="1095"/>
      <c r="AE208" s="1095"/>
      <c r="AF208" s="1095"/>
      <c r="AG208" s="1095"/>
      <c r="AH208" s="1095"/>
      <c r="AI208" s="1095"/>
      <c r="AJ208" s="1095"/>
    </row>
    <row r="209" spans="1:36" x14ac:dyDescent="0.25">
      <c r="A209" s="1095"/>
      <c r="B209" s="1100">
        <f t="shared" ca="1" si="94"/>
        <v>1.7166040882297486</v>
      </c>
      <c r="C209" s="1453">
        <f t="shared" ca="1" si="89"/>
        <v>1.7244807476604977</v>
      </c>
      <c r="D209" s="1095">
        <f t="shared" ca="1" si="88"/>
        <v>189</v>
      </c>
      <c r="E209" s="1456">
        <f t="shared" ca="1" si="90"/>
        <v>1.7166040882297486</v>
      </c>
      <c r="F209" s="1456">
        <f t="shared" ca="1" si="91"/>
        <v>1.7244807476604977</v>
      </c>
      <c r="G209" s="1455">
        <f t="shared" ca="1" si="92"/>
        <v>1.7205424179451232</v>
      </c>
      <c r="H209" s="1095">
        <f t="shared" ca="1" si="93"/>
        <v>9.4500000000000001E-2</v>
      </c>
      <c r="I209" s="1095">
        <f t="shared" ca="1" si="95"/>
        <v>0.32250000000000001</v>
      </c>
      <c r="J209" s="1095"/>
      <c r="K209" s="1095"/>
      <c r="L209" s="1095"/>
      <c r="M209" s="1095"/>
      <c r="N209" s="1095"/>
      <c r="O209" s="1095"/>
      <c r="P209" s="1095"/>
      <c r="Q209" s="1095"/>
      <c r="R209" s="1095"/>
      <c r="S209" s="1095"/>
      <c r="T209" s="1095"/>
      <c r="U209" s="1095"/>
      <c r="V209" s="1095"/>
      <c r="W209" s="1095"/>
      <c r="X209" s="1095"/>
      <c r="Y209" s="1095"/>
      <c r="Z209" s="1095"/>
      <c r="AA209" s="1095"/>
      <c r="AB209" s="1095"/>
      <c r="AC209" s="1095"/>
      <c r="AD209" s="1095"/>
      <c r="AE209" s="1095"/>
      <c r="AF209" s="1095"/>
      <c r="AG209" s="1095"/>
      <c r="AH209" s="1095"/>
      <c r="AI209" s="1095"/>
      <c r="AJ209" s="1095"/>
    </row>
    <row r="210" spans="1:36" x14ac:dyDescent="0.25">
      <c r="A210" s="1095"/>
      <c r="B210" s="1100">
        <f t="shared" ca="1" si="94"/>
        <v>1.7244807476604977</v>
      </c>
      <c r="C210" s="1453">
        <f t="shared" ca="1" si="89"/>
        <v>1.7323574070912469</v>
      </c>
      <c r="D210" s="1095">
        <f t="shared" ca="1" si="88"/>
        <v>198</v>
      </c>
      <c r="E210" s="1456">
        <f t="shared" ca="1" si="90"/>
        <v>1.7244807476604977</v>
      </c>
      <c r="F210" s="1456">
        <f t="shared" ca="1" si="91"/>
        <v>1.7323574070912469</v>
      </c>
      <c r="G210" s="1455">
        <f t="shared" ca="1" si="92"/>
        <v>1.7284190773758723</v>
      </c>
      <c r="H210" s="1095">
        <f t="shared" ca="1" si="93"/>
        <v>9.9000000000000005E-2</v>
      </c>
      <c r="I210" s="1095">
        <f t="shared" ca="1" si="95"/>
        <v>0.42149999999999999</v>
      </c>
      <c r="J210" s="1095"/>
      <c r="K210" s="1095"/>
      <c r="L210" s="1095"/>
      <c r="M210" s="1095"/>
      <c r="N210" s="1095"/>
      <c r="O210" s="1095"/>
      <c r="P210" s="1095"/>
      <c r="Q210" s="1095"/>
      <c r="R210" s="1095"/>
      <c r="S210" s="1095"/>
      <c r="T210" s="1095"/>
      <c r="U210" s="1095"/>
      <c r="V210" s="1095"/>
      <c r="W210" s="1095"/>
      <c r="X210" s="1095"/>
      <c r="Y210" s="1095"/>
      <c r="Z210" s="1095"/>
      <c r="AA210" s="1095"/>
      <c r="AB210" s="1095"/>
      <c r="AC210" s="1095"/>
      <c r="AD210" s="1095"/>
      <c r="AE210" s="1095"/>
      <c r="AF210" s="1095"/>
      <c r="AG210" s="1095"/>
      <c r="AH210" s="1095"/>
      <c r="AI210" s="1095"/>
      <c r="AJ210" s="1095"/>
    </row>
    <row r="211" spans="1:36" x14ac:dyDescent="0.25">
      <c r="A211" s="1095"/>
      <c r="B211" s="1100">
        <f t="shared" ca="1" si="94"/>
        <v>1.7323574070912469</v>
      </c>
      <c r="C211" s="1453">
        <f t="shared" ca="1" si="89"/>
        <v>1.740234066521996</v>
      </c>
      <c r="D211" s="1095">
        <f t="shared" ca="1" si="88"/>
        <v>226</v>
      </c>
      <c r="E211" s="1456">
        <f t="shared" ca="1" si="90"/>
        <v>1.7323574070912469</v>
      </c>
      <c r="F211" s="1456">
        <f t="shared" ca="1" si="91"/>
        <v>1.740234066521996</v>
      </c>
      <c r="G211" s="1455">
        <f t="shared" ca="1" si="92"/>
        <v>1.7362957368066214</v>
      </c>
      <c r="H211" s="1095">
        <f t="shared" ca="1" si="93"/>
        <v>0.113</v>
      </c>
      <c r="I211" s="1095">
        <f t="shared" ca="1" si="95"/>
        <v>0.53449999999999998</v>
      </c>
      <c r="J211" s="1095"/>
      <c r="K211" s="1095"/>
      <c r="L211" s="1095"/>
      <c r="M211" s="1095"/>
      <c r="N211" s="1095"/>
      <c r="O211" s="1095"/>
      <c r="P211" s="1095"/>
      <c r="Q211" s="1095"/>
      <c r="R211" s="1095"/>
      <c r="S211" s="1095"/>
      <c r="T211" s="1095"/>
      <c r="U211" s="1095"/>
      <c r="V211" s="1095"/>
      <c r="W211" s="1095"/>
      <c r="X211" s="1095"/>
      <c r="Y211" s="1095"/>
      <c r="Z211" s="1095"/>
      <c r="AA211" s="1095"/>
      <c r="AB211" s="1095"/>
      <c r="AC211" s="1095"/>
      <c r="AD211" s="1095"/>
      <c r="AE211" s="1095"/>
      <c r="AF211" s="1095"/>
      <c r="AG211" s="1095"/>
      <c r="AH211" s="1095"/>
      <c r="AI211" s="1095"/>
      <c r="AJ211" s="1095"/>
    </row>
    <row r="212" spans="1:36" x14ac:dyDescent="0.25">
      <c r="A212" s="1095"/>
      <c r="B212" s="1100">
        <f t="shared" ca="1" si="94"/>
        <v>1.740234066521996</v>
      </c>
      <c r="C212" s="1453">
        <f t="shared" ca="1" si="89"/>
        <v>1.7481107259527451</v>
      </c>
      <c r="D212" s="1095">
        <f t="shared" ca="1" si="88"/>
        <v>218</v>
      </c>
      <c r="E212" s="1456">
        <f t="shared" ca="1" si="90"/>
        <v>1.740234066521996</v>
      </c>
      <c r="F212" s="1456">
        <f t="shared" ca="1" si="91"/>
        <v>1.7481107259527451</v>
      </c>
      <c r="G212" s="1455">
        <f t="shared" ca="1" si="92"/>
        <v>1.7441723962373705</v>
      </c>
      <c r="H212" s="1095">
        <f t="shared" ca="1" si="93"/>
        <v>0.109</v>
      </c>
      <c r="I212" s="1095">
        <f t="shared" ca="1" si="95"/>
        <v>0.64349999999999996</v>
      </c>
      <c r="J212" s="1095"/>
      <c r="K212" s="1095"/>
      <c r="L212" s="1095"/>
      <c r="M212" s="1095"/>
      <c r="N212" s="1095"/>
      <c r="O212" s="1095"/>
      <c r="P212" s="1095"/>
      <c r="Q212" s="1095"/>
      <c r="R212" s="1095"/>
      <c r="S212" s="1095"/>
      <c r="T212" s="1095"/>
      <c r="U212" s="1095"/>
      <c r="V212" s="1095"/>
      <c r="W212" s="1095"/>
      <c r="X212" s="1095"/>
      <c r="Y212" s="1095"/>
      <c r="Z212" s="1095"/>
      <c r="AA212" s="1095"/>
      <c r="AB212" s="1095"/>
      <c r="AC212" s="1095"/>
      <c r="AD212" s="1095"/>
      <c r="AE212" s="1095"/>
      <c r="AF212" s="1095"/>
      <c r="AG212" s="1095"/>
      <c r="AH212" s="1095"/>
      <c r="AI212" s="1095"/>
      <c r="AJ212" s="1095"/>
    </row>
    <row r="213" spans="1:36" x14ac:dyDescent="0.25">
      <c r="A213" s="1095"/>
      <c r="B213" s="1100">
        <f t="shared" ca="1" si="94"/>
        <v>1.7481107259527451</v>
      </c>
      <c r="C213" s="1453">
        <f t="shared" ca="1" si="89"/>
        <v>1.7559873853834942</v>
      </c>
      <c r="D213" s="1095">
        <f t="shared" ca="1" si="88"/>
        <v>193</v>
      </c>
      <c r="E213" s="1456">
        <f t="shared" ca="1" si="90"/>
        <v>1.7481107259527451</v>
      </c>
      <c r="F213" s="1456">
        <f t="shared" ca="1" si="91"/>
        <v>1.7559873853834942</v>
      </c>
      <c r="G213" s="1455">
        <f t="shared" ca="1" si="92"/>
        <v>1.7520490556681196</v>
      </c>
      <c r="H213" s="1095">
        <f t="shared" ca="1" si="93"/>
        <v>9.6500000000000002E-2</v>
      </c>
      <c r="I213" s="1095">
        <f t="shared" ca="1" si="95"/>
        <v>0.74</v>
      </c>
      <c r="J213" s="1095"/>
      <c r="K213" s="1095"/>
      <c r="L213" s="1095"/>
      <c r="M213" s="1095"/>
      <c r="N213" s="1095"/>
      <c r="O213" s="1095"/>
      <c r="P213" s="1095"/>
      <c r="Q213" s="1095"/>
      <c r="R213" s="1095"/>
      <c r="S213" s="1095"/>
      <c r="T213" s="1095"/>
      <c r="U213" s="1095"/>
      <c r="V213" s="1095"/>
      <c r="W213" s="1095"/>
      <c r="X213" s="1095"/>
      <c r="Y213" s="1095"/>
      <c r="Z213" s="1095"/>
      <c r="AA213" s="1095"/>
      <c r="AB213" s="1095"/>
      <c r="AC213" s="1095"/>
      <c r="AD213" s="1095"/>
      <c r="AE213" s="1095"/>
      <c r="AF213" s="1095"/>
      <c r="AG213" s="1095"/>
      <c r="AH213" s="1095"/>
      <c r="AI213" s="1095"/>
      <c r="AJ213" s="1095"/>
    </row>
    <row r="214" spans="1:36" x14ac:dyDescent="0.25">
      <c r="A214" s="1095"/>
      <c r="B214" s="1100">
        <f t="shared" ca="1" si="94"/>
        <v>1.7559873853834942</v>
      </c>
      <c r="C214" s="1453">
        <f t="shared" ca="1" si="89"/>
        <v>1.7638640448142433</v>
      </c>
      <c r="D214" s="1095">
        <f t="shared" ca="1" si="88"/>
        <v>165</v>
      </c>
      <c r="E214" s="1456">
        <f t="shared" ca="1" si="90"/>
        <v>1.7559873853834942</v>
      </c>
      <c r="F214" s="1456">
        <f t="shared" ca="1" si="91"/>
        <v>1.7638640448142433</v>
      </c>
      <c r="G214" s="1455">
        <f t="shared" ca="1" si="92"/>
        <v>1.7599257150988687</v>
      </c>
      <c r="H214" s="1095">
        <f t="shared" ca="1" si="93"/>
        <v>8.2500000000000004E-2</v>
      </c>
      <c r="I214" s="1095">
        <f t="shared" ca="1" si="95"/>
        <v>0.82250000000000001</v>
      </c>
      <c r="J214" s="1095"/>
      <c r="K214" s="1095"/>
      <c r="L214" s="1095"/>
      <c r="M214" s="1095"/>
      <c r="N214" s="1095"/>
      <c r="O214" s="1095"/>
      <c r="P214" s="1095"/>
      <c r="Q214" s="1095"/>
      <c r="R214" s="1095"/>
      <c r="S214" s="1095"/>
      <c r="T214" s="1095"/>
      <c r="U214" s="1095"/>
      <c r="V214" s="1095"/>
      <c r="W214" s="1095"/>
      <c r="X214" s="1095"/>
      <c r="Y214" s="1095"/>
      <c r="Z214" s="1095"/>
      <c r="AA214" s="1095"/>
      <c r="AB214" s="1095"/>
      <c r="AC214" s="1095"/>
      <c r="AD214" s="1095"/>
      <c r="AE214" s="1095"/>
      <c r="AF214" s="1095"/>
      <c r="AG214" s="1095"/>
      <c r="AH214" s="1095"/>
      <c r="AI214" s="1095"/>
      <c r="AJ214" s="1095"/>
    </row>
    <row r="215" spans="1:36" x14ac:dyDescent="0.25">
      <c r="A215" s="1095"/>
      <c r="B215" s="1100">
        <f t="shared" ca="1" si="94"/>
        <v>1.7638640448142433</v>
      </c>
      <c r="C215" s="1453">
        <f t="shared" ca="1" si="89"/>
        <v>1.7717407042449924</v>
      </c>
      <c r="D215" s="1095">
        <f t="shared" ca="1" si="88"/>
        <v>133</v>
      </c>
      <c r="E215" s="1456">
        <f t="shared" ca="1" si="90"/>
        <v>1.7638640448142433</v>
      </c>
      <c r="F215" s="1456">
        <f t="shared" ca="1" si="91"/>
        <v>1.7717407042449924</v>
      </c>
      <c r="G215" s="1455">
        <f t="shared" ca="1" si="92"/>
        <v>1.7678023745296179</v>
      </c>
      <c r="H215" s="1095">
        <f t="shared" ca="1" si="93"/>
        <v>6.6500000000000004E-2</v>
      </c>
      <c r="I215" s="1095">
        <f t="shared" ca="1" si="95"/>
        <v>0.88900000000000001</v>
      </c>
      <c r="J215" s="1095"/>
      <c r="K215" s="1095"/>
      <c r="L215" s="1095"/>
      <c r="M215" s="1095"/>
      <c r="N215" s="1095"/>
      <c r="O215" s="1095"/>
      <c r="P215" s="1095"/>
      <c r="Q215" s="1095"/>
      <c r="R215" s="1095"/>
      <c r="S215" s="1095"/>
      <c r="T215" s="1095"/>
      <c r="U215" s="1095"/>
      <c r="V215" s="1095"/>
      <c r="W215" s="1095"/>
      <c r="X215" s="1095"/>
      <c r="Y215" s="1095"/>
      <c r="Z215" s="1095"/>
      <c r="AA215" s="1095"/>
      <c r="AB215" s="1095"/>
      <c r="AC215" s="1095"/>
      <c r="AD215" s="1095"/>
      <c r="AE215" s="1095"/>
      <c r="AF215" s="1095"/>
      <c r="AG215" s="1095"/>
      <c r="AH215" s="1095"/>
      <c r="AI215" s="1095"/>
      <c r="AJ215" s="1095"/>
    </row>
    <row r="216" spans="1:36" x14ac:dyDescent="0.25">
      <c r="A216" s="1095"/>
      <c r="B216" s="1100">
        <f t="shared" ca="1" si="94"/>
        <v>1.7717407042449924</v>
      </c>
      <c r="C216" s="1453">
        <f t="shared" ca="1" si="89"/>
        <v>1.7796173636757415</v>
      </c>
      <c r="D216" s="1095">
        <f t="shared" ca="1" si="88"/>
        <v>90</v>
      </c>
      <c r="E216" s="1456">
        <f t="shared" ca="1" si="90"/>
        <v>1.7717407042449924</v>
      </c>
      <c r="F216" s="1456">
        <f t="shared" ca="1" si="91"/>
        <v>1.7796173636757415</v>
      </c>
      <c r="G216" s="1455">
        <f t="shared" ca="1" si="92"/>
        <v>1.775679033960367</v>
      </c>
      <c r="H216" s="1095">
        <f t="shared" ca="1" si="93"/>
        <v>4.4999999999999998E-2</v>
      </c>
      <c r="I216" s="1095">
        <f t="shared" ca="1" si="95"/>
        <v>0.93400000000000005</v>
      </c>
      <c r="J216" s="1095"/>
      <c r="K216" s="1095"/>
      <c r="L216" s="1095"/>
      <c r="M216" s="1095"/>
      <c r="N216" s="1095"/>
      <c r="O216" s="1095"/>
      <c r="P216" s="1095"/>
      <c r="Q216" s="1095"/>
      <c r="R216" s="1095"/>
      <c r="S216" s="1095"/>
      <c r="T216" s="1095"/>
      <c r="U216" s="1095"/>
      <c r="V216" s="1095"/>
      <c r="W216" s="1095"/>
      <c r="X216" s="1095"/>
      <c r="Y216" s="1095"/>
      <c r="Z216" s="1095"/>
      <c r="AA216" s="1095"/>
      <c r="AB216" s="1095"/>
      <c r="AC216" s="1095"/>
      <c r="AD216" s="1095"/>
      <c r="AE216" s="1095"/>
      <c r="AF216" s="1095"/>
      <c r="AG216" s="1095"/>
      <c r="AH216" s="1095"/>
      <c r="AI216" s="1095"/>
      <c r="AJ216" s="1095"/>
    </row>
    <row r="217" spans="1:36" x14ac:dyDescent="0.25">
      <c r="A217" s="1095"/>
      <c r="B217" s="1100">
        <f t="shared" ca="1" si="94"/>
        <v>1.7796173636757415</v>
      </c>
      <c r="C217" s="1453">
        <f t="shared" ca="1" si="89"/>
        <v>1.7874940231064906</v>
      </c>
      <c r="D217" s="1095">
        <f t="shared" ca="1" si="88"/>
        <v>72</v>
      </c>
      <c r="E217" s="1456">
        <f t="shared" ca="1" si="90"/>
        <v>1.7796173636757415</v>
      </c>
      <c r="F217" s="1456">
        <f t="shared" ca="1" si="91"/>
        <v>1.7874940231064906</v>
      </c>
      <c r="G217" s="1455">
        <f t="shared" ca="1" si="92"/>
        <v>1.7835556933911161</v>
      </c>
      <c r="H217" s="1095">
        <f t="shared" ca="1" si="93"/>
        <v>3.5999999999999997E-2</v>
      </c>
      <c r="I217" s="1095">
        <f t="shared" ca="1" si="95"/>
        <v>0.97000000000000008</v>
      </c>
      <c r="J217" s="1095"/>
      <c r="K217" s="1095"/>
      <c r="L217" s="1095"/>
      <c r="M217" s="1095"/>
      <c r="N217" s="1095"/>
      <c r="O217" s="1095"/>
      <c r="P217" s="1095"/>
      <c r="Q217" s="1095"/>
      <c r="R217" s="1095"/>
      <c r="S217" s="1095"/>
      <c r="T217" s="1095"/>
      <c r="U217" s="1095"/>
      <c r="V217" s="1095"/>
      <c r="W217" s="1095"/>
      <c r="X217" s="1095"/>
      <c r="Y217" s="1095"/>
      <c r="Z217" s="1095"/>
      <c r="AA217" s="1095"/>
      <c r="AB217" s="1095"/>
      <c r="AC217" s="1095"/>
      <c r="AD217" s="1095"/>
      <c r="AE217" s="1095"/>
      <c r="AF217" s="1095"/>
      <c r="AG217" s="1095"/>
      <c r="AH217" s="1095"/>
      <c r="AI217" s="1095"/>
      <c r="AJ217" s="1095"/>
    </row>
    <row r="218" spans="1:36" x14ac:dyDescent="0.25">
      <c r="A218" s="1095"/>
      <c r="B218" s="1100">
        <f t="shared" ca="1" si="94"/>
        <v>1.7874940231064906</v>
      </c>
      <c r="C218" s="1453">
        <f t="shared" ca="1" si="89"/>
        <v>1.7953706825372397</v>
      </c>
      <c r="D218" s="1095">
        <f t="shared" ca="1" si="88"/>
        <v>29</v>
      </c>
      <c r="E218" s="1456">
        <f t="shared" ca="1" si="90"/>
        <v>1.7874940231064906</v>
      </c>
      <c r="F218" s="1456">
        <f t="shared" ca="1" si="91"/>
        <v>1.7953706825372397</v>
      </c>
      <c r="G218" s="1455">
        <f t="shared" ca="1" si="92"/>
        <v>1.7914323528218652</v>
      </c>
      <c r="H218" s="1095">
        <f t="shared" ca="1" si="93"/>
        <v>1.4500000000000001E-2</v>
      </c>
      <c r="I218" s="1095">
        <f t="shared" ca="1" si="95"/>
        <v>0.98450000000000004</v>
      </c>
      <c r="J218" s="1095"/>
      <c r="K218" s="1095"/>
      <c r="L218" s="1095"/>
      <c r="M218" s="1095"/>
      <c r="N218" s="1095"/>
      <c r="O218" s="1095"/>
      <c r="P218" s="1095"/>
      <c r="Q218" s="1095"/>
      <c r="R218" s="1095"/>
      <c r="S218" s="1095"/>
      <c r="T218" s="1095"/>
      <c r="U218" s="1095"/>
      <c r="V218" s="1095"/>
      <c r="W218" s="1095"/>
      <c r="X218" s="1095"/>
      <c r="Y218" s="1095"/>
      <c r="Z218" s="1095"/>
      <c r="AA218" s="1095"/>
      <c r="AB218" s="1095"/>
      <c r="AC218" s="1095"/>
      <c r="AD218" s="1095"/>
      <c r="AE218" s="1095"/>
      <c r="AF218" s="1095"/>
      <c r="AG218" s="1095"/>
      <c r="AH218" s="1095"/>
      <c r="AI218" s="1095"/>
      <c r="AJ218" s="1095"/>
    </row>
    <row r="219" spans="1:36" x14ac:dyDescent="0.25">
      <c r="A219" s="1095"/>
      <c r="B219" s="1100">
        <f t="shared" ca="1" si="94"/>
        <v>1.7953706825372397</v>
      </c>
      <c r="C219" s="1453">
        <f t="shared" ca="1" si="89"/>
        <v>1.8032473419679889</v>
      </c>
      <c r="D219" s="1095">
        <f t="shared" ca="1" si="88"/>
        <v>21</v>
      </c>
      <c r="E219" s="1456">
        <f t="shared" ca="1" si="90"/>
        <v>1.7953706825372397</v>
      </c>
      <c r="F219" s="1456">
        <f t="shared" ca="1" si="91"/>
        <v>1.8032473419679889</v>
      </c>
      <c r="G219" s="1455">
        <f t="shared" ca="1" si="92"/>
        <v>1.7993090122526143</v>
      </c>
      <c r="H219" s="1095">
        <f t="shared" ca="1" si="93"/>
        <v>1.0500000000000001E-2</v>
      </c>
      <c r="I219" s="1095">
        <f t="shared" ca="1" si="95"/>
        <v>0.995</v>
      </c>
      <c r="J219" s="1095"/>
      <c r="K219" s="1095"/>
      <c r="L219" s="1095"/>
      <c r="M219" s="1095"/>
      <c r="N219" s="1095"/>
      <c r="O219" s="1095"/>
      <c r="P219" s="1095"/>
      <c r="Q219" s="1095"/>
      <c r="R219" s="1095"/>
      <c r="S219" s="1095"/>
      <c r="T219" s="1095"/>
      <c r="U219" s="1095"/>
      <c r="V219" s="1095"/>
      <c r="W219" s="1095"/>
      <c r="X219" s="1095"/>
      <c r="Y219" s="1095"/>
      <c r="Z219" s="1095"/>
      <c r="AA219" s="1095"/>
      <c r="AB219" s="1095"/>
      <c r="AC219" s="1095"/>
      <c r="AD219" s="1095"/>
      <c r="AE219" s="1095"/>
      <c r="AF219" s="1095"/>
      <c r="AG219" s="1095"/>
      <c r="AH219" s="1095"/>
      <c r="AI219" s="1095"/>
      <c r="AJ219" s="1095"/>
    </row>
    <row r="220" spans="1:36" x14ac:dyDescent="0.25">
      <c r="A220" s="1095"/>
      <c r="B220" s="1100">
        <f t="shared" ca="1" si="94"/>
        <v>1.8032473419679889</v>
      </c>
      <c r="C220" s="1453">
        <f t="shared" ca="1" si="89"/>
        <v>1.811124001398738</v>
      </c>
      <c r="D220" s="1095">
        <f t="shared" ca="1" si="88"/>
        <v>4</v>
      </c>
      <c r="E220" s="1456">
        <f t="shared" ca="1" si="90"/>
        <v>1.8032473419679889</v>
      </c>
      <c r="F220" s="1456">
        <f t="shared" ca="1" si="91"/>
        <v>1.811124001398738</v>
      </c>
      <c r="G220" s="1455">
        <f t="shared" ca="1" si="92"/>
        <v>1.8071856716833634</v>
      </c>
      <c r="H220" s="1095">
        <f t="shared" ca="1" si="93"/>
        <v>2E-3</v>
      </c>
      <c r="I220" s="1095">
        <f t="shared" ca="1" si="95"/>
        <v>0.997</v>
      </c>
      <c r="J220" s="1095"/>
      <c r="K220" s="1095"/>
      <c r="L220" s="1095"/>
      <c r="M220" s="1095"/>
      <c r="N220" s="1095"/>
      <c r="O220" s="1095"/>
      <c r="P220" s="1095"/>
      <c r="Q220" s="1095"/>
      <c r="R220" s="1095"/>
      <c r="S220" s="1095"/>
      <c r="T220" s="1095"/>
      <c r="U220" s="1095"/>
      <c r="V220" s="1095"/>
      <c r="W220" s="1095"/>
      <c r="X220" s="1095"/>
      <c r="Y220" s="1095"/>
      <c r="Z220" s="1095"/>
      <c r="AA220" s="1095"/>
      <c r="AB220" s="1095"/>
      <c r="AC220" s="1095"/>
      <c r="AD220" s="1095"/>
      <c r="AE220" s="1095"/>
      <c r="AF220" s="1095"/>
      <c r="AG220" s="1095"/>
      <c r="AH220" s="1095"/>
      <c r="AI220" s="1095"/>
      <c r="AJ220" s="1095"/>
    </row>
    <row r="221" spans="1:36" x14ac:dyDescent="0.25">
      <c r="A221" s="1095"/>
      <c r="B221" s="1100">
        <f t="shared" ca="1" si="94"/>
        <v>1.811124001398738</v>
      </c>
      <c r="C221" s="1453">
        <f ca="1">+B221+($C$197/20)+0.000001</f>
        <v>1.819001660829487</v>
      </c>
      <c r="D221" s="1095">
        <f t="shared" ca="1" si="88"/>
        <v>6</v>
      </c>
      <c r="E221" s="1456">
        <f t="shared" ca="1" si="90"/>
        <v>1.811124001398738</v>
      </c>
      <c r="F221" s="1456">
        <f t="shared" ca="1" si="91"/>
        <v>1.819001660829487</v>
      </c>
      <c r="G221" s="1455">
        <f t="shared" ca="1" si="92"/>
        <v>1.8150628311141124</v>
      </c>
      <c r="H221" s="1095">
        <f t="shared" ca="1" si="93"/>
        <v>3.0000000000000001E-3</v>
      </c>
      <c r="I221" s="1095">
        <f t="shared" ca="1" si="95"/>
        <v>1</v>
      </c>
      <c r="J221" s="1095"/>
      <c r="K221" s="1095"/>
      <c r="L221" s="1095"/>
      <c r="M221" s="1095"/>
      <c r="N221" s="1095"/>
      <c r="O221" s="1095"/>
      <c r="P221" s="1095"/>
      <c r="Q221" s="1095"/>
      <c r="R221" s="1095"/>
      <c r="S221" s="1095"/>
      <c r="T221" s="1095"/>
      <c r="U221" s="1095"/>
      <c r="V221" s="1095"/>
      <c r="W221" s="1095"/>
      <c r="X221" s="1095"/>
      <c r="Y221" s="1095"/>
      <c r="Z221" s="1095"/>
      <c r="AA221" s="1095"/>
      <c r="AB221" s="1095"/>
      <c r="AC221" s="1095"/>
      <c r="AD221" s="1095"/>
      <c r="AE221" s="1095"/>
      <c r="AF221" s="1095"/>
      <c r="AG221" s="1095"/>
      <c r="AH221" s="1095"/>
      <c r="AI221" s="1095"/>
      <c r="AJ221" s="1095"/>
    </row>
    <row r="222" spans="1:36" x14ac:dyDescent="0.25">
      <c r="A222" s="1095"/>
      <c r="B222" s="1096"/>
      <c r="C222" s="1457"/>
      <c r="D222" s="1095"/>
      <c r="E222" s="1095"/>
      <c r="F222" s="1095">
        <f t="shared" ca="1" si="91"/>
        <v>0</v>
      </c>
      <c r="G222" s="1455">
        <f t="shared" ca="1" si="92"/>
        <v>0</v>
      </c>
      <c r="H222" s="1095"/>
      <c r="I222" s="1095"/>
      <c r="J222" s="1095"/>
      <c r="K222" s="1095"/>
      <c r="L222" s="1095"/>
      <c r="M222" s="1095"/>
      <c r="N222" s="1095"/>
      <c r="O222" s="1095"/>
      <c r="P222" s="1095"/>
      <c r="Q222" s="1095"/>
      <c r="R222" s="1095"/>
      <c r="S222" s="1095"/>
      <c r="T222" s="1095"/>
      <c r="U222" s="1095"/>
      <c r="V222" s="1095"/>
      <c r="W222" s="1095"/>
      <c r="X222" s="1095"/>
      <c r="Y222" s="1095"/>
      <c r="Z222" s="1095"/>
      <c r="AA222" s="1095"/>
      <c r="AB222" s="1095"/>
      <c r="AC222" s="1095"/>
      <c r="AD222" s="1095"/>
      <c r="AE222" s="1095"/>
      <c r="AF222" s="1095"/>
      <c r="AG222" s="1095"/>
      <c r="AH222" s="1095"/>
      <c r="AI222" s="1095"/>
      <c r="AJ222" s="1095"/>
    </row>
    <row r="223" spans="1:36" x14ac:dyDescent="0.25">
      <c r="A223" s="1095"/>
      <c r="B223" s="1096" t="s">
        <v>1310</v>
      </c>
      <c r="C223" s="1095"/>
      <c r="D223" s="1095">
        <f ca="1">+SUM(D202:D221)</f>
        <v>2000</v>
      </c>
      <c r="E223" s="1095"/>
      <c r="F223" s="1095"/>
      <c r="G223" s="1095"/>
      <c r="H223" s="1095"/>
      <c r="I223" s="1095"/>
      <c r="J223" s="1095"/>
      <c r="K223" s="1095"/>
      <c r="L223" s="1095"/>
      <c r="M223" s="1095"/>
      <c r="N223" s="1095"/>
      <c r="O223" s="1095"/>
      <c r="P223" s="1095"/>
      <c r="Q223" s="1095"/>
      <c r="R223" s="1095"/>
      <c r="S223" s="1095"/>
      <c r="T223" s="1095"/>
      <c r="U223" s="1095"/>
      <c r="V223" s="1095"/>
      <c r="W223" s="1095"/>
      <c r="X223" s="1095"/>
      <c r="Y223" s="1095"/>
      <c r="Z223" s="1095"/>
      <c r="AA223" s="1095"/>
      <c r="AB223" s="1095"/>
      <c r="AC223" s="1095"/>
      <c r="AD223" s="1095"/>
      <c r="AE223" s="1095"/>
      <c r="AF223" s="1095"/>
      <c r="AG223" s="1095"/>
      <c r="AH223" s="1095"/>
      <c r="AI223" s="1095"/>
      <c r="AJ223" s="1095"/>
    </row>
    <row r="224" spans="1:36" x14ac:dyDescent="0.25">
      <c r="A224" s="1095"/>
      <c r="B224" s="1095" t="str">
        <f t="array" ref="B224:B238">+TRANSPOSE(Sensitivity_output)</f>
        <v>Cost of hydrogen ($/kg)</v>
      </c>
      <c r="C224" s="1095"/>
      <c r="D224" s="1095"/>
      <c r="E224" s="1095"/>
      <c r="F224" s="1095"/>
      <c r="G224" s="1095"/>
      <c r="H224" s="1095"/>
      <c r="I224" s="1095"/>
      <c r="J224" s="1095"/>
      <c r="K224" s="1095"/>
      <c r="L224" s="1095"/>
      <c r="M224" s="1095"/>
      <c r="N224" s="1095"/>
      <c r="O224" s="1095"/>
      <c r="P224" s="1095"/>
      <c r="Q224" s="1095"/>
      <c r="R224" s="1095"/>
      <c r="S224" s="1095"/>
      <c r="T224" s="1095"/>
      <c r="U224" s="1095"/>
      <c r="V224" s="1095"/>
      <c r="W224" s="1095"/>
      <c r="X224" s="1095"/>
      <c r="Y224" s="1095"/>
      <c r="Z224" s="1095"/>
      <c r="AA224" s="1095"/>
      <c r="AB224" s="1095"/>
      <c r="AC224" s="1095"/>
      <c r="AD224" s="1095"/>
      <c r="AE224" s="1095"/>
      <c r="AF224" s="1095"/>
      <c r="AG224" s="1095"/>
      <c r="AH224" s="1095"/>
      <c r="AI224" s="1095"/>
      <c r="AJ224" s="1095"/>
    </row>
    <row r="225" spans="1:36" x14ac:dyDescent="0.25">
      <c r="A225" s="1095"/>
      <c r="B225" s="1095" t="str">
        <v>Revenue from byproduct sales ($/kg)</v>
      </c>
      <c r="C225" s="1095"/>
      <c r="D225" s="1095"/>
      <c r="E225" s="1095"/>
      <c r="F225" s="1095"/>
      <c r="G225" s="1095"/>
      <c r="H225" s="1095"/>
      <c r="I225" s="1095"/>
      <c r="J225" s="1095"/>
      <c r="K225" s="1095"/>
      <c r="L225" s="1095"/>
      <c r="M225" s="1095"/>
      <c r="N225" s="1095"/>
      <c r="O225" s="1095"/>
      <c r="P225" s="1095"/>
      <c r="Q225" s="1095"/>
      <c r="R225" s="1095"/>
      <c r="S225" s="1095"/>
      <c r="T225" s="1095"/>
      <c r="U225" s="1095"/>
      <c r="V225" s="1095"/>
      <c r="W225" s="1095"/>
      <c r="X225" s="1095"/>
      <c r="Y225" s="1095"/>
      <c r="Z225" s="1095"/>
      <c r="AA225" s="1095"/>
      <c r="AB225" s="1095"/>
      <c r="AC225" s="1095"/>
      <c r="AD225" s="1095"/>
      <c r="AE225" s="1095"/>
      <c r="AF225" s="1095"/>
      <c r="AG225" s="1095"/>
      <c r="AH225" s="1095"/>
      <c r="AI225" s="1095"/>
      <c r="AJ225" s="1095"/>
    </row>
    <row r="226" spans="1:36" x14ac:dyDescent="0.25">
      <c r="A226" s="1095"/>
      <c r="B226" s="1095" t="str">
        <v>Salvage value ($/kg)</v>
      </c>
      <c r="C226" s="1095"/>
      <c r="D226" s="1095"/>
      <c r="E226" s="1095"/>
      <c r="F226" s="1095"/>
      <c r="G226" s="1095"/>
      <c r="H226" s="1095"/>
      <c r="I226" s="1095"/>
      <c r="J226" s="1095"/>
      <c r="K226" s="1095"/>
      <c r="L226" s="1095"/>
      <c r="M226" s="1095"/>
      <c r="N226" s="1095"/>
      <c r="O226" s="1095"/>
      <c r="P226" s="1095"/>
      <c r="Q226" s="1095"/>
      <c r="R226" s="1095"/>
      <c r="S226" s="1095"/>
      <c r="T226" s="1095"/>
      <c r="U226" s="1095"/>
      <c r="V226" s="1095"/>
      <c r="W226" s="1095"/>
      <c r="X226" s="1095"/>
      <c r="Y226" s="1095"/>
      <c r="Z226" s="1095"/>
      <c r="AA226" s="1095"/>
      <c r="AB226" s="1095"/>
      <c r="AC226" s="1095"/>
      <c r="AD226" s="1095"/>
      <c r="AE226" s="1095"/>
      <c r="AF226" s="1095"/>
      <c r="AG226" s="1095"/>
      <c r="AH226" s="1095"/>
      <c r="AI226" s="1095"/>
      <c r="AJ226" s="1095"/>
    </row>
    <row r="227" spans="1:36" x14ac:dyDescent="0.25">
      <c r="A227" s="1095"/>
      <c r="B227" s="1095" t="str">
        <v>Initial equity depreciable capital ($/kg)</v>
      </c>
      <c r="C227" s="1095"/>
      <c r="D227" s="1095"/>
      <c r="E227" s="1095"/>
      <c r="F227" s="1095"/>
      <c r="G227" s="1095"/>
      <c r="H227" s="1095"/>
      <c r="I227" s="1095"/>
      <c r="J227" s="1095"/>
      <c r="K227" s="1095"/>
      <c r="L227" s="1095"/>
      <c r="M227" s="1095"/>
      <c r="N227" s="1095"/>
      <c r="O227" s="1095"/>
      <c r="P227" s="1095"/>
      <c r="Q227" s="1095"/>
      <c r="R227" s="1095"/>
      <c r="S227" s="1095"/>
      <c r="T227" s="1095"/>
      <c r="U227" s="1095"/>
      <c r="V227" s="1095"/>
      <c r="W227" s="1095"/>
      <c r="X227" s="1095"/>
      <c r="Y227" s="1095"/>
      <c r="Z227" s="1095"/>
      <c r="AA227" s="1095"/>
      <c r="AB227" s="1095"/>
      <c r="AC227" s="1095"/>
      <c r="AD227" s="1095"/>
      <c r="AE227" s="1095"/>
      <c r="AF227" s="1095"/>
      <c r="AG227" s="1095"/>
      <c r="AH227" s="1095"/>
      <c r="AI227" s="1095"/>
      <c r="AJ227" s="1095"/>
    </row>
    <row r="228" spans="1:36" x14ac:dyDescent="0.25">
      <c r="A228" s="1095"/>
      <c r="B228" s="1095" t="str">
        <v>Yearly replacement costs ($/kg)</v>
      </c>
      <c r="C228" s="1095"/>
      <c r="D228" s="1095"/>
      <c r="E228" s="1095"/>
      <c r="F228" s="1095"/>
      <c r="G228" s="1095"/>
      <c r="H228" s="1095"/>
      <c r="I228" s="1095"/>
      <c r="J228" s="1095"/>
      <c r="K228" s="1095"/>
      <c r="L228" s="1095"/>
      <c r="M228" s="1095"/>
      <c r="N228" s="1095"/>
      <c r="O228" s="1095"/>
      <c r="P228" s="1095"/>
      <c r="Q228" s="1095"/>
      <c r="R228" s="1095"/>
      <c r="S228" s="1095"/>
      <c r="T228" s="1095"/>
      <c r="U228" s="1095"/>
      <c r="V228" s="1095"/>
      <c r="W228" s="1095"/>
      <c r="X228" s="1095"/>
      <c r="Y228" s="1095"/>
      <c r="Z228" s="1095"/>
      <c r="AA228" s="1095"/>
      <c r="AB228" s="1095"/>
      <c r="AC228" s="1095"/>
      <c r="AD228" s="1095"/>
      <c r="AE228" s="1095"/>
      <c r="AF228" s="1095"/>
      <c r="AG228" s="1095"/>
      <c r="AH228" s="1095"/>
      <c r="AI228" s="1095"/>
      <c r="AJ228" s="1095"/>
    </row>
    <row r="229" spans="1:36" x14ac:dyDescent="0.25">
      <c r="A229" s="1095"/>
      <c r="B229" s="1095" t="str">
        <v>Cash from working capital reserve ($/kg)</v>
      </c>
      <c r="C229" s="1095"/>
      <c r="D229" s="1095"/>
      <c r="E229" s="1095"/>
      <c r="F229" s="1095"/>
      <c r="G229" s="1095"/>
      <c r="H229" s="1095"/>
      <c r="I229" s="1095"/>
      <c r="J229" s="1095"/>
      <c r="K229" s="1095"/>
      <c r="L229" s="1095"/>
      <c r="M229" s="1095"/>
      <c r="N229" s="1095"/>
      <c r="O229" s="1095"/>
      <c r="P229" s="1095"/>
      <c r="Q229" s="1095"/>
      <c r="R229" s="1095"/>
      <c r="S229" s="1095"/>
      <c r="T229" s="1095"/>
      <c r="U229" s="1095"/>
      <c r="V229" s="1095"/>
      <c r="W229" s="1095"/>
      <c r="X229" s="1095"/>
      <c r="Y229" s="1095"/>
      <c r="Z229" s="1095"/>
      <c r="AA229" s="1095"/>
      <c r="AB229" s="1095"/>
      <c r="AC229" s="1095"/>
      <c r="AD229" s="1095"/>
      <c r="AE229" s="1095"/>
      <c r="AF229" s="1095"/>
      <c r="AG229" s="1095"/>
      <c r="AH229" s="1095"/>
      <c r="AI229" s="1095"/>
      <c r="AJ229" s="1095"/>
    </row>
    <row r="230" spans="1:36" x14ac:dyDescent="0.25">
      <c r="A230" s="1095"/>
      <c r="B230" s="1095" t="str">
        <v>Other non-depreciable capital costs ($/kg)</v>
      </c>
      <c r="C230" s="1095"/>
      <c r="D230" s="1095"/>
      <c r="E230" s="1095"/>
      <c r="F230" s="1095"/>
      <c r="G230" s="1095"/>
      <c r="H230" s="1095"/>
      <c r="I230" s="1095"/>
      <c r="J230" s="1095"/>
      <c r="K230" s="1095"/>
      <c r="L230" s="1095"/>
      <c r="M230" s="1095"/>
      <c r="N230" s="1095"/>
      <c r="O230" s="1095"/>
      <c r="P230" s="1095"/>
      <c r="Q230" s="1095"/>
      <c r="R230" s="1095"/>
      <c r="S230" s="1095"/>
      <c r="T230" s="1095"/>
      <c r="U230" s="1095"/>
      <c r="V230" s="1095"/>
      <c r="W230" s="1095"/>
      <c r="X230" s="1095"/>
      <c r="Y230" s="1095"/>
      <c r="Z230" s="1095"/>
      <c r="AA230" s="1095"/>
      <c r="AB230" s="1095"/>
      <c r="AC230" s="1095"/>
      <c r="AD230" s="1095"/>
      <c r="AE230" s="1095"/>
      <c r="AF230" s="1095"/>
      <c r="AG230" s="1095"/>
      <c r="AH230" s="1095"/>
      <c r="AI230" s="1095"/>
      <c r="AJ230" s="1095"/>
    </row>
    <row r="231" spans="1:36" x14ac:dyDescent="0.25">
      <c r="A231" s="1095"/>
      <c r="B231" s="1095" t="str">
        <v>Decommissioning costs ($/kg)</v>
      </c>
      <c r="C231" s="1095"/>
      <c r="D231" s="1095"/>
      <c r="E231" s="1095"/>
      <c r="F231" s="1095"/>
      <c r="G231" s="1095"/>
      <c r="H231" s="1095"/>
      <c r="I231" s="1095"/>
      <c r="J231" s="1095"/>
      <c r="K231" s="1095"/>
      <c r="L231" s="1095"/>
      <c r="M231" s="1095"/>
      <c r="N231" s="1095"/>
      <c r="O231" s="1095"/>
      <c r="P231" s="1095"/>
      <c r="Q231" s="1095"/>
      <c r="R231" s="1095"/>
      <c r="S231" s="1095"/>
      <c r="T231" s="1095"/>
      <c r="U231" s="1095"/>
      <c r="V231" s="1095"/>
      <c r="W231" s="1095"/>
      <c r="X231" s="1095"/>
      <c r="Y231" s="1095"/>
      <c r="Z231" s="1095"/>
      <c r="AA231" s="1095"/>
      <c r="AB231" s="1095"/>
      <c r="AC231" s="1095"/>
      <c r="AD231" s="1095"/>
      <c r="AE231" s="1095"/>
      <c r="AF231" s="1095"/>
      <c r="AG231" s="1095"/>
      <c r="AH231" s="1095"/>
      <c r="AI231" s="1095"/>
      <c r="AJ231" s="1095"/>
    </row>
    <row r="232" spans="1:36" x14ac:dyDescent="0.25">
      <c r="A232" s="1095"/>
      <c r="B232" s="1095" t="str">
        <v>Fixed operating cost ($/kg)</v>
      </c>
      <c r="C232" s="1095"/>
      <c r="D232" s="1095"/>
      <c r="E232" s="1095"/>
      <c r="F232" s="1095"/>
      <c r="G232" s="1095"/>
      <c r="H232" s="1095"/>
      <c r="I232" s="1095"/>
      <c r="J232" s="1095"/>
      <c r="K232" s="1095"/>
      <c r="L232" s="1095"/>
      <c r="M232" s="1095"/>
      <c r="N232" s="1095"/>
      <c r="O232" s="1095"/>
      <c r="P232" s="1095"/>
      <c r="Q232" s="1095"/>
      <c r="R232" s="1095"/>
      <c r="S232" s="1095"/>
      <c r="T232" s="1095"/>
      <c r="U232" s="1095"/>
      <c r="V232" s="1095"/>
      <c r="W232" s="1095"/>
      <c r="X232" s="1095"/>
      <c r="Y232" s="1095"/>
      <c r="Z232" s="1095"/>
      <c r="AA232" s="1095"/>
      <c r="AB232" s="1095"/>
      <c r="AC232" s="1095"/>
      <c r="AD232" s="1095"/>
      <c r="AE232" s="1095"/>
      <c r="AF232" s="1095"/>
      <c r="AG232" s="1095"/>
      <c r="AH232" s="1095"/>
      <c r="AI232" s="1095"/>
      <c r="AJ232" s="1095"/>
    </row>
    <row r="233" spans="1:36" x14ac:dyDescent="0.25">
      <c r="A233" s="1095"/>
      <c r="B233" s="1095" t="str">
        <v>Feedstock cost ($/kg)</v>
      </c>
      <c r="C233" s="1095"/>
      <c r="D233" s="1095"/>
      <c r="E233" s="1095"/>
      <c r="F233" s="1095"/>
      <c r="G233" s="1095"/>
      <c r="H233" s="1095"/>
      <c r="I233" s="1095"/>
      <c r="J233" s="1095"/>
      <c r="K233" s="1095"/>
      <c r="L233" s="1095"/>
      <c r="M233" s="1095"/>
      <c r="N233" s="1095"/>
      <c r="O233" s="1095"/>
      <c r="P233" s="1095"/>
      <c r="Q233" s="1095"/>
      <c r="R233" s="1095"/>
      <c r="S233" s="1095"/>
      <c r="T233" s="1095"/>
      <c r="U233" s="1095"/>
      <c r="V233" s="1095"/>
      <c r="W233" s="1095"/>
      <c r="X233" s="1095"/>
      <c r="Y233" s="1095"/>
      <c r="Z233" s="1095"/>
      <c r="AA233" s="1095"/>
      <c r="AB233" s="1095"/>
      <c r="AC233" s="1095"/>
      <c r="AD233" s="1095"/>
      <c r="AE233" s="1095"/>
      <c r="AF233" s="1095"/>
      <c r="AG233" s="1095"/>
      <c r="AH233" s="1095"/>
      <c r="AI233" s="1095"/>
      <c r="AJ233" s="1095"/>
    </row>
    <row r="234" spans="1:36" x14ac:dyDescent="0.25">
      <c r="A234" s="1095"/>
      <c r="B234" s="1095" t="str">
        <v>Other raw material cost ($/kg)</v>
      </c>
      <c r="C234" s="1095"/>
      <c r="D234" s="1095"/>
      <c r="E234" s="1095"/>
      <c r="F234" s="1095"/>
      <c r="G234" s="1095"/>
      <c r="H234" s="1095"/>
      <c r="I234" s="1095"/>
      <c r="J234" s="1095"/>
      <c r="K234" s="1095"/>
      <c r="L234" s="1095"/>
      <c r="M234" s="1095"/>
      <c r="N234" s="1095"/>
      <c r="O234" s="1095"/>
      <c r="P234" s="1095"/>
      <c r="Q234" s="1095"/>
      <c r="R234" s="1095"/>
      <c r="S234" s="1095"/>
      <c r="T234" s="1095"/>
      <c r="U234" s="1095"/>
      <c r="V234" s="1095"/>
      <c r="W234" s="1095"/>
      <c r="X234" s="1095"/>
      <c r="Y234" s="1095"/>
      <c r="Z234" s="1095"/>
      <c r="AA234" s="1095"/>
      <c r="AB234" s="1095"/>
      <c r="AC234" s="1095"/>
      <c r="AD234" s="1095"/>
      <c r="AE234" s="1095"/>
      <c r="AF234" s="1095"/>
      <c r="AG234" s="1095"/>
      <c r="AH234" s="1095"/>
      <c r="AI234" s="1095"/>
      <c r="AJ234" s="1095"/>
    </row>
    <row r="235" spans="1:36" x14ac:dyDescent="0.25">
      <c r="A235" s="1095"/>
      <c r="B235" s="1095" t="str">
        <v>Other variable operating costs ($/kg)</v>
      </c>
      <c r="C235" s="1095"/>
      <c r="D235" s="1095"/>
      <c r="E235" s="1095"/>
      <c r="F235" s="1095"/>
      <c r="G235" s="1095"/>
      <c r="H235" s="1095"/>
      <c r="I235" s="1095"/>
      <c r="J235" s="1095"/>
      <c r="K235" s="1095"/>
      <c r="L235" s="1095"/>
      <c r="M235" s="1095"/>
      <c r="N235" s="1095"/>
      <c r="O235" s="1095"/>
      <c r="P235" s="1095"/>
      <c r="Q235" s="1095"/>
      <c r="R235" s="1095"/>
      <c r="S235" s="1095"/>
      <c r="T235" s="1095"/>
      <c r="U235" s="1095"/>
      <c r="V235" s="1095"/>
      <c r="W235" s="1095"/>
      <c r="X235" s="1095"/>
      <c r="Y235" s="1095"/>
      <c r="Z235" s="1095"/>
      <c r="AA235" s="1095"/>
      <c r="AB235" s="1095"/>
      <c r="AC235" s="1095"/>
      <c r="AD235" s="1095"/>
      <c r="AE235" s="1095"/>
      <c r="AF235" s="1095"/>
      <c r="AG235" s="1095"/>
      <c r="AH235" s="1095"/>
      <c r="AI235" s="1095"/>
      <c r="AJ235" s="1095"/>
    </row>
    <row r="236" spans="1:36" x14ac:dyDescent="0.25">
      <c r="A236" s="1095"/>
      <c r="B236" s="1095" t="str">
        <v>Debt interest ($/kg)</v>
      </c>
      <c r="C236" s="1095"/>
      <c r="D236" s="1095"/>
      <c r="E236" s="1095"/>
      <c r="F236" s="1095"/>
      <c r="G236" s="1095"/>
      <c r="H236" s="1095"/>
      <c r="I236" s="1095"/>
      <c r="J236" s="1095"/>
      <c r="K236" s="1095"/>
      <c r="L236" s="1095"/>
      <c r="M236" s="1095"/>
      <c r="N236" s="1095"/>
      <c r="O236" s="1095"/>
      <c r="P236" s="1095"/>
      <c r="Q236" s="1095"/>
      <c r="R236" s="1095"/>
      <c r="S236" s="1095"/>
      <c r="T236" s="1095"/>
      <c r="U236" s="1095"/>
      <c r="V236" s="1095"/>
      <c r="W236" s="1095"/>
      <c r="X236" s="1095"/>
      <c r="Y236" s="1095"/>
      <c r="Z236" s="1095"/>
      <c r="AA236" s="1095"/>
      <c r="AB236" s="1095"/>
      <c r="AC236" s="1095"/>
      <c r="AD236" s="1095"/>
      <c r="AE236" s="1095"/>
      <c r="AF236" s="1095"/>
      <c r="AG236" s="1095"/>
      <c r="AH236" s="1095"/>
      <c r="AI236" s="1095"/>
      <c r="AJ236" s="1095"/>
    </row>
    <row r="237" spans="1:36" x14ac:dyDescent="0.25">
      <c r="A237" s="1095"/>
      <c r="B237" s="1095" t="str">
        <v>Taxes ($/kg)</v>
      </c>
      <c r="C237" s="1095"/>
      <c r="D237" s="1095"/>
      <c r="E237" s="1095"/>
      <c r="F237" s="1095"/>
      <c r="G237" s="1095"/>
      <c r="H237" s="1095"/>
      <c r="I237" s="1095"/>
      <c r="J237" s="1095"/>
      <c r="K237" s="1095"/>
      <c r="L237" s="1095"/>
      <c r="M237" s="1095"/>
      <c r="N237" s="1095"/>
      <c r="O237" s="1095"/>
      <c r="P237" s="1095"/>
      <c r="Q237" s="1095"/>
      <c r="R237" s="1095"/>
      <c r="S237" s="1095"/>
      <c r="T237" s="1095"/>
      <c r="U237" s="1095"/>
      <c r="V237" s="1095"/>
      <c r="W237" s="1095"/>
      <c r="X237" s="1095"/>
      <c r="Y237" s="1095"/>
      <c r="Z237" s="1095"/>
      <c r="AA237" s="1095"/>
      <c r="AB237" s="1095"/>
      <c r="AC237" s="1095"/>
      <c r="AD237" s="1095"/>
      <c r="AE237" s="1095"/>
      <c r="AF237" s="1095"/>
      <c r="AG237" s="1095"/>
      <c r="AH237" s="1095"/>
      <c r="AI237" s="1095"/>
      <c r="AJ237" s="1095"/>
    </row>
    <row r="238" spans="1:36" x14ac:dyDescent="0.25">
      <c r="A238" s="1095"/>
      <c r="B238" s="1095" t="str">
        <v>Principal payment ($/kg)</v>
      </c>
      <c r="C238" s="1095"/>
      <c r="D238" s="1095"/>
      <c r="E238" s="1095"/>
      <c r="F238" s="1095"/>
      <c r="G238" s="1095"/>
      <c r="H238" s="1095"/>
      <c r="I238" s="1095"/>
      <c r="J238" s="1095"/>
      <c r="K238" s="1095"/>
      <c r="L238" s="1095"/>
      <c r="M238" s="1095"/>
      <c r="N238" s="1095"/>
      <c r="O238" s="1095"/>
      <c r="P238" s="1095"/>
      <c r="Q238" s="1095"/>
      <c r="R238" s="1095"/>
      <c r="S238" s="1095"/>
      <c r="T238" s="1095"/>
      <c r="U238" s="1095"/>
      <c r="V238" s="1095"/>
      <c r="W238" s="1095"/>
      <c r="X238" s="1095"/>
      <c r="Y238" s="1095"/>
      <c r="Z238" s="1095"/>
      <c r="AA238" s="1095"/>
      <c r="AB238" s="1095"/>
      <c r="AC238" s="1095"/>
      <c r="AD238" s="1095"/>
      <c r="AE238" s="1095"/>
      <c r="AF238" s="1095"/>
      <c r="AG238" s="1095"/>
      <c r="AH238" s="1095"/>
      <c r="AI238" s="1095"/>
      <c r="AJ238" s="1095"/>
    </row>
    <row r="239" spans="1:36" x14ac:dyDescent="0.25">
      <c r="A239" s="1095"/>
      <c r="B239" s="1095" t="str">
        <f t="array" ref="B239:B245">+TRANSPOSE(C50:I50)</f>
        <v>Operating capacity factor</v>
      </c>
      <c r="C239" s="1095"/>
      <c r="D239" s="1095"/>
      <c r="E239" s="1095"/>
      <c r="F239" s="1095"/>
      <c r="G239" s="1095"/>
      <c r="H239" s="1095"/>
      <c r="I239" s="1095"/>
      <c r="J239" s="1095"/>
      <c r="K239" s="1095"/>
      <c r="L239" s="1095"/>
      <c r="M239" s="1095"/>
      <c r="N239" s="1095"/>
      <c r="O239" s="1095"/>
      <c r="P239" s="1095"/>
      <c r="Q239" s="1095"/>
      <c r="R239" s="1095"/>
      <c r="S239" s="1095"/>
      <c r="T239" s="1095"/>
      <c r="U239" s="1095"/>
      <c r="V239" s="1095"/>
      <c r="W239" s="1095"/>
      <c r="X239" s="1095"/>
      <c r="Y239" s="1095"/>
      <c r="Z239" s="1095"/>
      <c r="AA239" s="1095"/>
      <c r="AB239" s="1095"/>
      <c r="AC239" s="1095"/>
      <c r="AD239" s="1095"/>
      <c r="AE239" s="1095"/>
      <c r="AF239" s="1095"/>
      <c r="AG239" s="1095"/>
      <c r="AH239" s="1095"/>
      <c r="AI239" s="1095"/>
      <c r="AJ239" s="1095"/>
    </row>
    <row r="240" spans="1:36" x14ac:dyDescent="0.25">
      <c r="A240" s="1095"/>
      <c r="B240" s="1095" t="str">
        <v>Plant design capacity (kg of H2/day)</v>
      </c>
      <c r="C240" s="1095"/>
      <c r="D240" s="1095"/>
      <c r="E240" s="1095"/>
      <c r="F240" s="1095"/>
      <c r="G240" s="1095"/>
      <c r="H240" s="1095"/>
      <c r="I240" s="1095"/>
      <c r="J240" s="1095"/>
      <c r="K240" s="1095"/>
      <c r="L240" s="1095"/>
      <c r="M240" s="1095"/>
      <c r="N240" s="1095"/>
      <c r="O240" s="1095"/>
      <c r="P240" s="1095"/>
      <c r="Q240" s="1095"/>
      <c r="R240" s="1095"/>
      <c r="S240" s="1095"/>
      <c r="T240" s="1095"/>
      <c r="U240" s="1095"/>
      <c r="V240" s="1095"/>
      <c r="W240" s="1095"/>
      <c r="X240" s="1095"/>
      <c r="Y240" s="1095"/>
      <c r="Z240" s="1095"/>
      <c r="AA240" s="1095"/>
      <c r="AB240" s="1095"/>
      <c r="AC240" s="1095"/>
      <c r="AD240" s="1095"/>
      <c r="AE240" s="1095"/>
      <c r="AF240" s="1095"/>
      <c r="AG240" s="1095"/>
      <c r="AH240" s="1095"/>
      <c r="AI240" s="1095"/>
      <c r="AJ240" s="1095"/>
    </row>
    <row r="241" spans="1:36" x14ac:dyDescent="0.25">
      <c r="A241" s="1095"/>
      <c r="B241" s="1095" t="str">
        <v>After-tax real IRR (%)</v>
      </c>
      <c r="C241" s="1095"/>
      <c r="D241" s="1095"/>
      <c r="E241" s="1095"/>
      <c r="F241" s="1095"/>
      <c r="G241" s="1095"/>
      <c r="H241" s="1095"/>
      <c r="I241" s="1095"/>
      <c r="J241" s="1095"/>
      <c r="K241" s="1095"/>
      <c r="L241" s="1095"/>
      <c r="M241" s="1095"/>
      <c r="N241" s="1095"/>
      <c r="O241" s="1095"/>
      <c r="P241" s="1095"/>
      <c r="Q241" s="1095"/>
      <c r="R241" s="1095"/>
      <c r="S241" s="1095"/>
      <c r="T241" s="1095"/>
      <c r="U241" s="1095"/>
      <c r="V241" s="1095"/>
      <c r="W241" s="1095"/>
      <c r="X241" s="1095"/>
      <c r="Y241" s="1095"/>
      <c r="Z241" s="1095"/>
      <c r="AA241" s="1095"/>
      <c r="AB241" s="1095"/>
      <c r="AC241" s="1095"/>
      <c r="AD241" s="1095"/>
      <c r="AE241" s="1095"/>
      <c r="AF241" s="1095"/>
      <c r="AG241" s="1095"/>
      <c r="AH241" s="1095"/>
      <c r="AI241" s="1095"/>
      <c r="AJ241" s="1095"/>
    </row>
    <row r="242" spans="1:36" x14ac:dyDescent="0.25">
      <c r="A242" s="1095"/>
      <c r="B242" s="1095" t="str">
        <v>Feedstock consumption (% of most likely value)</v>
      </c>
      <c r="C242" s="1095"/>
      <c r="D242" s="1095"/>
      <c r="E242" s="1095"/>
      <c r="F242" s="1095"/>
      <c r="G242" s="1095"/>
      <c r="H242" s="1095"/>
      <c r="I242" s="1095"/>
      <c r="J242" s="1095"/>
      <c r="K242" s="1095"/>
      <c r="L242" s="1095"/>
      <c r="M242" s="1095"/>
      <c r="N242" s="1095"/>
      <c r="O242" s="1095"/>
      <c r="P242" s="1095"/>
      <c r="Q242" s="1095"/>
      <c r="R242" s="1095"/>
      <c r="S242" s="1095"/>
      <c r="T242" s="1095"/>
      <c r="U242" s="1095"/>
      <c r="V242" s="1095"/>
      <c r="W242" s="1095"/>
      <c r="X242" s="1095"/>
      <c r="Y242" s="1095"/>
      <c r="Z242" s="1095"/>
      <c r="AA242" s="1095"/>
      <c r="AB242" s="1095"/>
      <c r="AC242" s="1095"/>
      <c r="AD242" s="1095"/>
      <c r="AE242" s="1095"/>
      <c r="AF242" s="1095"/>
      <c r="AG242" s="1095"/>
      <c r="AH242" s="1095"/>
      <c r="AI242" s="1095"/>
      <c r="AJ242" s="1095"/>
    </row>
    <row r="243" spans="1:36" x14ac:dyDescent="0.25">
      <c r="A243" s="1095"/>
      <c r="B243" s="1095" t="str">
        <v>Utilities consumption (% of most likely value)</v>
      </c>
      <c r="C243" s="1095"/>
      <c r="D243" s="1095"/>
      <c r="E243" s="1095"/>
      <c r="F243" s="1095"/>
      <c r="G243" s="1095"/>
      <c r="H243" s="1095"/>
      <c r="I243" s="1095"/>
      <c r="J243" s="1095"/>
      <c r="K243" s="1095"/>
      <c r="L243" s="1095"/>
      <c r="M243" s="1095"/>
      <c r="N243" s="1095"/>
      <c r="O243" s="1095"/>
      <c r="P243" s="1095"/>
      <c r="Q243" s="1095"/>
      <c r="R243" s="1095"/>
      <c r="S243" s="1095"/>
      <c r="T243" s="1095"/>
      <c r="U243" s="1095"/>
      <c r="V243" s="1095"/>
      <c r="W243" s="1095"/>
      <c r="X243" s="1095"/>
      <c r="Y243" s="1095"/>
      <c r="Z243" s="1095"/>
      <c r="AA243" s="1095"/>
      <c r="AB243" s="1095"/>
      <c r="AC243" s="1095"/>
      <c r="AD243" s="1095"/>
      <c r="AE243" s="1095"/>
      <c r="AF243" s="1095"/>
      <c r="AG243" s="1095"/>
      <c r="AH243" s="1095"/>
      <c r="AI243" s="1095"/>
      <c r="AJ243" s="1095"/>
    </row>
    <row r="244" spans="1:36" x14ac:dyDescent="0.25">
      <c r="A244" s="1095"/>
      <c r="B244" s="1095" t="str">
        <v>Total capital investment ($)</v>
      </c>
      <c r="C244" s="1095"/>
      <c r="D244" s="1095"/>
      <c r="E244" s="1095"/>
      <c r="F244" s="1095"/>
      <c r="G244" s="1095"/>
      <c r="H244" s="1095"/>
      <c r="I244" s="1095"/>
      <c r="J244" s="1095"/>
      <c r="K244" s="1095"/>
      <c r="L244" s="1095"/>
      <c r="M244" s="1095"/>
      <c r="N244" s="1095"/>
      <c r="O244" s="1095"/>
      <c r="P244" s="1095"/>
      <c r="Q244" s="1095"/>
      <c r="R244" s="1095"/>
      <c r="S244" s="1095"/>
      <c r="T244" s="1095"/>
      <c r="U244" s="1095"/>
      <c r="V244" s="1095"/>
      <c r="W244" s="1095"/>
      <c r="X244" s="1095"/>
      <c r="Y244" s="1095"/>
      <c r="Z244" s="1095"/>
      <c r="AA244" s="1095"/>
      <c r="AB244" s="1095"/>
      <c r="AC244" s="1095"/>
      <c r="AD244" s="1095"/>
      <c r="AE244" s="1095"/>
      <c r="AF244" s="1095"/>
      <c r="AG244" s="1095"/>
      <c r="AH244" s="1095"/>
      <c r="AI244" s="1095"/>
      <c r="AJ244" s="1095"/>
    </row>
    <row r="245" spans="1:36" x14ac:dyDescent="0.25">
      <c r="A245" s="1095"/>
      <c r="B245" s="1095" t="str">
        <v>Total fixed operating cost ($/year)</v>
      </c>
      <c r="C245" s="1095"/>
      <c r="D245" s="1095"/>
      <c r="E245" s="1095"/>
      <c r="F245" s="1095"/>
      <c r="G245" s="1095"/>
      <c r="H245" s="1095"/>
      <c r="I245" s="1095"/>
      <c r="J245" s="1095"/>
      <c r="K245" s="1095"/>
      <c r="L245" s="1095"/>
      <c r="M245" s="1095"/>
      <c r="N245" s="1095"/>
      <c r="O245" s="1095"/>
      <c r="P245" s="1095"/>
      <c r="Q245" s="1095"/>
      <c r="R245" s="1095"/>
      <c r="S245" s="1095"/>
      <c r="T245" s="1095"/>
      <c r="U245" s="1095"/>
      <c r="V245" s="1095"/>
      <c r="W245" s="1095"/>
      <c r="X245" s="1095"/>
      <c r="Y245" s="1095"/>
      <c r="Z245" s="1095"/>
      <c r="AA245" s="1095"/>
      <c r="AB245" s="1095"/>
      <c r="AC245" s="1095"/>
      <c r="AD245" s="1095"/>
      <c r="AE245" s="1095"/>
      <c r="AF245" s="1095"/>
      <c r="AG245" s="1095"/>
      <c r="AH245" s="1095"/>
      <c r="AI245" s="1095"/>
      <c r="AJ245" s="1095"/>
    </row>
    <row r="246" spans="1:36" x14ac:dyDescent="0.25">
      <c r="A246" s="1095"/>
      <c r="B246" s="1095"/>
      <c r="C246" s="1095"/>
      <c r="D246" s="1095"/>
      <c r="E246" s="1095"/>
      <c r="F246" s="1095"/>
      <c r="G246" s="1095"/>
      <c r="H246" s="1095"/>
      <c r="I246" s="1095"/>
      <c r="J246" s="1095"/>
      <c r="K246" s="1095"/>
      <c r="L246" s="1095"/>
      <c r="M246" s="1095"/>
      <c r="N246" s="1095"/>
      <c r="O246" s="1095"/>
      <c r="P246" s="1095"/>
      <c r="Q246" s="1095"/>
      <c r="R246" s="1095"/>
      <c r="S246" s="1095"/>
      <c r="T246" s="1095"/>
      <c r="U246" s="1095"/>
      <c r="V246" s="1095"/>
      <c r="W246" s="1095"/>
      <c r="X246" s="1095"/>
      <c r="Y246" s="1095"/>
      <c r="Z246" s="1095"/>
      <c r="AA246" s="1095"/>
      <c r="AB246" s="1095"/>
      <c r="AC246" s="1095"/>
      <c r="AD246" s="1095"/>
      <c r="AE246" s="1095"/>
      <c r="AF246" s="1095"/>
      <c r="AG246" s="1095"/>
      <c r="AH246" s="1095"/>
      <c r="AI246" s="1095"/>
      <c r="AJ246" s="1095"/>
    </row>
    <row r="247" spans="1:36" x14ac:dyDescent="0.25">
      <c r="A247" s="1095"/>
      <c r="B247" s="1095"/>
      <c r="C247" s="1095"/>
      <c r="D247" s="1095"/>
      <c r="E247" s="1095"/>
      <c r="F247" s="1095"/>
      <c r="G247" s="1095"/>
      <c r="H247" s="1095"/>
      <c r="I247" s="1095"/>
      <c r="J247" s="1095"/>
      <c r="K247" s="1095"/>
      <c r="L247" s="1095"/>
      <c r="M247" s="1095"/>
      <c r="N247" s="1095"/>
      <c r="O247" s="1095"/>
      <c r="P247" s="1095"/>
      <c r="Q247" s="1095"/>
      <c r="R247" s="1095"/>
      <c r="S247" s="1095"/>
      <c r="T247" s="1095"/>
      <c r="U247" s="1095"/>
      <c r="V247" s="1095"/>
      <c r="W247" s="1095"/>
      <c r="X247" s="1095"/>
      <c r="Y247" s="1095"/>
      <c r="Z247" s="1095"/>
      <c r="AA247" s="1095"/>
      <c r="AB247" s="1095"/>
      <c r="AC247" s="1095"/>
      <c r="AD247" s="1095"/>
      <c r="AE247" s="1095"/>
      <c r="AF247" s="1095"/>
      <c r="AG247" s="1095"/>
      <c r="AH247" s="1095"/>
      <c r="AI247" s="1095"/>
      <c r="AJ247" s="1095"/>
    </row>
    <row r="248" spans="1:36" x14ac:dyDescent="0.25">
      <c r="A248" s="1095"/>
      <c r="B248" s="1096"/>
      <c r="C248">
        <f ca="1">+RAND()</f>
        <v>0.64937003673688032</v>
      </c>
      <c r="D248">
        <f t="shared" ref="D248:I248" ca="1" si="96">+RAND()</f>
        <v>0.10873834938754734</v>
      </c>
      <c r="E248">
        <f t="shared" ca="1" si="96"/>
        <v>0.5978080894644886</v>
      </c>
      <c r="F248">
        <f t="shared" ca="1" si="96"/>
        <v>0.13244368343801383</v>
      </c>
      <c r="G248">
        <f t="shared" ca="1" si="96"/>
        <v>0.34047073821629426</v>
      </c>
      <c r="H248">
        <f t="shared" ca="1" si="96"/>
        <v>0.84285968759357244</v>
      </c>
      <c r="I248">
        <f t="shared" ca="1" si="96"/>
        <v>0.72398881861689757</v>
      </c>
      <c r="J248" s="1095"/>
      <c r="K248" s="1095"/>
      <c r="L248" s="1095"/>
      <c r="M248" s="1095"/>
      <c r="N248" s="1095"/>
      <c r="O248" s="1095"/>
      <c r="P248" s="1095"/>
      <c r="Q248" s="1095"/>
      <c r="R248" s="1095"/>
      <c r="S248" s="1095"/>
      <c r="T248" s="1095"/>
      <c r="U248" s="1095"/>
      <c r="V248" s="1095"/>
      <c r="W248" s="1095"/>
      <c r="X248" s="1095"/>
      <c r="Y248" s="1095"/>
      <c r="Z248" s="1095"/>
      <c r="AA248" s="1095"/>
      <c r="AB248" s="1095"/>
      <c r="AC248" s="1095"/>
      <c r="AD248" s="1095"/>
      <c r="AE248" s="1095"/>
      <c r="AF248" s="1095"/>
      <c r="AG248" s="1095"/>
      <c r="AH248" s="1095"/>
      <c r="AI248" s="1095"/>
      <c r="AJ248" s="1095"/>
    </row>
    <row r="249" spans="1:36" x14ac:dyDescent="0.25">
      <c r="A249" s="1095"/>
      <c r="B249" s="305"/>
      <c r="C249" s="1100">
        <f ca="1">IFERROR(IF(C$248&lt;=(C$190-C$189)/(C$191-C$189),C$189+SQRT(C$248*(C$191-C$189)*(C$190-C$189)),C$191-SQRT((1-C$248)*(C$191-C$189)*(C$191-C$190))),1)</f>
        <v>1.0081293680927121</v>
      </c>
      <c r="D249" s="1100">
        <f t="shared" ref="D249:I249" ca="1" si="97">IFERROR(IF(D$248&lt;=(D$190-D$189)/(D$191-D$189),D$189+SQRT(D$248*(D$191-D$189)*(D$190-D$189)),D$191-SQRT((1-D$248)*(D$191-D$189)*(D$191-D$190))),1)</f>
        <v>0.97331719852250131</v>
      </c>
      <c r="E249" s="1100">
        <f t="shared" ca="1" si="97"/>
        <v>1.0051562763290385</v>
      </c>
      <c r="F249" s="1100">
        <f t="shared" ca="1" si="97"/>
        <v>0.9757336048230727</v>
      </c>
      <c r="G249" s="1100">
        <f t="shared" ca="1" si="97"/>
        <v>0.99125958908037581</v>
      </c>
      <c r="H249" s="1100">
        <f t="shared" ca="1" si="97"/>
        <v>1.02196963143246</v>
      </c>
      <c r="I249" s="1100">
        <f t="shared" ca="1" si="97"/>
        <v>1.0128508962838199</v>
      </c>
    </row>
    <row r="250" spans="1:36" x14ac:dyDescent="0.25">
      <c r="A250" s="1095"/>
      <c r="B250" s="305"/>
    </row>
    <row r="251" spans="1:36" x14ac:dyDescent="0.25">
      <c r="A251" s="1095"/>
      <c r="B251" s="1454">
        <v>1</v>
      </c>
      <c r="C251" s="1100">
        <v>0.99334217349302401</v>
      </c>
      <c r="D251" s="1100">
        <v>0.99593494433910346</v>
      </c>
      <c r="E251" s="1100">
        <v>1.0194046241025752</v>
      </c>
      <c r="F251" s="1100">
        <v>1.0086352407940129</v>
      </c>
      <c r="G251" s="1100">
        <v>0.99376620193584075</v>
      </c>
      <c r="H251" s="1100">
        <v>0.99388841323494115</v>
      </c>
      <c r="I251" s="1100">
        <v>0.97822572117755224</v>
      </c>
      <c r="K251">
        <v>1.7515997474699228</v>
      </c>
      <c r="L251">
        <v>0</v>
      </c>
      <c r="M251">
        <v>1.3250624566611565E-3</v>
      </c>
      <c r="N251">
        <v>0.12924235528206357</v>
      </c>
      <c r="O251">
        <v>0.12876267806296413</v>
      </c>
      <c r="P251">
        <v>1.8759950518933845E-2</v>
      </c>
      <c r="Q251">
        <v>9.2461798836063528E-4</v>
      </c>
      <c r="R251">
        <v>1.3216271532536321E-3</v>
      </c>
      <c r="S251">
        <v>0.10621863456047284</v>
      </c>
      <c r="T251">
        <v>1.0393824639472873</v>
      </c>
      <c r="U251">
        <v>0</v>
      </c>
      <c r="V251">
        <v>0.2100953262248586</v>
      </c>
      <c r="W251">
        <v>8.3937238786346777E-2</v>
      </c>
      <c r="X251">
        <v>3.0682883965159957E-2</v>
      </c>
      <c r="Y251">
        <v>3.5970334368824069E-3</v>
      </c>
    </row>
    <row r="252" spans="1:36" x14ac:dyDescent="0.25">
      <c r="A252" s="1095"/>
      <c r="B252" s="1454">
        <v>2</v>
      </c>
      <c r="C252" s="1100">
        <v>0.97878087949666914</v>
      </c>
      <c r="D252" s="1100">
        <v>0.99945163618470878</v>
      </c>
      <c r="E252" s="1100">
        <v>1.0215845349165849</v>
      </c>
      <c r="F252" s="1100">
        <v>0.99434109330128795</v>
      </c>
      <c r="G252" s="1100">
        <v>0.97101397059221239</v>
      </c>
      <c r="H252" s="1100">
        <v>0.96556816837278936</v>
      </c>
      <c r="I252" s="1100">
        <v>1.0073308994482872</v>
      </c>
      <c r="K252">
        <v>1.7340264770433647</v>
      </c>
      <c r="L252">
        <v>0</v>
      </c>
      <c r="M252">
        <v>1.2946176001220782E-3</v>
      </c>
      <c r="N252">
        <v>0.12709521245951849</v>
      </c>
      <c r="O252">
        <v>0.12828378949178354</v>
      </c>
      <c r="P252">
        <v>1.8607791085195047E-2</v>
      </c>
      <c r="Q252">
        <v>9.3914867189528615E-4</v>
      </c>
      <c r="R252">
        <v>1.2911518582456451E-3</v>
      </c>
      <c r="S252">
        <v>0.10855740897362957</v>
      </c>
      <c r="T252">
        <v>1.0245894563962319</v>
      </c>
      <c r="U252">
        <v>0</v>
      </c>
      <c r="V252">
        <v>0.20940559382836438</v>
      </c>
      <c r="W252">
        <v>8.243759966933864E-2</v>
      </c>
      <c r="X252">
        <v>3.0599852479233268E-2</v>
      </c>
      <c r="Y252">
        <v>3.514089730048965E-3</v>
      </c>
    </row>
    <row r="253" spans="1:36" x14ac:dyDescent="0.25">
      <c r="A253" s="1095"/>
      <c r="B253" s="1454">
        <v>3</v>
      </c>
      <c r="C253" s="1100">
        <v>1.0046628136274149</v>
      </c>
      <c r="D253" s="1100">
        <v>1.02396686419548</v>
      </c>
      <c r="E253" s="1100">
        <v>1.0310556239547375</v>
      </c>
      <c r="F253" s="1100">
        <v>1.0080174416040086</v>
      </c>
      <c r="G253" s="1100">
        <v>1.014366012066114</v>
      </c>
      <c r="H253" s="1100">
        <v>1.0184526289647342</v>
      </c>
      <c r="I253" s="1100">
        <v>0.97053823709882825</v>
      </c>
      <c r="K253">
        <v>1.74724636187867</v>
      </c>
      <c r="L253">
        <v>0</v>
      </c>
      <c r="M253">
        <v>1.2901918216691474E-3</v>
      </c>
      <c r="N253">
        <v>0.13034793335800329</v>
      </c>
      <c r="O253">
        <v>0.12690380251317473</v>
      </c>
      <c r="P253">
        <v>1.8866352010488342E-2</v>
      </c>
      <c r="Q253">
        <v>9.1494569084521254E-4</v>
      </c>
      <c r="R253">
        <v>1.2869132451114283E-3</v>
      </c>
      <c r="S253">
        <v>0.10413819762044597</v>
      </c>
      <c r="T253">
        <v>1.0384054898138566</v>
      </c>
      <c r="U253">
        <v>0</v>
      </c>
      <c r="V253">
        <v>0.20930551199270397</v>
      </c>
      <c r="W253">
        <v>8.4082525164353231E-2</v>
      </c>
      <c r="X253">
        <v>3.0782328668999707E-2</v>
      </c>
      <c r="Y253">
        <v>3.5025536223560702E-3</v>
      </c>
    </row>
    <row r="254" spans="1:36" x14ac:dyDescent="0.25">
      <c r="A254" s="1095"/>
      <c r="B254" s="1454">
        <v>4</v>
      </c>
      <c r="C254" s="1100">
        <v>0.98224093941818125</v>
      </c>
      <c r="D254" s="1100">
        <v>1.0073254966535825</v>
      </c>
      <c r="E254" s="1100">
        <v>0.97376508974906695</v>
      </c>
      <c r="F254" s="1100">
        <v>1.0052528864810042</v>
      </c>
      <c r="G254" s="1100">
        <v>1.018580178856066</v>
      </c>
      <c r="H254" s="1100">
        <v>1.0048297018878947</v>
      </c>
      <c r="I254" s="1100">
        <v>1.0152623208206017</v>
      </c>
      <c r="K254">
        <v>1.749870424084407</v>
      </c>
      <c r="L254">
        <v>0</v>
      </c>
      <c r="M254">
        <v>1.4774933459466004E-3</v>
      </c>
      <c r="N254">
        <v>0.12554631977243394</v>
      </c>
      <c r="O254">
        <v>0.12838029864969763</v>
      </c>
      <c r="P254">
        <v>1.8190173046835147E-2</v>
      </c>
      <c r="Q254">
        <v>8.8772596944065884E-4</v>
      </c>
      <c r="R254">
        <v>1.4736917787105286E-3</v>
      </c>
      <c r="S254">
        <v>0.11132243744605148</v>
      </c>
      <c r="T254">
        <v>1.03726555169865</v>
      </c>
      <c r="U254">
        <v>0</v>
      </c>
      <c r="V254">
        <v>0.21160185118384381</v>
      </c>
      <c r="W254">
        <v>8.378512761837463E-2</v>
      </c>
      <c r="X254">
        <v>2.8883837047027794E-2</v>
      </c>
      <c r="Y254">
        <v>4.0109032192857707E-3</v>
      </c>
    </row>
    <row r="255" spans="1:36" x14ac:dyDescent="0.25">
      <c r="A255" s="1095"/>
      <c r="B255" s="1454">
        <v>5</v>
      </c>
      <c r="C255" s="1100">
        <v>0.99071491312312865</v>
      </c>
      <c r="D255" s="1100">
        <v>0.96913402218459255</v>
      </c>
      <c r="E255" s="1100">
        <v>0.97566726705077544</v>
      </c>
      <c r="F255" s="1100">
        <v>0.98380120763276302</v>
      </c>
      <c r="G255" s="1100">
        <v>1.0002542899727949</v>
      </c>
      <c r="H255" s="1100">
        <v>0.99026633257324903</v>
      </c>
      <c r="I255" s="1100">
        <v>1.0121399258850594</v>
      </c>
      <c r="K255">
        <v>1.7255557599253961</v>
      </c>
      <c r="L255">
        <v>0</v>
      </c>
      <c r="M255">
        <v>1.4692041966607209E-3</v>
      </c>
      <c r="N255">
        <v>0.12556004414579663</v>
      </c>
      <c r="O255">
        <v>0.12807222715025468</v>
      </c>
      <c r="P255">
        <v>1.7901345706744651E-2</v>
      </c>
      <c r="Q255">
        <v>8.9563450320550339E-4</v>
      </c>
      <c r="R255">
        <v>1.4653914351602415E-3</v>
      </c>
      <c r="S255">
        <v>0.11154512164074057</v>
      </c>
      <c r="T255">
        <v>1.0150736928025865</v>
      </c>
      <c r="U255">
        <v>0</v>
      </c>
      <c r="V255">
        <v>0.21002909114548943</v>
      </c>
      <c r="W255">
        <v>8.3697693971208145E-2</v>
      </c>
      <c r="X255">
        <v>2.8796409200520252E-2</v>
      </c>
      <c r="Y255">
        <v>3.9883124203494037E-3</v>
      </c>
    </row>
    <row r="256" spans="1:36" x14ac:dyDescent="0.25">
      <c r="A256" s="1095"/>
      <c r="B256" s="1454">
        <v>6</v>
      </c>
      <c r="C256" s="1100">
        <v>1.0128825806631956</v>
      </c>
      <c r="D256" s="1100">
        <v>0.96077696215030461</v>
      </c>
      <c r="E256" s="1100">
        <v>1.0031179471420395</v>
      </c>
      <c r="F256" s="1100">
        <v>0.98773066701276091</v>
      </c>
      <c r="G256" s="1100">
        <v>1.015307675302157</v>
      </c>
      <c r="H256" s="1100">
        <v>1.0084654270128151</v>
      </c>
      <c r="I256" s="1100">
        <v>1.0179233815798139</v>
      </c>
      <c r="K256">
        <v>1.7342835045981175</v>
      </c>
      <c r="L256">
        <v>0</v>
      </c>
      <c r="M256">
        <v>1.3928143357646548E-3</v>
      </c>
      <c r="N256">
        <v>0.12934013195284563</v>
      </c>
      <c r="O256">
        <v>0.12774126589947032</v>
      </c>
      <c r="P256">
        <v>1.8315437963907701E-2</v>
      </c>
      <c r="Q256">
        <v>9.0459813850440201E-4</v>
      </c>
      <c r="R256">
        <v>1.3892788778846854E-3</v>
      </c>
      <c r="S256">
        <v>0.11183509810252566</v>
      </c>
      <c r="T256">
        <v>1.0183134676506109</v>
      </c>
      <c r="U256">
        <v>0</v>
      </c>
      <c r="V256">
        <v>0.20943575648561744</v>
      </c>
      <c r="W256">
        <v>8.4810556567687878E-2</v>
      </c>
      <c r="X256">
        <v>2.9809568164882609E-2</v>
      </c>
      <c r="Y256">
        <v>3.7811591299431024E-3</v>
      </c>
    </row>
    <row r="257" spans="1:25" x14ac:dyDescent="0.25">
      <c r="A257" s="1095"/>
      <c r="B257" s="1454">
        <v>7</v>
      </c>
      <c r="C257" s="1100">
        <v>0.97506946042685871</v>
      </c>
      <c r="D257" s="1100">
        <v>0.99748227208827711</v>
      </c>
      <c r="E257" s="1100">
        <v>0.9869674383989343</v>
      </c>
      <c r="F257" s="1100">
        <v>1.0287990414115225</v>
      </c>
      <c r="G257" s="1100">
        <v>0.98829882702994731</v>
      </c>
      <c r="H257" s="1100">
        <v>1.0029486764388589</v>
      </c>
      <c r="I257" s="1100">
        <v>0.98572813778297652</v>
      </c>
      <c r="K257">
        <v>1.7816043576660503</v>
      </c>
      <c r="L257">
        <v>0</v>
      </c>
      <c r="M257">
        <v>1.4559784538615299E-3</v>
      </c>
      <c r="N257">
        <v>0.12876052092042534</v>
      </c>
      <c r="O257">
        <v>0.13106491340804197</v>
      </c>
      <c r="P257">
        <v>1.8681739918636225E-2</v>
      </c>
      <c r="Q257">
        <v>9.1027934603898116E-4</v>
      </c>
      <c r="R257">
        <v>1.4522373974441014E-3</v>
      </c>
      <c r="S257">
        <v>0.10953078069670236</v>
      </c>
      <c r="T257">
        <v>1.0611498156917267</v>
      </c>
      <c r="U257">
        <v>0</v>
      </c>
      <c r="V257">
        <v>0.21233618751993863</v>
      </c>
      <c r="W257">
        <v>8.5248061660515684E-2</v>
      </c>
      <c r="X257">
        <v>2.9973288094527234E-2</v>
      </c>
      <c r="Y257">
        <v>3.9525114659134369E-3</v>
      </c>
    </row>
    <row r="258" spans="1:25" x14ac:dyDescent="0.25">
      <c r="A258" s="1095"/>
      <c r="B258" s="1454">
        <v>8</v>
      </c>
      <c r="C258" s="1100">
        <v>1.0310780751021373</v>
      </c>
      <c r="D258" s="1100">
        <v>1.0121485223462456</v>
      </c>
      <c r="E258" s="1100">
        <v>0.98961455575858515</v>
      </c>
      <c r="F258" s="1100">
        <v>1.0053257980891241</v>
      </c>
      <c r="G258" s="1100">
        <v>1.0336097836846803</v>
      </c>
      <c r="H258" s="1100">
        <v>0.96500770523781731</v>
      </c>
      <c r="I258" s="1100">
        <v>0.98617940810061999</v>
      </c>
      <c r="K258">
        <v>1.7165260459322513</v>
      </c>
      <c r="L258">
        <v>0</v>
      </c>
      <c r="M258">
        <v>1.3096262652699485E-3</v>
      </c>
      <c r="N258">
        <v>0.11673664155028726</v>
      </c>
      <c r="O258">
        <v>0.12573384671008173</v>
      </c>
      <c r="P258">
        <v>1.8209500592784852E-2</v>
      </c>
      <c r="Q258">
        <v>8.5818808066361768E-4</v>
      </c>
      <c r="R258">
        <v>1.3061282450103125E-3</v>
      </c>
      <c r="S258">
        <v>0.10034845209339081</v>
      </c>
      <c r="T258">
        <v>1.0368584132687906</v>
      </c>
      <c r="U258">
        <v>0</v>
      </c>
      <c r="V258">
        <v>0.20816541526688809</v>
      </c>
      <c r="W258">
        <v>7.7164821029797881E-2</v>
      </c>
      <c r="X258">
        <v>2.8899414841966314E-2</v>
      </c>
      <c r="Y258">
        <v>3.5548505178578209E-3</v>
      </c>
    </row>
    <row r="259" spans="1:25" x14ac:dyDescent="0.25">
      <c r="A259" s="1095"/>
      <c r="B259" s="1454">
        <v>9</v>
      </c>
      <c r="C259" s="1100">
        <v>1.0354500116215255</v>
      </c>
      <c r="D259" s="1100">
        <v>1.0316152918764987</v>
      </c>
      <c r="E259" s="1100">
        <v>1.0191020817787435</v>
      </c>
      <c r="F259" s="1100">
        <v>1.0049979245158192</v>
      </c>
      <c r="G259" s="1100">
        <v>1.0033829034527351</v>
      </c>
      <c r="H259" s="1100">
        <v>1.0272130475910446</v>
      </c>
      <c r="I259" s="1100">
        <v>0.99942398420064715</v>
      </c>
      <c r="K259">
        <v>1.73101109447961</v>
      </c>
      <c r="L259">
        <v>0</v>
      </c>
      <c r="M259">
        <v>1.291457825957175E-3</v>
      </c>
      <c r="N259">
        <v>0.12585918343351762</v>
      </c>
      <c r="O259">
        <v>0.12474907861821219</v>
      </c>
      <c r="P259">
        <v>1.8618606057905867E-2</v>
      </c>
      <c r="Q259">
        <v>8.7434436096177652E-4</v>
      </c>
      <c r="R259">
        <v>1.2882062532492734E-3</v>
      </c>
      <c r="S259">
        <v>0.10427573615041033</v>
      </c>
      <c r="T259">
        <v>1.0356431326685409</v>
      </c>
      <c r="U259">
        <v>0</v>
      </c>
      <c r="V259">
        <v>0.20586400842798067</v>
      </c>
      <c r="W259">
        <v>8.175449515254167E-2</v>
      </c>
      <c r="X259">
        <v>2.9869688417979542E-2</v>
      </c>
      <c r="Y259">
        <v>3.5060727642672678E-3</v>
      </c>
    </row>
    <row r="260" spans="1:25" x14ac:dyDescent="0.25">
      <c r="A260" s="1095"/>
      <c r="B260" s="1454">
        <v>10</v>
      </c>
      <c r="C260" s="1100">
        <v>1.0121188696957666</v>
      </c>
      <c r="D260" s="1100">
        <v>0.95869607953800096</v>
      </c>
      <c r="E260" s="1100">
        <v>1.0097992496363994</v>
      </c>
      <c r="F260" s="1100">
        <v>0.9694662695854801</v>
      </c>
      <c r="G260" s="1100">
        <v>1.0311048851764992</v>
      </c>
      <c r="H260" s="1100">
        <v>0.97079341223074533</v>
      </c>
      <c r="I260" s="1100">
        <v>1.013535916225482</v>
      </c>
      <c r="K260">
        <v>1.703404345879161</v>
      </c>
      <c r="L260">
        <v>0</v>
      </c>
      <c r="M260">
        <v>1.3226642100730708E-3</v>
      </c>
      <c r="N260">
        <v>0.12531630695945231</v>
      </c>
      <c r="O260">
        <v>0.12648867037880476</v>
      </c>
      <c r="P260">
        <v>1.8102222174548505E-2</v>
      </c>
      <c r="Q260">
        <v>9.1234279491613651E-4</v>
      </c>
      <c r="R260">
        <v>1.3191718020535612E-3</v>
      </c>
      <c r="S260">
        <v>0.10877325993570652</v>
      </c>
      <c r="T260">
        <v>0.99929224880912459</v>
      </c>
      <c r="U260">
        <v>0</v>
      </c>
      <c r="V260">
        <v>0.20937874424469238</v>
      </c>
      <c r="W260">
        <v>8.18480582993273E-2</v>
      </c>
      <c r="X260">
        <v>2.9705633910285301E-2</v>
      </c>
      <c r="Y260">
        <v>3.5903507803221198E-3</v>
      </c>
    </row>
    <row r="261" spans="1:25" x14ac:dyDescent="0.25">
      <c r="A261" s="1095"/>
      <c r="B261" s="1454">
        <v>11</v>
      </c>
      <c r="C261" s="1100">
        <v>0.98902336150691328</v>
      </c>
      <c r="D261" s="1100">
        <v>1.0160228819538317</v>
      </c>
      <c r="E261" s="1100">
        <v>1.0351179788268945</v>
      </c>
      <c r="F261" s="1100">
        <v>0.98739938769818314</v>
      </c>
      <c r="G261" s="1100">
        <v>1.0275292458130372</v>
      </c>
      <c r="H261" s="1100">
        <v>0.9783576571587882</v>
      </c>
      <c r="I261" s="1100">
        <v>1.0010955411203446</v>
      </c>
      <c r="K261">
        <v>1.72452909664968</v>
      </c>
      <c r="L261">
        <v>0</v>
      </c>
      <c r="M261">
        <v>1.2503027907374131E-3</v>
      </c>
      <c r="N261">
        <v>0.12786014284156832</v>
      </c>
      <c r="O261">
        <v>0.12651908901691114</v>
      </c>
      <c r="P261">
        <v>1.8673720301742528E-2</v>
      </c>
      <c r="Q261">
        <v>9.3618016334663472E-4</v>
      </c>
      <c r="R261">
        <v>1.2469901520947443E-3</v>
      </c>
      <c r="S261">
        <v>0.10662597471988836</v>
      </c>
      <c r="T261">
        <v>1.0170505663971805</v>
      </c>
      <c r="U261">
        <v>0</v>
      </c>
      <c r="V261">
        <v>0.21043393529825888</v>
      </c>
      <c r="W261">
        <v>8.2283953191390022E-2</v>
      </c>
      <c r="X261">
        <v>3.0754951234228899E-2</v>
      </c>
      <c r="Y261">
        <v>3.3938961238087328E-3</v>
      </c>
    </row>
    <row r="262" spans="1:25" x14ac:dyDescent="0.25">
      <c r="A262" s="1095"/>
      <c r="B262" s="1454">
        <v>12</v>
      </c>
      <c r="C262" s="1100">
        <v>1.0052346438991289</v>
      </c>
      <c r="D262" s="1100">
        <v>0.96351847427634618</v>
      </c>
      <c r="E262" s="1100">
        <v>1.0142166921822142</v>
      </c>
      <c r="F262" s="1100">
        <v>0.97490167043210474</v>
      </c>
      <c r="G262" s="1100">
        <v>1.0009542836093477</v>
      </c>
      <c r="H262" s="1100">
        <v>0.96334796417319579</v>
      </c>
      <c r="I262" s="1100">
        <v>1.0131315533024092</v>
      </c>
      <c r="K262">
        <v>1.7087388515283077</v>
      </c>
      <c r="L262">
        <v>0</v>
      </c>
      <c r="M262">
        <v>1.3054694153386485E-3</v>
      </c>
      <c r="N262">
        <v>0.12534459746250515</v>
      </c>
      <c r="O262">
        <v>0.12705018523938572</v>
      </c>
      <c r="P262">
        <v>1.8224316068099169E-2</v>
      </c>
      <c r="Q262">
        <v>9.2093059188592724E-4</v>
      </c>
      <c r="R262">
        <v>1.3019922082370163E-3</v>
      </c>
      <c r="S262">
        <v>0.10860253402544114</v>
      </c>
      <c r="T262">
        <v>1.0047683867058561</v>
      </c>
      <c r="U262">
        <v>0</v>
      </c>
      <c r="V262">
        <v>0.20864323976122032</v>
      </c>
      <c r="W262">
        <v>8.1653898364920929E-2</v>
      </c>
      <c r="X262">
        <v>2.9990646926889891E-2</v>
      </c>
      <c r="Y262">
        <v>3.5435935892050639E-3</v>
      </c>
    </row>
    <row r="263" spans="1:25" x14ac:dyDescent="0.25">
      <c r="A263" s="1095"/>
      <c r="B263" s="1454">
        <v>13</v>
      </c>
      <c r="C263" s="1100">
        <v>1.0368273753582171</v>
      </c>
      <c r="D263" s="1100">
        <v>0.98117440002068901</v>
      </c>
      <c r="E263" s="1100">
        <v>0.99329838571567164</v>
      </c>
      <c r="F263" s="1100">
        <v>1.0035878322140255</v>
      </c>
      <c r="G263" s="1100">
        <v>0.96219911250425016</v>
      </c>
      <c r="H263" s="1100">
        <v>1.0379697549380265</v>
      </c>
      <c r="I263" s="1100">
        <v>1.0261052542665552</v>
      </c>
      <c r="K263">
        <v>1.7420695076756172</v>
      </c>
      <c r="L263">
        <v>0</v>
      </c>
      <c r="M263">
        <v>1.4164445603341387E-3</v>
      </c>
      <c r="N263">
        <v>0.12769811842674803</v>
      </c>
      <c r="O263">
        <v>0.12674964164075714</v>
      </c>
      <c r="P263">
        <v>1.833713826947991E-2</v>
      </c>
      <c r="Q263">
        <v>8.6742735952556648E-4</v>
      </c>
      <c r="R263">
        <v>1.4129491960666785E-3</v>
      </c>
      <c r="S263">
        <v>0.11099989944655173</v>
      </c>
      <c r="T263">
        <v>1.0349550920772623</v>
      </c>
      <c r="U263">
        <v>0</v>
      </c>
      <c r="V263">
        <v>0.20509693858494646</v>
      </c>
      <c r="W263">
        <v>8.4224674658062645E-2</v>
      </c>
      <c r="X263">
        <v>2.9298490643434452E-2</v>
      </c>
      <c r="Y263">
        <v>3.8455819331161974E-3</v>
      </c>
    </row>
    <row r="264" spans="1:25" x14ac:dyDescent="0.25">
      <c r="A264" s="1095"/>
      <c r="B264" s="1454">
        <v>14</v>
      </c>
      <c r="C264" s="1100">
        <v>0.96792940473823208</v>
      </c>
      <c r="D264" s="1100">
        <v>0.98735962672439026</v>
      </c>
      <c r="E264" s="1100">
        <v>1.0053775598568915</v>
      </c>
      <c r="F264" s="1100">
        <v>0.99551183400597931</v>
      </c>
      <c r="G264" s="1100">
        <v>0.95873841238225699</v>
      </c>
      <c r="H264" s="1100">
        <v>0.96146043697373418</v>
      </c>
      <c r="I264" s="1100">
        <v>0.97884378621856449</v>
      </c>
      <c r="K264">
        <v>1.7360940505133553</v>
      </c>
      <c r="L264">
        <v>0</v>
      </c>
      <c r="M264">
        <v>1.3567245903103944E-3</v>
      </c>
      <c r="N264">
        <v>0.12683291199034327</v>
      </c>
      <c r="O264">
        <v>0.12945638471039383</v>
      </c>
      <c r="P264">
        <v>1.8400189603908389E-2</v>
      </c>
      <c r="Q264">
        <v>9.3852349991495581E-4</v>
      </c>
      <c r="R264">
        <v>1.3530822288655171E-3</v>
      </c>
      <c r="S264">
        <v>0.10709608266514611</v>
      </c>
      <c r="T264">
        <v>1.0262689748272698</v>
      </c>
      <c r="U264">
        <v>0</v>
      </c>
      <c r="V264">
        <v>0.2101626869757596</v>
      </c>
      <c r="W264">
        <v>8.3055285576010579E-2</v>
      </c>
      <c r="X264">
        <v>3.020400924251768E-2</v>
      </c>
      <c r="Y264">
        <v>3.6826437835350695E-3</v>
      </c>
    </row>
    <row r="265" spans="1:25" x14ac:dyDescent="0.25">
      <c r="A265" s="1095"/>
      <c r="B265" s="1454">
        <v>15</v>
      </c>
      <c r="C265" s="1100">
        <v>1.0296851496520594</v>
      </c>
      <c r="D265" s="1100">
        <v>0.98289670577226051</v>
      </c>
      <c r="E265" s="1100">
        <v>1.0017231564414246</v>
      </c>
      <c r="F265" s="1100">
        <v>0.95684729393751622</v>
      </c>
      <c r="G265" s="1100">
        <v>1.0129677246852571</v>
      </c>
      <c r="H265" s="1100">
        <v>0.99568852188020307</v>
      </c>
      <c r="I265" s="1100">
        <v>1.0097459970711697</v>
      </c>
      <c r="K265">
        <v>1.6780215330298582</v>
      </c>
      <c r="L265">
        <v>0</v>
      </c>
      <c r="M265">
        <v>1.3367220783035447E-3</v>
      </c>
      <c r="N265">
        <v>0.12360352161403362</v>
      </c>
      <c r="O265">
        <v>0.12349752684393536</v>
      </c>
      <c r="P265">
        <v>1.7739145292267638E-2</v>
      </c>
      <c r="Q265">
        <v>8.8049924523653385E-4</v>
      </c>
      <c r="R265">
        <v>1.3332658439440949E-3</v>
      </c>
      <c r="S265">
        <v>0.106619504436365</v>
      </c>
      <c r="T265">
        <v>0.98651343970806293</v>
      </c>
      <c r="U265">
        <v>0</v>
      </c>
      <c r="V265">
        <v>0.20564890127743563</v>
      </c>
      <c r="W265">
        <v>8.111605023417004E-2</v>
      </c>
      <c r="X265">
        <v>2.8777690496463192E-2</v>
      </c>
      <c r="Y265">
        <v>3.628710116248492E-3</v>
      </c>
    </row>
    <row r="266" spans="1:25" x14ac:dyDescent="0.25">
      <c r="A266" s="1095"/>
      <c r="B266" s="1454">
        <v>16</v>
      </c>
      <c r="C266" s="1100">
        <v>1.0290077141080916</v>
      </c>
      <c r="D266" s="1100">
        <v>1.0406251528874146</v>
      </c>
      <c r="E266" s="1100">
        <v>0.99487193117285766</v>
      </c>
      <c r="F266" s="1100">
        <v>0.97891656261415749</v>
      </c>
      <c r="G266" s="1100">
        <v>0.99268199057992512</v>
      </c>
      <c r="H266" s="1100">
        <v>1.0366258448297494</v>
      </c>
      <c r="I266" s="1100">
        <v>0.9874622485338691</v>
      </c>
      <c r="K266">
        <v>1.6963951816752558</v>
      </c>
      <c r="L266">
        <v>0</v>
      </c>
      <c r="M266">
        <v>1.3684472059652532E-3</v>
      </c>
      <c r="N266">
        <v>0.1239544133539501</v>
      </c>
      <c r="O266">
        <v>0.12265081478346669</v>
      </c>
      <c r="P266">
        <v>1.789856337510614E-2</v>
      </c>
      <c r="Q266">
        <v>8.5509126222837811E-4</v>
      </c>
      <c r="R266">
        <v>1.3650183851899823E-3</v>
      </c>
      <c r="S266">
        <v>0.10351570799716077</v>
      </c>
      <c r="T266">
        <v>1.0094666571029518</v>
      </c>
      <c r="U266">
        <v>0</v>
      </c>
      <c r="V266">
        <v>0.20420128383781763</v>
      </c>
      <c r="W266">
        <v>8.1678691370591236E-2</v>
      </c>
      <c r="X266">
        <v>2.8462257346459414E-2</v>
      </c>
      <c r="Y266">
        <v>3.7151300662973878E-3</v>
      </c>
    </row>
    <row r="267" spans="1:25" x14ac:dyDescent="0.25">
      <c r="A267" s="1095"/>
      <c r="B267" s="1454">
        <v>17</v>
      </c>
      <c r="C267" s="1100">
        <v>1.002945530177775</v>
      </c>
      <c r="D267" s="1100">
        <v>0.96671855369465542</v>
      </c>
      <c r="E267" s="1100">
        <v>1.0013242331133783</v>
      </c>
      <c r="F267" s="1100">
        <v>1.0103488790032751</v>
      </c>
      <c r="G267" s="1100">
        <v>1.0050738423276873</v>
      </c>
      <c r="H267" s="1100">
        <v>1.0019457100534181</v>
      </c>
      <c r="I267" s="1100">
        <v>1.0032286200229554</v>
      </c>
      <c r="K267">
        <v>1.7602442177469706</v>
      </c>
      <c r="L267">
        <v>0</v>
      </c>
      <c r="M267">
        <v>1.3993016942637044E-3</v>
      </c>
      <c r="N267">
        <v>0.12923826422228141</v>
      </c>
      <c r="O267">
        <v>0.12970046697846083</v>
      </c>
      <c r="P267">
        <v>1.8610170633976068E-2</v>
      </c>
      <c r="Q267">
        <v>9.0961945291990099E-4</v>
      </c>
      <c r="R267">
        <v>1.3957267203708334E-3</v>
      </c>
      <c r="S267">
        <v>0.11050585439750975</v>
      </c>
      <c r="T267">
        <v>1.0416857540580948</v>
      </c>
      <c r="U267">
        <v>0</v>
      </c>
      <c r="V267">
        <v>0.21077132627380768</v>
      </c>
      <c r="W267">
        <v>8.4833993990473866E-2</v>
      </c>
      <c r="X267">
        <v>3.019363468167793E-2</v>
      </c>
      <c r="Y267">
        <v>3.7987080316596927E-3</v>
      </c>
    </row>
    <row r="268" spans="1:25" x14ac:dyDescent="0.25">
      <c r="A268" s="1095"/>
      <c r="B268" s="1454">
        <v>18</v>
      </c>
      <c r="C268" s="1100">
        <v>1.0066755908506071</v>
      </c>
      <c r="D268" s="1100">
        <v>1.0359844514701604</v>
      </c>
      <c r="E268" s="1100">
        <v>1.0214992963814378</v>
      </c>
      <c r="F268" s="1100">
        <v>1.0289843108069294</v>
      </c>
      <c r="G268" s="1100">
        <v>0.97929117369949503</v>
      </c>
      <c r="H268" s="1100">
        <v>0.96980476039803043</v>
      </c>
      <c r="I268" s="1100">
        <v>1.0042541989176821</v>
      </c>
      <c r="K268">
        <v>1.7550024907610253</v>
      </c>
      <c r="L268">
        <v>0</v>
      </c>
      <c r="M268">
        <v>1.244439077795106E-3</v>
      </c>
      <c r="N268">
        <v>0.12213857972398633</v>
      </c>
      <c r="O268">
        <v>0.12778450977954622</v>
      </c>
      <c r="P268">
        <v>1.9014356878841853E-2</v>
      </c>
      <c r="Q268">
        <v>9.0002746236334322E-4</v>
      </c>
      <c r="R268">
        <v>1.2411168254854385E-3</v>
      </c>
      <c r="S268">
        <v>0.10354668703741164</v>
      </c>
      <c r="T268">
        <v>1.0602890895230845</v>
      </c>
      <c r="U268">
        <v>0</v>
      </c>
      <c r="V268">
        <v>0.20814338102390018</v>
      </c>
      <c r="W268">
        <v>7.9226531598019428E-2</v>
      </c>
      <c r="X268">
        <v>3.058473912126258E-2</v>
      </c>
      <c r="Y268">
        <v>3.3779108649197994E-3</v>
      </c>
    </row>
    <row r="269" spans="1:25" x14ac:dyDescent="0.25">
      <c r="A269" s="1095"/>
      <c r="B269" s="1454">
        <v>19</v>
      </c>
      <c r="C269" s="1100">
        <v>0.99500419317918765</v>
      </c>
      <c r="D269" s="1100">
        <v>1.0093599297546803</v>
      </c>
      <c r="E269" s="1100">
        <v>0.96128067718900301</v>
      </c>
      <c r="F269" s="1100">
        <v>1.0148973629817206</v>
      </c>
      <c r="G269" s="1100">
        <v>1.0148869230662567</v>
      </c>
      <c r="H269" s="1100">
        <v>1.0138867676881305</v>
      </c>
      <c r="I269" s="1100">
        <v>0.9941986646315355</v>
      </c>
      <c r="K269">
        <v>1.7531340589802624</v>
      </c>
      <c r="L269">
        <v>0</v>
      </c>
      <c r="M269">
        <v>1.5111604416702753E-3</v>
      </c>
      <c r="N269">
        <v>0.123646202197565</v>
      </c>
      <c r="O269">
        <v>0.12830043043986078</v>
      </c>
      <c r="P269">
        <v>1.8100846451324502E-2</v>
      </c>
      <c r="Q269">
        <v>8.6417465415789734E-4</v>
      </c>
      <c r="R269">
        <v>1.5073128043925604E-3</v>
      </c>
      <c r="S269">
        <v>0.10821989141124125</v>
      </c>
      <c r="T269">
        <v>1.0476061149234452</v>
      </c>
      <c r="U269">
        <v>0</v>
      </c>
      <c r="V269">
        <v>0.21073264768112379</v>
      </c>
      <c r="W269">
        <v>8.3147692828381803E-2</v>
      </c>
      <c r="X269">
        <v>2.8417497462414218E-2</v>
      </c>
      <c r="Y269">
        <v>4.1024085680241226E-3</v>
      </c>
    </row>
    <row r="270" spans="1:25" x14ac:dyDescent="0.25">
      <c r="A270" s="1095"/>
      <c r="B270" s="1454">
        <v>20</v>
      </c>
      <c r="C270" s="1100">
        <v>1.0191386304790668</v>
      </c>
      <c r="D270" s="1100">
        <v>1.0045057685302889</v>
      </c>
      <c r="E270" s="1100">
        <v>1.0370571214262196</v>
      </c>
      <c r="F270" s="1100">
        <v>1.0102048374120458</v>
      </c>
      <c r="G270" s="1100">
        <v>1.0266105763095099</v>
      </c>
      <c r="H270" s="1100">
        <v>0.98383696043627722</v>
      </c>
      <c r="I270" s="1100">
        <v>0.9822974802501212</v>
      </c>
      <c r="K270">
        <v>1.7419292443964338</v>
      </c>
      <c r="L270">
        <v>0</v>
      </c>
      <c r="M270">
        <v>1.2288394962492585E-3</v>
      </c>
      <c r="N270">
        <v>0.12640571572698583</v>
      </c>
      <c r="O270">
        <v>0.12723633227327108</v>
      </c>
      <c r="P270">
        <v>1.8961864597903711E-2</v>
      </c>
      <c r="Q270">
        <v>9.1447060941183839E-4</v>
      </c>
      <c r="R270">
        <v>1.2256230868972482E-3</v>
      </c>
      <c r="S270">
        <v>0.10291369552870414</v>
      </c>
      <c r="T270">
        <v>1.0404847128878616</v>
      </c>
      <c r="U270">
        <v>0</v>
      </c>
      <c r="V270">
        <v>0.20940636251221267</v>
      </c>
      <c r="W270">
        <v>8.1256881422519231E-2</v>
      </c>
      <c r="X270">
        <v>3.1016683230923853E-2</v>
      </c>
      <c r="Y270">
        <v>3.3357420159922982E-3</v>
      </c>
    </row>
    <row r="271" spans="1:25" x14ac:dyDescent="0.25">
      <c r="A271" s="1095"/>
      <c r="B271" s="1454">
        <v>21</v>
      </c>
      <c r="C271" s="1100">
        <v>0.97840978982606186</v>
      </c>
      <c r="D271" s="1100">
        <v>0.98667471110387661</v>
      </c>
      <c r="E271" s="1100">
        <v>1.0046979369494564</v>
      </c>
      <c r="F271" s="1100">
        <v>0.9987210844305725</v>
      </c>
      <c r="G271" s="1100">
        <v>0.9721007812407646</v>
      </c>
      <c r="H271" s="1100">
        <v>1.0095095580383573</v>
      </c>
      <c r="I271" s="1100">
        <v>1.0193172421272483</v>
      </c>
      <c r="K271">
        <v>1.7546141300686209</v>
      </c>
      <c r="L271">
        <v>0</v>
      </c>
      <c r="M271">
        <v>1.4135508650491113E-3</v>
      </c>
      <c r="N271">
        <v>0.13189169337110573</v>
      </c>
      <c r="O271">
        <v>0.12917119303155752</v>
      </c>
      <c r="P271">
        <v>1.852943179805704E-2</v>
      </c>
      <c r="Q271">
        <v>9.2807568074771806E-4</v>
      </c>
      <c r="R271">
        <v>1.4099414302311637E-3</v>
      </c>
      <c r="S271">
        <v>0.11397999701987944</v>
      </c>
      <c r="T271">
        <v>1.0295974532119643</v>
      </c>
      <c r="U271">
        <v>0</v>
      </c>
      <c r="V271">
        <v>0.21006765242554601</v>
      </c>
      <c r="W271">
        <v>8.6402734089122163E-2</v>
      </c>
      <c r="X271">
        <v>3.0212113089434119E-2</v>
      </c>
      <c r="Y271">
        <v>3.8373957860216665E-3</v>
      </c>
    </row>
    <row r="272" spans="1:25" x14ac:dyDescent="0.25">
      <c r="A272" s="1095"/>
      <c r="B272" s="1454">
        <v>22</v>
      </c>
      <c r="C272" s="1100">
        <v>1.0069355769838435</v>
      </c>
      <c r="D272" s="1100">
        <v>1.0151799634183785</v>
      </c>
      <c r="E272" s="1100">
        <v>0.99890633552785224</v>
      </c>
      <c r="F272" s="1100">
        <v>1.0177633923574465</v>
      </c>
      <c r="G272" s="1100">
        <v>1.0150542670275355</v>
      </c>
      <c r="H272" s="1100">
        <v>1.0293480527261032</v>
      </c>
      <c r="I272" s="1100">
        <v>1.0080147777948594</v>
      </c>
      <c r="K272">
        <v>1.7620491792463573</v>
      </c>
      <c r="L272">
        <v>0</v>
      </c>
      <c r="M272">
        <v>1.3994677050790513E-3</v>
      </c>
      <c r="N272">
        <v>0.1283189180098441</v>
      </c>
      <c r="O272">
        <v>0.12778136347659136</v>
      </c>
      <c r="P272">
        <v>1.8651839326259013E-2</v>
      </c>
      <c r="Q272">
        <v>8.8623632516008114E-4</v>
      </c>
      <c r="R272">
        <v>1.3959583317720103E-3</v>
      </c>
      <c r="S272">
        <v>0.1092624601916127</v>
      </c>
      <c r="T272">
        <v>1.0494033801882554</v>
      </c>
      <c r="U272">
        <v>0</v>
      </c>
      <c r="V272">
        <v>0.20981665703322763</v>
      </c>
      <c r="W272">
        <v>8.4351641743863004E-2</v>
      </c>
      <c r="X272">
        <v>2.9780853923307322E-2</v>
      </c>
      <c r="Y272">
        <v>3.7993384015430191E-3</v>
      </c>
    </row>
    <row r="273" spans="1:25" x14ac:dyDescent="0.25">
      <c r="A273" s="1095"/>
      <c r="B273" s="1454">
        <v>23</v>
      </c>
      <c r="C273" s="1100">
        <v>0.99052376847721535</v>
      </c>
      <c r="D273" s="1100">
        <v>1.0168610362403576</v>
      </c>
      <c r="E273" s="1100">
        <v>0.98878654426002643</v>
      </c>
      <c r="F273" s="1100">
        <v>0.99177745633736258</v>
      </c>
      <c r="G273" s="1100">
        <v>0.95804946434794924</v>
      </c>
      <c r="H273" s="1100">
        <v>0.97630279233592476</v>
      </c>
      <c r="I273" s="1100">
        <v>1.0144991867555415</v>
      </c>
      <c r="K273">
        <v>1.7184722848959686</v>
      </c>
      <c r="L273">
        <v>0</v>
      </c>
      <c r="M273">
        <v>1.3717336984022015E-3</v>
      </c>
      <c r="N273">
        <v>0.12196906513364297</v>
      </c>
      <c r="O273">
        <v>0.12655363317378016</v>
      </c>
      <c r="P273">
        <v>1.8092689160856251E-2</v>
      </c>
      <c r="Q273">
        <v>8.908963802801977E-4</v>
      </c>
      <c r="R273">
        <v>1.3680929833417589E-3</v>
      </c>
      <c r="S273">
        <v>0.10764438887214037</v>
      </c>
      <c r="T273">
        <v>1.0229097962640783</v>
      </c>
      <c r="U273">
        <v>0</v>
      </c>
      <c r="V273">
        <v>0.20701667379728894</v>
      </c>
      <c r="W273">
        <v>8.0663565093280001E-2</v>
      </c>
      <c r="X273">
        <v>2.9011719626754681E-2</v>
      </c>
      <c r="Y273">
        <v>3.7234981089255166E-3</v>
      </c>
    </row>
    <row r="274" spans="1:25" x14ac:dyDescent="0.25">
      <c r="A274" s="1095"/>
      <c r="B274" s="1454">
        <v>24</v>
      </c>
      <c r="C274" s="1100">
        <v>1.0157590809610759</v>
      </c>
      <c r="D274" s="1100">
        <v>0.99753761230411009</v>
      </c>
      <c r="E274" s="1100">
        <v>1.0027021826253262</v>
      </c>
      <c r="F274" s="1100">
        <v>1.0026353082046011</v>
      </c>
      <c r="G274" s="1100">
        <v>1.014846062980729</v>
      </c>
      <c r="H274" s="1100">
        <v>0.95975453244184983</v>
      </c>
      <c r="I274" s="1100">
        <v>1.0218589799780795</v>
      </c>
      <c r="K274">
        <v>1.7270723287877072</v>
      </c>
      <c r="L274">
        <v>0</v>
      </c>
      <c r="M274">
        <v>1.2960080339469357E-3</v>
      </c>
      <c r="N274">
        <v>0.12018210655977365</v>
      </c>
      <c r="O274">
        <v>0.12701461961708438</v>
      </c>
      <c r="P274">
        <v>1.8432631296099452E-2</v>
      </c>
      <c r="Q274">
        <v>8.8820758758710312E-4</v>
      </c>
      <c r="R274">
        <v>1.2925321434106411E-3</v>
      </c>
      <c r="S274">
        <v>0.10605770140262032</v>
      </c>
      <c r="T274">
        <v>1.0336919525478832</v>
      </c>
      <c r="U274">
        <v>0</v>
      </c>
      <c r="V274">
        <v>0.20882817225185915</v>
      </c>
      <c r="W274">
        <v>7.8824912433719446E-2</v>
      </c>
      <c r="X274">
        <v>2.9637654570358409E-2</v>
      </c>
      <c r="Y274">
        <v>3.5178464112572022E-3</v>
      </c>
    </row>
    <row r="275" spans="1:25" x14ac:dyDescent="0.25">
      <c r="A275" s="1095"/>
      <c r="B275" s="1454">
        <v>25</v>
      </c>
      <c r="C275" s="1100">
        <v>1.0153162343372899</v>
      </c>
      <c r="D275" s="1100">
        <v>0.97821327920250511</v>
      </c>
      <c r="E275" s="1100">
        <v>1.0053171195021893</v>
      </c>
      <c r="F275" s="1100">
        <v>0.96692788720720457</v>
      </c>
      <c r="G275" s="1100">
        <v>1.0380257642831738</v>
      </c>
      <c r="H275" s="1100">
        <v>0.99987628572361276</v>
      </c>
      <c r="I275" s="1100">
        <v>0.99522496385836801</v>
      </c>
      <c r="K275">
        <v>1.6992840147126156</v>
      </c>
      <c r="L275">
        <v>0</v>
      </c>
      <c r="M275">
        <v>1.3546481609841407E-3</v>
      </c>
      <c r="N275">
        <v>0.12662983903549932</v>
      </c>
      <c r="O275">
        <v>0.12520707281009874</v>
      </c>
      <c r="P275">
        <v>1.7976846588170756E-2</v>
      </c>
      <c r="Q275">
        <v>8.9800156043394605E-4</v>
      </c>
      <c r="R275">
        <v>1.3511624079745178E-3</v>
      </c>
      <c r="S275">
        <v>0.10716533597471806</v>
      </c>
      <c r="T275">
        <v>0.9968036319366963</v>
      </c>
      <c r="U275">
        <v>0</v>
      </c>
      <c r="V275">
        <v>0.20870344049473497</v>
      </c>
      <c r="W275">
        <v>8.2925271530027683E-2</v>
      </c>
      <c r="X275">
        <v>2.9300641871304284E-2</v>
      </c>
      <c r="Y275">
        <v>3.6774186639385556E-3</v>
      </c>
    </row>
    <row r="276" spans="1:25" x14ac:dyDescent="0.25">
      <c r="A276" s="1095"/>
      <c r="B276" s="1454">
        <v>26</v>
      </c>
      <c r="C276" s="1100">
        <v>0.97112331513034322</v>
      </c>
      <c r="D276" s="1100">
        <v>0.97277231310443657</v>
      </c>
      <c r="E276" s="1100">
        <v>1.0328959799951096</v>
      </c>
      <c r="F276" s="1100">
        <v>1.0084532455246553</v>
      </c>
      <c r="G276" s="1100">
        <v>1.0025159506899364</v>
      </c>
      <c r="H276" s="1100">
        <v>1.0212201240968726</v>
      </c>
      <c r="I276" s="1100">
        <v>0.97847706557131431</v>
      </c>
      <c r="K276">
        <v>1.7796506153381502</v>
      </c>
      <c r="L276">
        <v>0</v>
      </c>
      <c r="M276">
        <v>1.3702503278699327E-3</v>
      </c>
      <c r="N276">
        <v>0.13920966382496433</v>
      </c>
      <c r="O276">
        <v>0.13108952420557571</v>
      </c>
      <c r="P276">
        <v>1.9063148887129497E-2</v>
      </c>
      <c r="Q276">
        <v>9.6797887710277104E-4</v>
      </c>
      <c r="R276">
        <v>1.3668014708218292E-3</v>
      </c>
      <c r="S276">
        <v>0.11210576825425099</v>
      </c>
      <c r="T276">
        <v>1.0388010183361833</v>
      </c>
      <c r="U276">
        <v>0</v>
      </c>
      <c r="V276">
        <v>0.2132170534262432</v>
      </c>
      <c r="W276">
        <v>8.970316165175761E-2</v>
      </c>
      <c r="X276">
        <v>3.1776763694396505E-2</v>
      </c>
      <c r="Y276">
        <v>3.7199830375932545E-3</v>
      </c>
    </row>
    <row r="277" spans="1:25" x14ac:dyDescent="0.25">
      <c r="A277" s="1095"/>
      <c r="B277" s="1454">
        <v>27</v>
      </c>
      <c r="C277" s="1100">
        <v>1.0193345778336875</v>
      </c>
      <c r="D277" s="1100">
        <v>1.0303464207950861</v>
      </c>
      <c r="E277" s="1100">
        <v>1.0111625331348808</v>
      </c>
      <c r="F277" s="1100">
        <v>0.97467733584005301</v>
      </c>
      <c r="G277" s="1100">
        <v>1.0217753765713777</v>
      </c>
      <c r="H277" s="1100">
        <v>0.98350288616191472</v>
      </c>
      <c r="I277" s="1100">
        <v>0.983759977251351</v>
      </c>
      <c r="K277">
        <v>1.6872699931828175</v>
      </c>
      <c r="L277">
        <v>0</v>
      </c>
      <c r="M277">
        <v>1.2730881961940444E-3</v>
      </c>
      <c r="N277">
        <v>0.12111683419053522</v>
      </c>
      <c r="O277">
        <v>0.123304010246784</v>
      </c>
      <c r="P277">
        <v>1.8049585072398667E-2</v>
      </c>
      <c r="Q277">
        <v>8.8137825137056254E-4</v>
      </c>
      <c r="R277">
        <v>1.2697285874399156E-3</v>
      </c>
      <c r="S277">
        <v>0.10117896270435546</v>
      </c>
      <c r="T277">
        <v>1.0046245491922234</v>
      </c>
      <c r="U277">
        <v>0</v>
      </c>
      <c r="V277">
        <v>0.20649243732985717</v>
      </c>
      <c r="W277">
        <v>7.9041706568271794E-2</v>
      </c>
      <c r="X277">
        <v>2.9128106586680431E-2</v>
      </c>
      <c r="Y277">
        <v>3.4557826490950933E-3</v>
      </c>
    </row>
    <row r="278" spans="1:25" x14ac:dyDescent="0.25">
      <c r="A278" s="1095"/>
      <c r="B278" s="1454">
        <v>28</v>
      </c>
      <c r="C278" s="1100">
        <v>0.99573361146755146</v>
      </c>
      <c r="D278" s="1100">
        <v>0.98528060359042358</v>
      </c>
      <c r="E278" s="1100">
        <v>0.99589627837812167</v>
      </c>
      <c r="F278" s="1100">
        <v>1.0365592029690276</v>
      </c>
      <c r="G278" s="1100">
        <v>1.0235262539650607</v>
      </c>
      <c r="H278" s="1100">
        <v>0.992240015709969</v>
      </c>
      <c r="I278" s="1100">
        <v>0.99881118233039323</v>
      </c>
      <c r="K278">
        <v>1.7866682680356953</v>
      </c>
      <c r="L278">
        <v>0</v>
      </c>
      <c r="M278">
        <v>1.39812224116064E-3</v>
      </c>
      <c r="N278">
        <v>0.12702496030250698</v>
      </c>
      <c r="O278">
        <v>0.13116185804690941</v>
      </c>
      <c r="P278">
        <v>1.8914256961188921E-2</v>
      </c>
      <c r="Q278">
        <v>9.0415744811950922E-4</v>
      </c>
      <c r="R278">
        <v>1.3945082101689404E-3</v>
      </c>
      <c r="S278">
        <v>0.10893837300255832</v>
      </c>
      <c r="T278">
        <v>1.0688765029822447</v>
      </c>
      <c r="U278">
        <v>0</v>
      </c>
      <c r="V278">
        <v>0.21304928066016576</v>
      </c>
      <c r="W278">
        <v>8.3650872177401914E-2</v>
      </c>
      <c r="X278">
        <v>3.0356228837017631E-2</v>
      </c>
      <c r="Y278">
        <v>3.7953916485719201E-3</v>
      </c>
    </row>
    <row r="279" spans="1:25" x14ac:dyDescent="0.25">
      <c r="A279" s="1095"/>
      <c r="B279" s="1454">
        <v>29</v>
      </c>
      <c r="C279" s="1100">
        <v>0.99206857452422015</v>
      </c>
      <c r="D279" s="1100">
        <v>0.99418287093509383</v>
      </c>
      <c r="E279" s="1100">
        <v>1.036059187750306</v>
      </c>
      <c r="F279" s="1100">
        <v>1.0037248624252566</v>
      </c>
      <c r="G279" s="1100">
        <v>0.99141954071144445</v>
      </c>
      <c r="H279" s="1100">
        <v>1.0230767726407612</v>
      </c>
      <c r="I279" s="1100">
        <v>1.0238400838242447</v>
      </c>
      <c r="K279">
        <v>1.7632752901577307</v>
      </c>
      <c r="L279">
        <v>0</v>
      </c>
      <c r="M279">
        <v>1.3198309864186151E-3</v>
      </c>
      <c r="N279">
        <v>0.13537136692967155</v>
      </c>
      <c r="O279">
        <v>0.12861017739717237</v>
      </c>
      <c r="P279">
        <v>1.9011508735654443E-2</v>
      </c>
      <c r="Q279">
        <v>9.4235613483204775E-4</v>
      </c>
      <c r="R279">
        <v>1.3165062185300509E-3</v>
      </c>
      <c r="S279">
        <v>0.11354001269163901</v>
      </c>
      <c r="T279">
        <v>1.0338391996313026</v>
      </c>
      <c r="U279">
        <v>0</v>
      </c>
      <c r="V279">
        <v>0.20993952047414141</v>
      </c>
      <c r="W279">
        <v>8.7070399830171341E-2</v>
      </c>
      <c r="X279">
        <v>3.137097716035387E-2</v>
      </c>
      <c r="Y279">
        <v>3.5830959406804963E-3</v>
      </c>
    </row>
    <row r="280" spans="1:25" x14ac:dyDescent="0.25">
      <c r="A280" s="1095"/>
      <c r="B280" s="1454">
        <v>30</v>
      </c>
      <c r="C280" s="1100">
        <v>0.98098410581952578</v>
      </c>
      <c r="D280" s="1100">
        <v>0.96902925473082835</v>
      </c>
      <c r="E280" s="1100">
        <v>1.033977238042461</v>
      </c>
      <c r="F280" s="1100">
        <v>1.0173722358068651</v>
      </c>
      <c r="G280" s="1100">
        <v>1.0099727300511696</v>
      </c>
      <c r="H280" s="1100">
        <v>0.97776391552406072</v>
      </c>
      <c r="I280" s="1100">
        <v>1.013152100993187</v>
      </c>
      <c r="K280">
        <v>1.7783013425558034</v>
      </c>
      <c r="L280">
        <v>0</v>
      </c>
      <c r="M280">
        <v>1.300934635708577E-3</v>
      </c>
      <c r="N280">
        <v>0.13258494442850463</v>
      </c>
      <c r="O280">
        <v>0.13143101936825713</v>
      </c>
      <c r="P280">
        <v>1.9207386868576405E-2</v>
      </c>
      <c r="Q280">
        <v>9.6078524781953781E-4</v>
      </c>
      <c r="R280">
        <v>1.2975228769147086E-3</v>
      </c>
      <c r="S280">
        <v>0.11211657238242376</v>
      </c>
      <c r="T280">
        <v>1.0479567992847947</v>
      </c>
      <c r="U280">
        <v>0</v>
      </c>
      <c r="V280">
        <v>0.21329725196514271</v>
      </c>
      <c r="W280">
        <v>8.5380899926323181E-2</v>
      </c>
      <c r="X280">
        <v>3.1837665300096067E-2</v>
      </c>
      <c r="Y280">
        <v>3.5314295426604162E-3</v>
      </c>
    </row>
    <row r="281" spans="1:25" x14ac:dyDescent="0.25">
      <c r="A281" s="1095"/>
      <c r="B281" s="1454">
        <v>31</v>
      </c>
      <c r="C281" s="1100">
        <v>0.99235755251247837</v>
      </c>
      <c r="D281" s="1100">
        <v>1.009679575642165</v>
      </c>
      <c r="E281" s="1100">
        <v>0.98669655679232449</v>
      </c>
      <c r="F281" s="1100">
        <v>0.98312526292255742</v>
      </c>
      <c r="G281" s="1100">
        <v>0.97059157908544202</v>
      </c>
      <c r="H281" s="1100">
        <v>1.0454041096123667</v>
      </c>
      <c r="I281" s="1100">
        <v>1.0130781429397731</v>
      </c>
      <c r="K281">
        <v>1.7288433994265127</v>
      </c>
      <c r="L281">
        <v>0</v>
      </c>
      <c r="M281">
        <v>1.4777105008075505E-3</v>
      </c>
      <c r="N281">
        <v>0.13058751953348713</v>
      </c>
      <c r="O281">
        <v>0.12611410784057678</v>
      </c>
      <c r="P281">
        <v>1.8014350622558958E-2</v>
      </c>
      <c r="Q281">
        <v>8.8983170823605238E-4</v>
      </c>
      <c r="R281">
        <v>1.4740503936368618E-3</v>
      </c>
      <c r="S281">
        <v>0.11260941748202301</v>
      </c>
      <c r="T281">
        <v>1.0140478380281928</v>
      </c>
      <c r="U281">
        <v>0</v>
      </c>
      <c r="V281">
        <v>0.2072196122404685</v>
      </c>
      <c r="W281">
        <v>8.6471722961652911E-2</v>
      </c>
      <c r="X281">
        <v>2.8880779865588201E-2</v>
      </c>
      <c r="Y281">
        <v>4.0118792508978705E-3</v>
      </c>
    </row>
    <row r="282" spans="1:25" x14ac:dyDescent="0.25">
      <c r="A282" s="1095"/>
      <c r="B282" s="1454">
        <v>32</v>
      </c>
      <c r="C282" s="1099">
        <v>0.97085336382053955</v>
      </c>
      <c r="D282" s="1099">
        <v>1.0003684341868224</v>
      </c>
      <c r="E282" s="1099">
        <v>1.008100529057216</v>
      </c>
      <c r="F282" s="1099">
        <v>1.0300363176222187</v>
      </c>
      <c r="G282" s="1099">
        <v>1.003934340794441</v>
      </c>
      <c r="H282" s="1099">
        <v>0.971260814117202</v>
      </c>
      <c r="I282" s="1099">
        <v>0.99749631553907714</v>
      </c>
      <c r="K282">
        <v>1.7807999841703608</v>
      </c>
      <c r="L282">
        <v>0</v>
      </c>
      <c r="M282">
        <v>1.3527455644029491E-3</v>
      </c>
      <c r="N282">
        <v>0.12750880384502711</v>
      </c>
      <c r="O282">
        <v>0.13134587341763934</v>
      </c>
      <c r="P282">
        <v>1.8994849304161142E-2</v>
      </c>
      <c r="Q282">
        <v>9.3343279257534454E-4</v>
      </c>
      <c r="R282">
        <v>1.3491535036755501E-3</v>
      </c>
      <c r="S282">
        <v>0.10886626306564777</v>
      </c>
      <c r="T282">
        <v>1.0617773053096158</v>
      </c>
      <c r="U282">
        <v>0</v>
      </c>
      <c r="V282">
        <v>0.21350970236044017</v>
      </c>
      <c r="W282">
        <v>8.3363579749039338E-2</v>
      </c>
      <c r="X282">
        <v>3.0831815298267149E-2</v>
      </c>
      <c r="Y282">
        <v>3.6719510886718903E-3</v>
      </c>
    </row>
    <row r="283" spans="1:25" x14ac:dyDescent="0.25">
      <c r="A283" s="1095"/>
      <c r="B283" s="1454">
        <v>33</v>
      </c>
      <c r="C283" s="1099">
        <v>0.98027288194172524</v>
      </c>
      <c r="D283" s="1099">
        <v>1.029908033579628</v>
      </c>
      <c r="E283" s="1099">
        <v>1.0065336424442037</v>
      </c>
      <c r="F283" s="1099">
        <v>1.0219762997068271</v>
      </c>
      <c r="G283" s="1099">
        <v>0.9996556543761963</v>
      </c>
      <c r="H283" s="1099">
        <v>1.0002572317850913</v>
      </c>
      <c r="I283" s="1099">
        <v>0.95166115769824211</v>
      </c>
      <c r="K283">
        <v>1.7613342309938314</v>
      </c>
      <c r="L283">
        <v>0</v>
      </c>
      <c r="M283">
        <v>1.3608678801392293E-3</v>
      </c>
      <c r="N283">
        <v>0.12767699881545816</v>
      </c>
      <c r="O283">
        <v>0.12885964654483006</v>
      </c>
      <c r="P283">
        <v>1.8746443662499588E-2</v>
      </c>
      <c r="Q283">
        <v>9.1228708246766542E-4</v>
      </c>
      <c r="R283">
        <v>1.3573400466754598E-3</v>
      </c>
      <c r="S283">
        <v>0.10296968107574687</v>
      </c>
      <c r="T283">
        <v>1.0535161687115391</v>
      </c>
      <c r="U283">
        <v>0</v>
      </c>
      <c r="V283">
        <v>0.21115588523235179</v>
      </c>
      <c r="W283">
        <v>8.3550868306120504E-2</v>
      </c>
      <c r="X283">
        <v>3.0255547236255693E-2</v>
      </c>
      <c r="Y283">
        <v>3.6942321600244685E-3</v>
      </c>
    </row>
    <row r="284" spans="1:25" x14ac:dyDescent="0.25">
      <c r="A284" s="1095"/>
      <c r="B284" s="1454">
        <v>34</v>
      </c>
      <c r="C284" s="1099">
        <v>0.99976235871131658</v>
      </c>
      <c r="D284" s="1099">
        <v>0.99367524537216478</v>
      </c>
      <c r="E284" s="1099">
        <v>0.96547716051835941</v>
      </c>
      <c r="F284" s="1099">
        <v>1.0056816092710208</v>
      </c>
      <c r="G284" s="1099">
        <v>0.99881756141168232</v>
      </c>
      <c r="H284" s="1099">
        <v>0.96082770945781892</v>
      </c>
      <c r="I284" s="1099">
        <v>1.0114931608138826</v>
      </c>
      <c r="K284">
        <v>1.7310271752048505</v>
      </c>
      <c r="L284">
        <v>0</v>
      </c>
      <c r="M284">
        <v>1.425525138803189E-3</v>
      </c>
      <c r="N284">
        <v>0.11811577784461277</v>
      </c>
      <c r="O284">
        <v>0.12809433083570543</v>
      </c>
      <c r="P284">
        <v>1.7997660779589111E-2</v>
      </c>
      <c r="Q284">
        <v>8.6931523663871888E-4</v>
      </c>
      <c r="R284">
        <v>1.4217049534219191E-3</v>
      </c>
      <c r="S284">
        <v>0.10685868503312534</v>
      </c>
      <c r="T284">
        <v>1.0379632697434238</v>
      </c>
      <c r="U284">
        <v>0</v>
      </c>
      <c r="V284">
        <v>0.20955580177912431</v>
      </c>
      <c r="W284">
        <v>7.9224999163748963E-2</v>
      </c>
      <c r="X284">
        <v>2.8481742755961333E-2</v>
      </c>
      <c r="Y284">
        <v>3.8694122183025254E-3</v>
      </c>
    </row>
    <row r="285" spans="1:25" x14ac:dyDescent="0.25">
      <c r="A285" s="1095"/>
      <c r="B285" s="1454">
        <v>35</v>
      </c>
      <c r="C285" s="1099">
        <v>0.97983945148974361</v>
      </c>
      <c r="D285" s="1099">
        <v>0.97034236278387842</v>
      </c>
      <c r="E285" s="1099">
        <v>0.98190967211528091</v>
      </c>
      <c r="F285" s="1099">
        <v>0.99309041466268133</v>
      </c>
      <c r="G285" s="1099">
        <v>1.0226290630528414</v>
      </c>
      <c r="H285" s="1099">
        <v>1.0021452151153594</v>
      </c>
      <c r="I285" s="1099">
        <v>0.97037393239037162</v>
      </c>
      <c r="K285">
        <v>1.7424824363593878</v>
      </c>
      <c r="L285">
        <v>0</v>
      </c>
      <c r="M285">
        <v>1.4828114725033417E-3</v>
      </c>
      <c r="N285">
        <v>0.12914323909786918</v>
      </c>
      <c r="O285">
        <v>0.12933773394525089</v>
      </c>
      <c r="P285">
        <v>1.8110807037285286E-2</v>
      </c>
      <c r="Q285">
        <v>9.1106842280446289E-4</v>
      </c>
      <c r="R285">
        <v>1.4790077205191819E-3</v>
      </c>
      <c r="S285">
        <v>0.10888391837080154</v>
      </c>
      <c r="T285">
        <v>1.0244699689937842</v>
      </c>
      <c r="U285">
        <v>0</v>
      </c>
      <c r="V285">
        <v>0.21253172309604171</v>
      </c>
      <c r="W285">
        <v>8.5762047748760228E-2</v>
      </c>
      <c r="X285">
        <v>2.9310361938285082E-2</v>
      </c>
      <c r="Y285">
        <v>4.025371460489177E-3</v>
      </c>
    </row>
    <row r="286" spans="1:25" x14ac:dyDescent="0.25">
      <c r="A286" s="1095"/>
      <c r="B286" s="1454">
        <v>36</v>
      </c>
      <c r="C286" s="1099">
        <v>0.99614346828965139</v>
      </c>
      <c r="D286" s="1099">
        <v>0.98598432995390906</v>
      </c>
      <c r="E286" s="1099">
        <v>0.96411037323309867</v>
      </c>
      <c r="F286" s="1099">
        <v>0.99077582187381485</v>
      </c>
      <c r="G286" s="1099">
        <v>0.96631203132334875</v>
      </c>
      <c r="H286" s="1099">
        <v>0.99809918889193794</v>
      </c>
      <c r="I286" s="1099">
        <v>0.99388704115390847</v>
      </c>
      <c r="K286">
        <v>1.7233657022496629</v>
      </c>
      <c r="L286">
        <v>0</v>
      </c>
      <c r="M286">
        <v>1.4947955539810608E-3</v>
      </c>
      <c r="N286">
        <v>0.12335598272868058</v>
      </c>
      <c r="O286">
        <v>0.12749137070924949</v>
      </c>
      <c r="P286">
        <v>1.7771283081982652E-2</v>
      </c>
      <c r="Q286">
        <v>8.7392632382985857E-4</v>
      </c>
      <c r="R286">
        <v>1.4909386971744796E-3</v>
      </c>
      <c r="S286">
        <v>0.10839108082942901</v>
      </c>
      <c r="T286">
        <v>1.0226206986473041</v>
      </c>
      <c r="U286">
        <v>0</v>
      </c>
      <c r="V286">
        <v>0.20773679067150044</v>
      </c>
      <c r="W286">
        <v>8.2808958331043778E-2</v>
      </c>
      <c r="X286">
        <v>2.8261624137550838E-2</v>
      </c>
      <c r="Y286">
        <v>4.0578436458995008E-3</v>
      </c>
    </row>
    <row r="287" spans="1:25" x14ac:dyDescent="0.25">
      <c r="A287" s="1095"/>
      <c r="B287" s="1454">
        <v>37</v>
      </c>
      <c r="C287" s="1099">
        <v>1.0174756286649531</v>
      </c>
      <c r="D287" s="1099">
        <v>1.0109312840142481</v>
      </c>
      <c r="E287" s="1099">
        <v>1.0197876464369708</v>
      </c>
      <c r="F287" s="1099">
        <v>1.0020848350459111</v>
      </c>
      <c r="G287" s="1099">
        <v>1.0089245019762059</v>
      </c>
      <c r="H287" s="1099">
        <v>1.04040224131054</v>
      </c>
      <c r="I287" s="1099">
        <v>1.0166170715845708</v>
      </c>
      <c r="K287">
        <v>1.7469420645954501</v>
      </c>
      <c r="L287">
        <v>0</v>
      </c>
      <c r="M287">
        <v>1.343123425073066E-3</v>
      </c>
      <c r="N287">
        <v>0.13117020951969549</v>
      </c>
      <c r="O287">
        <v>0.12634795595805479</v>
      </c>
      <c r="P287">
        <v>1.8696842269360477E-2</v>
      </c>
      <c r="Q287">
        <v>8.9765945842572878E-4</v>
      </c>
      <c r="R287">
        <v>1.3397922488569596E-3</v>
      </c>
      <c r="S287">
        <v>0.11010849540193056</v>
      </c>
      <c r="T287">
        <v>1.0326211890678285</v>
      </c>
      <c r="U287">
        <v>0</v>
      </c>
      <c r="V287">
        <v>0.20802528538937415</v>
      </c>
      <c r="W287">
        <v>8.5170201666829648E-2</v>
      </c>
      <c r="X287">
        <v>3.0261084201174564E-2</v>
      </c>
      <c r="Y287">
        <v>3.6464728389925074E-3</v>
      </c>
    </row>
    <row r="288" spans="1:25" x14ac:dyDescent="0.25">
      <c r="A288" s="1095"/>
      <c r="B288" s="1454">
        <v>38</v>
      </c>
      <c r="C288" s="1099">
        <v>1.0001468778355922</v>
      </c>
      <c r="D288" s="1099">
        <v>0.98839704693199726</v>
      </c>
      <c r="E288" s="1099">
        <v>1.0084330515085249</v>
      </c>
      <c r="F288" s="1099">
        <v>1.0426729845018825</v>
      </c>
      <c r="G288" s="1099">
        <v>0.99634858960452299</v>
      </c>
      <c r="H288" s="1099">
        <v>1.0174103593871391</v>
      </c>
      <c r="I288" s="1099">
        <v>1.006732365319007</v>
      </c>
      <c r="K288">
        <v>1.8002404840646027</v>
      </c>
      <c r="L288">
        <v>0</v>
      </c>
      <c r="M288">
        <v>1.3892186715513451E-3</v>
      </c>
      <c r="N288">
        <v>0.1310960225568811</v>
      </c>
      <c r="O288">
        <v>0.1312902105687157</v>
      </c>
      <c r="P288">
        <v>1.9181100704442771E-2</v>
      </c>
      <c r="Q288">
        <v>9.1077981449019059E-4</v>
      </c>
      <c r="R288">
        <v>1.3857174063766759E-3</v>
      </c>
      <c r="S288">
        <v>0.11097625557717218</v>
      </c>
      <c r="T288">
        <v>1.0747931547171825</v>
      </c>
      <c r="U288">
        <v>0</v>
      </c>
      <c r="V288">
        <v>0.21161345606106022</v>
      </c>
      <c r="W288">
        <v>8.5692029029116643E-2</v>
      </c>
      <c r="X288">
        <v>3.0919510322177678E-2</v>
      </c>
      <c r="Y288">
        <v>3.7714659785370681E-3</v>
      </c>
    </row>
    <row r="289" spans="1:25" x14ac:dyDescent="0.25">
      <c r="A289" s="1095"/>
      <c r="B289" s="1454">
        <v>39</v>
      </c>
      <c r="C289" s="1099">
        <v>1.0022590257792816</v>
      </c>
      <c r="D289" s="1099">
        <v>0.99321907512303242</v>
      </c>
      <c r="E289" s="1099">
        <v>0.96773380591251168</v>
      </c>
      <c r="F289" s="1099">
        <v>1.01932381530072</v>
      </c>
      <c r="G289" s="1099">
        <v>1.0122083706061393</v>
      </c>
      <c r="H289" s="1099">
        <v>1.0041268896277191</v>
      </c>
      <c r="I289" s="1099">
        <v>1.0280826657166451</v>
      </c>
      <c r="K289">
        <v>1.7617343283412557</v>
      </c>
      <c r="L289">
        <v>0</v>
      </c>
      <c r="M289">
        <v>1.481582485144886E-3</v>
      </c>
      <c r="N289">
        <v>0.123617237297225</v>
      </c>
      <c r="O289">
        <v>0.12902646987287703</v>
      </c>
      <c r="P289">
        <v>1.8293938914861991E-2</v>
      </c>
      <c r="Q289">
        <v>8.6937732162064142E-4</v>
      </c>
      <c r="R289">
        <v>1.4777888212392943E-3</v>
      </c>
      <c r="S289">
        <v>0.11159021007230961</v>
      </c>
      <c r="T289">
        <v>1.0519727046426703</v>
      </c>
      <c r="U289">
        <v>0</v>
      </c>
      <c r="V289">
        <v>0.21072311730556947</v>
      </c>
      <c r="W289">
        <v>8.2800938880058558E-2</v>
      </c>
      <c r="X289">
        <v>2.8822073679508533E-2</v>
      </c>
      <c r="Y289">
        <v>4.0220540184593631E-3</v>
      </c>
    </row>
    <row r="290" spans="1:25" x14ac:dyDescent="0.25">
      <c r="A290" s="1095"/>
      <c r="B290" s="1454">
        <v>40</v>
      </c>
      <c r="C290" s="1099">
        <v>0.97604695165668509</v>
      </c>
      <c r="D290" s="1099">
        <v>1.0210715181123842</v>
      </c>
      <c r="E290" s="1099">
        <v>0.98233729564465144</v>
      </c>
      <c r="F290" s="1099">
        <v>0.99566003072893872</v>
      </c>
      <c r="G290" s="1099">
        <v>0.99814362722577088</v>
      </c>
      <c r="H290" s="1099">
        <v>0.98978919127334752</v>
      </c>
      <c r="I290" s="1099">
        <v>1.0121588630203566</v>
      </c>
      <c r="K290">
        <v>1.7330773650784355</v>
      </c>
      <c r="L290">
        <v>0</v>
      </c>
      <c r="M290">
        <v>1.4255451119443933E-3</v>
      </c>
      <c r="N290">
        <v>0.12430931794269101</v>
      </c>
      <c r="O290">
        <v>0.1273906789513988</v>
      </c>
      <c r="P290">
        <v>1.8131385770420193E-2</v>
      </c>
      <c r="Q290">
        <v>8.9655540974361409E-4</v>
      </c>
      <c r="R290">
        <v>1.421806935571751E-3</v>
      </c>
      <c r="S290">
        <v>0.10960115070998636</v>
      </c>
      <c r="T290">
        <v>1.0271078956298665</v>
      </c>
      <c r="U290">
        <v>0</v>
      </c>
      <c r="V290">
        <v>0.21027009044571332</v>
      </c>
      <c r="W290">
        <v>8.2530637651187108E-2</v>
      </c>
      <c r="X290">
        <v>2.8973700963703795E-2</v>
      </c>
      <c r="Y290">
        <v>3.8696897800959613E-3</v>
      </c>
    </row>
    <row r="291" spans="1:25" x14ac:dyDescent="0.25">
      <c r="A291" s="1095"/>
      <c r="B291" s="1454">
        <v>41</v>
      </c>
      <c r="C291" s="1099">
        <v>0.9931383097191151</v>
      </c>
      <c r="D291" s="1099">
        <v>0.99602580099222338</v>
      </c>
      <c r="E291" s="1099">
        <v>1.0095070282901155</v>
      </c>
      <c r="F291" s="1099">
        <v>1.0085173912079586</v>
      </c>
      <c r="G291" s="1099">
        <v>0.99929180507437676</v>
      </c>
      <c r="H291" s="1099">
        <v>0.99393458824110459</v>
      </c>
      <c r="I291" s="1099">
        <v>1.0240511660006617</v>
      </c>
      <c r="K291">
        <v>1.7551467192031469</v>
      </c>
      <c r="L291">
        <v>0</v>
      </c>
      <c r="M291">
        <v>1.3528473755842006E-3</v>
      </c>
      <c r="N291">
        <v>0.12806913968773703</v>
      </c>
      <c r="O291">
        <v>0.12872419860977208</v>
      </c>
      <c r="P291">
        <v>1.8697893335546657E-2</v>
      </c>
      <c r="Q291">
        <v>9.1540456064452904E-4</v>
      </c>
      <c r="R291">
        <v>1.3493400623712448E-3</v>
      </c>
      <c r="S291">
        <v>0.11119500174376767</v>
      </c>
      <c r="T291">
        <v>1.0395534685567471</v>
      </c>
      <c r="U291">
        <v>0</v>
      </c>
      <c r="V291">
        <v>0.21034549977063752</v>
      </c>
      <c r="W291">
        <v>8.3660439469846054E-2</v>
      </c>
      <c r="X291">
        <v>3.0316721941719443E-2</v>
      </c>
      <c r="Y291">
        <v>3.6724588399425131E-3</v>
      </c>
    </row>
    <row r="292" spans="1:25" x14ac:dyDescent="0.25">
      <c r="A292" s="1095"/>
      <c r="B292" s="1454">
        <v>42</v>
      </c>
      <c r="C292" s="1099">
        <v>1.0388058928826867</v>
      </c>
      <c r="D292" s="1099">
        <v>1.0355252341767813</v>
      </c>
      <c r="E292" s="1099">
        <v>1.0042737729839022</v>
      </c>
      <c r="F292" s="1099">
        <v>0.99121081478438533</v>
      </c>
      <c r="G292" s="1099">
        <v>1.025591751610329</v>
      </c>
      <c r="H292" s="1099">
        <v>1.0059693481160208</v>
      </c>
      <c r="I292" s="1099">
        <v>0.99992284052823288</v>
      </c>
      <c r="K292">
        <v>1.7047412888517137</v>
      </c>
      <c r="L292">
        <v>0</v>
      </c>
      <c r="M292">
        <v>1.2960827225435862E-3</v>
      </c>
      <c r="N292">
        <v>0.12077386731258451</v>
      </c>
      <c r="O292">
        <v>0.1233450806808678</v>
      </c>
      <c r="P292">
        <v>1.8199256949050977E-2</v>
      </c>
      <c r="Q292">
        <v>8.5700738730651294E-4</v>
      </c>
      <c r="R292">
        <v>1.2927452839007979E-3</v>
      </c>
      <c r="S292">
        <v>0.10226096481099896</v>
      </c>
      <c r="T292">
        <v>1.0218674389420437</v>
      </c>
      <c r="U292">
        <v>0</v>
      </c>
      <c r="V292">
        <v>0.20582149914225684</v>
      </c>
      <c r="W292">
        <v>7.9139283293529983E-2</v>
      </c>
      <c r="X292">
        <v>2.8961801262305326E-2</v>
      </c>
      <c r="Y292">
        <v>3.5184265094096649E-3</v>
      </c>
    </row>
    <row r="293" spans="1:25" x14ac:dyDescent="0.25">
      <c r="A293" s="1095"/>
      <c r="B293" s="1454">
        <v>43</v>
      </c>
      <c r="C293" s="1099">
        <v>1.023058820502126</v>
      </c>
      <c r="D293" s="1099">
        <v>0.99367157126100147</v>
      </c>
      <c r="E293" s="1099">
        <v>0.96880127408509331</v>
      </c>
      <c r="F293" s="1099">
        <v>0.99866476288495309</v>
      </c>
      <c r="G293" s="1099">
        <v>0.97641378307560467</v>
      </c>
      <c r="H293" s="1099">
        <v>0.984647667741821</v>
      </c>
      <c r="I293" s="1099">
        <v>0.99235808536176329</v>
      </c>
      <c r="K293">
        <v>1.7165465382999336</v>
      </c>
      <c r="L293">
        <v>0</v>
      </c>
      <c r="M293">
        <v>1.4196911746509988E-3</v>
      </c>
      <c r="N293">
        <v>0.11883072352300222</v>
      </c>
      <c r="O293">
        <v>0.12638978782869051</v>
      </c>
      <c r="P293">
        <v>1.7865048786572808E-2</v>
      </c>
      <c r="Q293">
        <v>8.5250599621360047E-4</v>
      </c>
      <c r="R293">
        <v>1.4159834942404667E-3</v>
      </c>
      <c r="S293">
        <v>0.10416322371633201</v>
      </c>
      <c r="T293">
        <v>1.030619242442546</v>
      </c>
      <c r="U293">
        <v>0</v>
      </c>
      <c r="V293">
        <v>0.20618732565163456</v>
      </c>
      <c r="W293">
        <v>7.9543083246711763E-2</v>
      </c>
      <c r="X293">
        <v>2.8245464496151583E-2</v>
      </c>
      <c r="Y293">
        <v>3.8538402924891226E-3</v>
      </c>
    </row>
    <row r="294" spans="1:25" x14ac:dyDescent="0.25">
      <c r="A294" s="1095"/>
      <c r="B294" s="1454">
        <v>44</v>
      </c>
      <c r="C294" s="1099">
        <v>0.99338081018134006</v>
      </c>
      <c r="D294" s="1099">
        <v>0.98825651501436862</v>
      </c>
      <c r="E294" s="1099">
        <v>1.0006306351123053</v>
      </c>
      <c r="F294" s="1099">
        <v>0.99261462222706909</v>
      </c>
      <c r="G294" s="1099">
        <v>1.0173876332420495</v>
      </c>
      <c r="H294" s="1099">
        <v>0.99599415566536231</v>
      </c>
      <c r="I294" s="1099">
        <v>1.0296793784043969</v>
      </c>
      <c r="K294">
        <v>1.7384331788846363</v>
      </c>
      <c r="L294">
        <v>0</v>
      </c>
      <c r="M294">
        <v>1.3849889017372716E-3</v>
      </c>
      <c r="N294">
        <v>0.12764448858150573</v>
      </c>
      <c r="O294">
        <v>0.1278210971967407</v>
      </c>
      <c r="P294">
        <v>1.8373930534532325E-2</v>
      </c>
      <c r="Q294">
        <v>9.0966464946670689E-4</v>
      </c>
      <c r="R294">
        <v>1.3814060277656209E-3</v>
      </c>
      <c r="S294">
        <v>0.1123548209016282</v>
      </c>
      <c r="T294">
        <v>1.023421899669761</v>
      </c>
      <c r="U294">
        <v>0</v>
      </c>
      <c r="V294">
        <v>0.21057723713768881</v>
      </c>
      <c r="W294">
        <v>8.3822335906380954E-2</v>
      </c>
      <c r="X294">
        <v>2.9751555353697799E-2</v>
      </c>
      <c r="Y294">
        <v>3.7597318272033528E-3</v>
      </c>
    </row>
    <row r="295" spans="1:25" x14ac:dyDescent="0.25">
      <c r="A295" s="1095"/>
      <c r="B295" s="1454">
        <v>45</v>
      </c>
      <c r="C295" s="1099">
        <v>1.0219635447349944</v>
      </c>
      <c r="D295" s="1099">
        <v>0.97986387148929788</v>
      </c>
      <c r="E295" s="1099">
        <v>0.99822669153234567</v>
      </c>
      <c r="F295" s="1099">
        <v>1.0230419289099375</v>
      </c>
      <c r="G295" s="1099">
        <v>0.97686112479289622</v>
      </c>
      <c r="H295" s="1099">
        <v>0.96289021344118864</v>
      </c>
      <c r="I295" s="1099">
        <v>0.99817803052201193</v>
      </c>
      <c r="K295">
        <v>1.7498283561429675</v>
      </c>
      <c r="L295">
        <v>0</v>
      </c>
      <c r="M295">
        <v>1.3211984028994679E-3</v>
      </c>
      <c r="N295">
        <v>0.12087554181205309</v>
      </c>
      <c r="O295">
        <v>0.12903912734803347</v>
      </c>
      <c r="P295">
        <v>1.8627691711228907E-2</v>
      </c>
      <c r="Q295">
        <v>8.8503507478201158E-4</v>
      </c>
      <c r="R295">
        <v>1.3176863674199668E-3</v>
      </c>
      <c r="S295">
        <v>0.10447661765624688</v>
      </c>
      <c r="T295">
        <v>1.0548667135675609</v>
      </c>
      <c r="U295">
        <v>0</v>
      </c>
      <c r="V295">
        <v>0.20806495190322613</v>
      </c>
      <c r="W295">
        <v>7.9490808369773777E-2</v>
      </c>
      <c r="X295">
        <v>2.9919072818618941E-2</v>
      </c>
      <c r="Y295">
        <v>3.5863079169228709E-3</v>
      </c>
    </row>
    <row r="296" spans="1:25" x14ac:dyDescent="0.25">
      <c r="A296" s="1095"/>
      <c r="B296" s="1454">
        <v>46</v>
      </c>
      <c r="C296" s="1099">
        <v>0.99866488187044056</v>
      </c>
      <c r="D296" s="1099">
        <v>1.0297701813166764</v>
      </c>
      <c r="E296" s="1099">
        <v>0.99971536015323503</v>
      </c>
      <c r="F296" s="1099">
        <v>0.97128128101125721</v>
      </c>
      <c r="G296" s="1099">
        <v>0.98051781255208592</v>
      </c>
      <c r="H296" s="1099">
        <v>0.99052737869211271</v>
      </c>
      <c r="I296" s="1099">
        <v>1.0147182474699976</v>
      </c>
      <c r="K296">
        <v>1.6934868577442446</v>
      </c>
      <c r="L296">
        <v>0</v>
      </c>
      <c r="M296">
        <v>1.3379973999091276E-3</v>
      </c>
      <c r="N296">
        <v>0.12296839465470595</v>
      </c>
      <c r="O296">
        <v>0.12405589407247654</v>
      </c>
      <c r="P296">
        <v>1.7924912940860297E-2</v>
      </c>
      <c r="Q296">
        <v>8.8923585344535577E-4</v>
      </c>
      <c r="R296">
        <v>1.3344850010590823E-3</v>
      </c>
      <c r="S296">
        <v>0.1068941560495158</v>
      </c>
      <c r="T296">
        <v>1.0014528686936424</v>
      </c>
      <c r="U296">
        <v>0</v>
      </c>
      <c r="V296">
        <v>0.20600331750510234</v>
      </c>
      <c r="W296">
        <v>8.0795544917683107E-2</v>
      </c>
      <c r="X296">
        <v>2.8874017195640242E-2</v>
      </c>
      <c r="Y296">
        <v>3.6320282600204525E-3</v>
      </c>
    </row>
    <row r="297" spans="1:25" x14ac:dyDescent="0.25">
      <c r="A297" s="1095"/>
      <c r="B297" s="1454">
        <v>47</v>
      </c>
      <c r="C297" s="1099">
        <v>0.99506707173590525</v>
      </c>
      <c r="D297" s="1099">
        <v>1.0369115854207427</v>
      </c>
      <c r="E297" s="1099">
        <v>0.95696611346486526</v>
      </c>
      <c r="F297" s="1099">
        <v>0.99657158357530506</v>
      </c>
      <c r="G297" s="1099">
        <v>0.98206216237152988</v>
      </c>
      <c r="H297" s="1099">
        <v>0.98432927569376794</v>
      </c>
      <c r="I297" s="1099">
        <v>1.0068437834698172</v>
      </c>
      <c r="K297">
        <v>1.7143444374400825</v>
      </c>
      <c r="L297">
        <v>0</v>
      </c>
      <c r="M297">
        <v>1.4545619653371395E-3</v>
      </c>
      <c r="N297">
        <v>0.11745820379287004</v>
      </c>
      <c r="O297">
        <v>0.12566876217142409</v>
      </c>
      <c r="P297">
        <v>1.771386943675788E-2</v>
      </c>
      <c r="Q297">
        <v>8.5096176313774659E-4</v>
      </c>
      <c r="R297">
        <v>1.450721800001925E-3</v>
      </c>
      <c r="S297">
        <v>0.10562320462787704</v>
      </c>
      <c r="T297">
        <v>1.0288228000127511</v>
      </c>
      <c r="U297">
        <v>0</v>
      </c>
      <c r="V297">
        <v>0.20737213767887636</v>
      </c>
      <c r="W297">
        <v>7.9195979299406652E-2</v>
      </c>
      <c r="X297">
        <v>2.7693972313023407E-2</v>
      </c>
      <c r="Y297">
        <v>3.9483865092923972E-3</v>
      </c>
    </row>
    <row r="298" spans="1:25" x14ac:dyDescent="0.25">
      <c r="A298" s="1095"/>
      <c r="B298" s="1454">
        <v>48</v>
      </c>
      <c r="C298" s="1099">
        <v>1.0358935243748275</v>
      </c>
      <c r="D298" s="1099">
        <v>0.97780601786735799</v>
      </c>
      <c r="E298" s="1099">
        <v>1.0016144109633427</v>
      </c>
      <c r="F298" s="1099">
        <v>0.9922692311461847</v>
      </c>
      <c r="G298" s="1099">
        <v>1.0314185116479151</v>
      </c>
      <c r="H298" s="1099">
        <v>1.0248402112896655</v>
      </c>
      <c r="I298" s="1099">
        <v>1.0391432845341442</v>
      </c>
      <c r="K298">
        <v>1.7322710814494078</v>
      </c>
      <c r="L298">
        <v>0</v>
      </c>
      <c r="M298">
        <v>1.3772081387327265E-3</v>
      </c>
      <c r="N298">
        <v>0.12731623175736767</v>
      </c>
      <c r="O298">
        <v>0.12613161736010717</v>
      </c>
      <c r="P298">
        <v>1.8339511694107351E-2</v>
      </c>
      <c r="Q298">
        <v>8.7694320309897669E-4</v>
      </c>
      <c r="R298">
        <v>1.3737646983073332E-3</v>
      </c>
      <c r="S298">
        <v>0.1117539684732632</v>
      </c>
      <c r="T298">
        <v>1.0230368029135257</v>
      </c>
      <c r="U298">
        <v>0</v>
      </c>
      <c r="V298">
        <v>0.20805772054007693</v>
      </c>
      <c r="W298">
        <v>8.3557946750762446E-2</v>
      </c>
      <c r="X298">
        <v>2.9464847550142736E-2</v>
      </c>
      <c r="Y298">
        <v>3.7389346473814724E-3</v>
      </c>
    </row>
    <row r="299" spans="1:25" x14ac:dyDescent="0.25">
      <c r="A299" s="1095"/>
      <c r="B299" s="1454">
        <v>49</v>
      </c>
      <c r="C299" s="1099">
        <v>1.0044837291972102</v>
      </c>
      <c r="D299" s="1099">
        <v>1.0334541628921596</v>
      </c>
      <c r="E299" s="1099">
        <v>1.0017299848096468</v>
      </c>
      <c r="F299" s="1099">
        <v>1.012865685437746</v>
      </c>
      <c r="G299" s="1099">
        <v>0.98643986702285846</v>
      </c>
      <c r="H299" s="1099">
        <v>1.0238363968990865</v>
      </c>
      <c r="I299" s="1099">
        <v>1.0180606816157451</v>
      </c>
      <c r="K299">
        <v>1.7508235882592966</v>
      </c>
      <c r="L299">
        <v>0</v>
      </c>
      <c r="M299">
        <v>1.3718472940503206E-3</v>
      </c>
      <c r="N299">
        <v>0.12686099333883855</v>
      </c>
      <c r="O299">
        <v>0.12673688984705878</v>
      </c>
      <c r="P299">
        <v>1.8590541272840322E-2</v>
      </c>
      <c r="Q299">
        <v>8.8466789539295564E-4</v>
      </c>
      <c r="R299">
        <v>1.36837477019888E-3</v>
      </c>
      <c r="S299">
        <v>0.10898545937776402</v>
      </c>
      <c r="T299">
        <v>1.0442684232357649</v>
      </c>
      <c r="U299">
        <v>0</v>
      </c>
      <c r="V299">
        <v>0.20786222573726165</v>
      </c>
      <c r="W299">
        <v>8.3253461294002726E-2</v>
      </c>
      <c r="X299">
        <v>2.9660133744362629E-2</v>
      </c>
      <c r="Y299">
        <v>3.7242650398595875E-3</v>
      </c>
    </row>
    <row r="300" spans="1:25" x14ac:dyDescent="0.25">
      <c r="A300" s="1095"/>
      <c r="B300" s="1454">
        <v>50</v>
      </c>
      <c r="C300" s="1099">
        <v>1.0327716832939937</v>
      </c>
      <c r="D300" s="1099">
        <v>1.0055780803864975</v>
      </c>
      <c r="E300" s="1099">
        <v>0.98715423084297571</v>
      </c>
      <c r="F300" s="1099">
        <v>1.045132378943646</v>
      </c>
      <c r="G300" s="1099">
        <v>0.9610108030549559</v>
      </c>
      <c r="H300" s="1099">
        <v>1.0444093905835587</v>
      </c>
      <c r="I300" s="1099">
        <v>1.0210977920379716</v>
      </c>
      <c r="K300">
        <v>1.7873880120558612</v>
      </c>
      <c r="L300">
        <v>0</v>
      </c>
      <c r="M300">
        <v>1.432520148787678E-3</v>
      </c>
      <c r="N300">
        <v>0.12677187850446303</v>
      </c>
      <c r="O300">
        <v>0.12887885101429927</v>
      </c>
      <c r="P300">
        <v>1.8840822958731407E-2</v>
      </c>
      <c r="Q300">
        <v>8.5681363278589421E-4</v>
      </c>
      <c r="R300">
        <v>1.4290008729140196E-3</v>
      </c>
      <c r="S300">
        <v>0.10986850064379895</v>
      </c>
      <c r="T300">
        <v>1.0779908793237807</v>
      </c>
      <c r="U300">
        <v>0</v>
      </c>
      <c r="V300">
        <v>0.2067423604539862</v>
      </c>
      <c r="W300">
        <v>8.3922034334601756E-2</v>
      </c>
      <c r="X300">
        <v>2.9630121159225135E-2</v>
      </c>
      <c r="Y300">
        <v>3.889269306060809E-3</v>
      </c>
    </row>
    <row r="301" spans="1:25" x14ac:dyDescent="0.25">
      <c r="A301" s="1095"/>
      <c r="B301" s="1454">
        <v>51</v>
      </c>
      <c r="C301" s="1099">
        <v>0.99477753986420314</v>
      </c>
      <c r="D301" s="1099">
        <v>0.99953950391889079</v>
      </c>
      <c r="E301" s="1099">
        <v>1.0416245949918155</v>
      </c>
      <c r="F301" s="1099">
        <v>1.0054631351913801</v>
      </c>
      <c r="G301" s="1099">
        <v>0.98526992190073681</v>
      </c>
      <c r="H301" s="1099">
        <v>1.0020096006447459</v>
      </c>
      <c r="I301" s="1099">
        <v>0.99376273124058634</v>
      </c>
      <c r="K301">
        <v>1.7536891168186848</v>
      </c>
      <c r="L301">
        <v>0</v>
      </c>
      <c r="M301">
        <v>1.2707009362795884E-3</v>
      </c>
      <c r="N301">
        <v>0.13252861171573657</v>
      </c>
      <c r="O301">
        <v>0.12837038367425249</v>
      </c>
      <c r="P301">
        <v>1.9026111202294513E-2</v>
      </c>
      <c r="Q301">
        <v>9.4308805184633855E-4</v>
      </c>
      <c r="R301">
        <v>1.2674305394757509E-3</v>
      </c>
      <c r="S301">
        <v>0.10810519971841605</v>
      </c>
      <c r="T301">
        <v>1.0354697076442985</v>
      </c>
      <c r="U301">
        <v>0</v>
      </c>
      <c r="V301">
        <v>0.20935116903149609</v>
      </c>
      <c r="W301">
        <v>8.4968908329641629E-2</v>
      </c>
      <c r="X301">
        <v>3.1479679727418407E-2</v>
      </c>
      <c r="Y301">
        <v>3.4495281200879442E-3</v>
      </c>
    </row>
    <row r="302" spans="1:25" x14ac:dyDescent="0.25">
      <c r="A302" s="1095"/>
      <c r="B302" s="1454">
        <v>52</v>
      </c>
      <c r="C302" s="1099">
        <v>0.98417041009098605</v>
      </c>
      <c r="D302" s="1099">
        <v>1.0052090802512648</v>
      </c>
      <c r="E302" s="1099">
        <v>0.99823616971807205</v>
      </c>
      <c r="F302" s="1099">
        <v>1.0037613811898052</v>
      </c>
      <c r="G302" s="1099">
        <v>0.97674477461968534</v>
      </c>
      <c r="H302" s="1099">
        <v>1.0242142550591475</v>
      </c>
      <c r="I302" s="1099">
        <v>0.96060595434758755</v>
      </c>
      <c r="K302">
        <v>1.7494337514517564</v>
      </c>
      <c r="L302">
        <v>0</v>
      </c>
      <c r="M302">
        <v>1.4306352136967606E-3</v>
      </c>
      <c r="N302">
        <v>0.13090931076881818</v>
      </c>
      <c r="O302">
        <v>0.12836507987138829</v>
      </c>
      <c r="P302">
        <v>1.840538562153719E-2</v>
      </c>
      <c r="Q302">
        <v>9.0969035847283215E-4</v>
      </c>
      <c r="R302">
        <v>1.4270254464850266E-3</v>
      </c>
      <c r="S302">
        <v>0.10662014740856486</v>
      </c>
      <c r="T302">
        <v>1.0349861033200451</v>
      </c>
      <c r="U302">
        <v>0</v>
      </c>
      <c r="V302">
        <v>0.20946936266445126</v>
      </c>
      <c r="W302">
        <v>8.6088782541362374E-2</v>
      </c>
      <c r="X302">
        <v>2.9799605817805573E-2</v>
      </c>
      <c r="Y302">
        <v>3.8838928465202371E-3</v>
      </c>
    </row>
    <row r="303" spans="1:25" x14ac:dyDescent="0.25">
      <c r="A303" s="1095"/>
      <c r="B303" s="1454">
        <v>53</v>
      </c>
      <c r="C303" s="1099">
        <v>0.99170310011933405</v>
      </c>
      <c r="D303" s="1099">
        <v>0.99476275164625028</v>
      </c>
      <c r="E303" s="1099">
        <v>0.99819561055451644</v>
      </c>
      <c r="F303" s="1099">
        <v>1.0107278060161844</v>
      </c>
      <c r="G303" s="1099">
        <v>0.96889059616201767</v>
      </c>
      <c r="H303" s="1099">
        <v>1.0099969402281284</v>
      </c>
      <c r="I303" s="1099">
        <v>0.98868943982931667</v>
      </c>
      <c r="K303">
        <v>1.7560877843208893</v>
      </c>
      <c r="L303">
        <v>0</v>
      </c>
      <c r="M303">
        <v>1.4105553730151192E-3</v>
      </c>
      <c r="N303">
        <v>0.1290525652114338</v>
      </c>
      <c r="O303">
        <v>0.12898060021731844</v>
      </c>
      <c r="P303">
        <v>1.852629759672391E-2</v>
      </c>
      <c r="Q303">
        <v>9.0652273272553985E-4</v>
      </c>
      <c r="R303">
        <v>1.4069577213481539E-3</v>
      </c>
      <c r="S303">
        <v>0.1087028096476662</v>
      </c>
      <c r="T303">
        <v>1.0421704585096661</v>
      </c>
      <c r="U303">
        <v>0</v>
      </c>
      <c r="V303">
        <v>0.2091194314637061</v>
      </c>
      <c r="W303">
        <v>8.4869795411754378E-2</v>
      </c>
      <c r="X303">
        <v>2.9933626067539271E-2</v>
      </c>
      <c r="Y303">
        <v>3.8292751140214828E-3</v>
      </c>
    </row>
    <row r="304" spans="1:25" x14ac:dyDescent="0.25">
      <c r="A304" s="1095"/>
      <c r="B304" s="1454">
        <v>54</v>
      </c>
      <c r="C304" s="1099">
        <v>1.0069789875746138</v>
      </c>
      <c r="D304" s="1099">
        <v>1.0000744152928875</v>
      </c>
      <c r="E304" s="1099">
        <v>0.98413078614341165</v>
      </c>
      <c r="F304" s="1099">
        <v>0.97591996397710246</v>
      </c>
      <c r="G304" s="1099">
        <v>0.98056495841698144</v>
      </c>
      <c r="H304" s="1099">
        <v>0.9916187348347727</v>
      </c>
      <c r="I304" s="1099">
        <v>1.0435024133675108</v>
      </c>
      <c r="K304">
        <v>1.704265177019644</v>
      </c>
      <c r="L304">
        <v>0</v>
      </c>
      <c r="M304">
        <v>1.3973152831240974E-3</v>
      </c>
      <c r="N304">
        <v>0.12251260392367518</v>
      </c>
      <c r="O304">
        <v>0.12523971710882265</v>
      </c>
      <c r="P304">
        <v>1.7848965708435863E-2</v>
      </c>
      <c r="Q304">
        <v>8.7791366167452791E-4</v>
      </c>
      <c r="R304">
        <v>1.3936752260513467E-3</v>
      </c>
      <c r="S304">
        <v>0.11113410382672007</v>
      </c>
      <c r="T304">
        <v>1.0066914334345454</v>
      </c>
      <c r="U304">
        <v>0</v>
      </c>
      <c r="V304">
        <v>0.20637096451314269</v>
      </c>
      <c r="W304">
        <v>8.1249962912193607E-2</v>
      </c>
      <c r="X304">
        <v>2.8550027447108502E-2</v>
      </c>
      <c r="Y304">
        <v>3.7931245403969712E-3</v>
      </c>
    </row>
    <row r="305" spans="1:25" x14ac:dyDescent="0.25">
      <c r="A305" s="1095"/>
      <c r="B305" s="1454">
        <v>55</v>
      </c>
      <c r="C305" s="1099">
        <v>0.99594192280507665</v>
      </c>
      <c r="D305" s="1099">
        <v>0.99586291999698195</v>
      </c>
      <c r="E305" s="1099">
        <v>1.0004018189310735</v>
      </c>
      <c r="F305" s="1099">
        <v>0.98100992545107957</v>
      </c>
      <c r="G305" s="1099">
        <v>0.96990371954758559</v>
      </c>
      <c r="H305" s="1099">
        <v>1.0061266884962776</v>
      </c>
      <c r="I305" s="1099">
        <v>1.0003400520394197</v>
      </c>
      <c r="K305">
        <v>1.7182559012514944</v>
      </c>
      <c r="L305">
        <v>0</v>
      </c>
      <c r="M305">
        <v>1.3887333834102043E-3</v>
      </c>
      <c r="N305">
        <v>0.1279037444412511</v>
      </c>
      <c r="O305">
        <v>0.12644771944997316</v>
      </c>
      <c r="P305">
        <v>1.811621037076561E-2</v>
      </c>
      <c r="Q305">
        <v>9.0433245488436215E-4</v>
      </c>
      <c r="R305">
        <v>1.3851689748185364E-3</v>
      </c>
      <c r="S305">
        <v>0.10901262179840834</v>
      </c>
      <c r="T305">
        <v>1.0114637031793199</v>
      </c>
      <c r="U305">
        <v>0</v>
      </c>
      <c r="V305">
        <v>0.20722077574855038</v>
      </c>
      <c r="W305">
        <v>8.4004004335312368E-2</v>
      </c>
      <c r="X305">
        <v>2.9416380552993292E-2</v>
      </c>
      <c r="Y305">
        <v>3.7699733286262267E-3</v>
      </c>
    </row>
    <row r="306" spans="1:25" x14ac:dyDescent="0.25">
      <c r="A306" s="1095"/>
      <c r="B306" s="1454">
        <v>56</v>
      </c>
      <c r="C306" s="1099">
        <v>1.0071584573284864</v>
      </c>
      <c r="D306" s="1099">
        <v>1.0330873037555246</v>
      </c>
      <c r="E306" s="1099">
        <v>0.97242206809261922</v>
      </c>
      <c r="F306" s="1099">
        <v>0.98821341268851226</v>
      </c>
      <c r="G306" s="1099">
        <v>1.0248712867313439</v>
      </c>
      <c r="H306" s="1099">
        <v>0.99979625147657192</v>
      </c>
      <c r="I306" s="1099">
        <v>0.96750477631311527</v>
      </c>
      <c r="K306">
        <v>1.7046491880201353</v>
      </c>
      <c r="L306">
        <v>0</v>
      </c>
      <c r="M306">
        <v>1.4173379557785824E-3</v>
      </c>
      <c r="N306">
        <v>0.11994326458560953</v>
      </c>
      <c r="O306">
        <v>0.12465871006209354</v>
      </c>
      <c r="P306">
        <v>1.7760714152393907E-2</v>
      </c>
      <c r="Q306">
        <v>8.5585220926295542E-4</v>
      </c>
      <c r="R306">
        <v>1.4136575071591335E-3</v>
      </c>
      <c r="S306">
        <v>0.10156678334220239</v>
      </c>
      <c r="T306">
        <v>1.0197239694269813</v>
      </c>
      <c r="U306">
        <v>0</v>
      </c>
      <c r="V306">
        <v>0.20815364462150338</v>
      </c>
      <c r="W306">
        <v>8.0111145003189263E-2</v>
      </c>
      <c r="X306">
        <v>2.8031275343101882E-2</v>
      </c>
      <c r="Y306">
        <v>3.8475097224151709E-3</v>
      </c>
    </row>
    <row r="307" spans="1:25" x14ac:dyDescent="0.25">
      <c r="A307" s="1095"/>
      <c r="B307" s="1454">
        <v>57</v>
      </c>
      <c r="C307" s="1099">
        <v>1.0355762981840606</v>
      </c>
      <c r="D307" s="1099">
        <v>0.99963435072639095</v>
      </c>
      <c r="E307" s="1099">
        <v>0.96603383541512633</v>
      </c>
      <c r="F307" s="1099">
        <v>1.0158580029909314</v>
      </c>
      <c r="G307" s="1099">
        <v>0.99063072621279646</v>
      </c>
      <c r="H307" s="1099">
        <v>1.0299013874089356</v>
      </c>
      <c r="I307" s="1099">
        <v>0.98819029145449644</v>
      </c>
      <c r="K307">
        <v>1.7426593357647491</v>
      </c>
      <c r="L307">
        <v>0</v>
      </c>
      <c r="M307">
        <v>1.4737490336927195E-3</v>
      </c>
      <c r="N307">
        <v>0.12234039740260734</v>
      </c>
      <c r="O307">
        <v>0.12677159598035953</v>
      </c>
      <c r="P307">
        <v>1.8084065400926937E-2</v>
      </c>
      <c r="Q307">
        <v>8.3773871501458669E-4</v>
      </c>
      <c r="R307">
        <v>1.4700739970356243E-3</v>
      </c>
      <c r="S307">
        <v>0.10527661701358251</v>
      </c>
      <c r="T307">
        <v>1.048448928690273</v>
      </c>
      <c r="U307">
        <v>0</v>
      </c>
      <c r="V307">
        <v>0.20657518949910117</v>
      </c>
      <c r="W307">
        <v>8.2030729757532589E-2</v>
      </c>
      <c r="X307">
        <v>2.8296691531838641E-2</v>
      </c>
      <c r="Y307">
        <v>4.0010568101680882E-3</v>
      </c>
    </row>
    <row r="308" spans="1:25" x14ac:dyDescent="0.25">
      <c r="A308" s="1095"/>
      <c r="B308" s="1454">
        <v>58</v>
      </c>
      <c r="C308" s="1099">
        <v>0.97113920577288071</v>
      </c>
      <c r="D308" s="1099">
        <v>0.96792460810279468</v>
      </c>
      <c r="E308" s="1099">
        <v>0.96935942691712285</v>
      </c>
      <c r="F308" s="1099">
        <v>0.98256117564013901</v>
      </c>
      <c r="G308" s="1099">
        <v>1.0132961087063459</v>
      </c>
      <c r="H308" s="1099">
        <v>1.0380127287944987</v>
      </c>
      <c r="I308" s="1099">
        <v>0.97918449402139351</v>
      </c>
      <c r="K308">
        <v>1.7431620489870192</v>
      </c>
      <c r="L308">
        <v>0</v>
      </c>
      <c r="M308">
        <v>1.589876455442076E-3</v>
      </c>
      <c r="N308">
        <v>0.13331826136624084</v>
      </c>
      <c r="O308">
        <v>0.12904572332286665</v>
      </c>
      <c r="P308">
        <v>1.7856640403891465E-2</v>
      </c>
      <c r="Q308">
        <v>9.0809776909356744E-4</v>
      </c>
      <c r="R308">
        <v>1.5859338657159604E-3</v>
      </c>
      <c r="S308">
        <v>0.11344248371895239</v>
      </c>
      <c r="T308">
        <v>1.013983575784015</v>
      </c>
      <c r="U308">
        <v>0</v>
      </c>
      <c r="V308">
        <v>0.21232926455422854</v>
      </c>
      <c r="W308">
        <v>8.9210439473067754E-2</v>
      </c>
      <c r="X308">
        <v>2.8755116004867024E-2</v>
      </c>
      <c r="Y308">
        <v>4.3163891795205168E-3</v>
      </c>
    </row>
    <row r="309" spans="1:25" x14ac:dyDescent="0.25">
      <c r="A309" s="1095"/>
      <c r="B309" s="1454">
        <v>59</v>
      </c>
      <c r="C309" s="1099">
        <v>0.98829154744606906</v>
      </c>
      <c r="D309" s="1099">
        <v>0.97417220416396866</v>
      </c>
      <c r="E309" s="1099">
        <v>0.98666655706899797</v>
      </c>
      <c r="F309" s="1099">
        <v>0.99407108029817171</v>
      </c>
      <c r="G309" s="1099">
        <v>0.97528169158990952</v>
      </c>
      <c r="H309" s="1099">
        <v>1.0156690143061229</v>
      </c>
      <c r="I309" s="1099">
        <v>0.99234201860317028</v>
      </c>
      <c r="K309">
        <v>1.743596975255342</v>
      </c>
      <c r="L309">
        <v>0</v>
      </c>
      <c r="M309">
        <v>1.4732020781141493E-3</v>
      </c>
      <c r="N309">
        <v>0.13017025343855299</v>
      </c>
      <c r="O309">
        <v>0.12880146820464533</v>
      </c>
      <c r="P309">
        <v>1.8176921224867061E-2</v>
      </c>
      <c r="Q309">
        <v>9.0635118315375411E-4</v>
      </c>
      <c r="R309">
        <v>1.469473673776654E-3</v>
      </c>
      <c r="S309">
        <v>0.11115863866755325</v>
      </c>
      <c r="T309">
        <v>1.025338836296068</v>
      </c>
      <c r="U309">
        <v>0</v>
      </c>
      <c r="V309">
        <v>0.20944870175855718</v>
      </c>
      <c r="W309">
        <v>8.6196973163741641E-2</v>
      </c>
      <c r="X309">
        <v>2.9403136794383979E-2</v>
      </c>
      <c r="Y309">
        <v>3.9994229281536797E-3</v>
      </c>
    </row>
    <row r="310" spans="1:25" x14ac:dyDescent="0.25">
      <c r="A310" s="1095"/>
      <c r="B310" s="1454">
        <v>60</v>
      </c>
      <c r="C310" s="1099">
        <v>1.0293157924932095</v>
      </c>
      <c r="D310" s="1099">
        <v>1.009311305130703</v>
      </c>
      <c r="E310" s="1099">
        <v>1.020028295803783</v>
      </c>
      <c r="F310" s="1099">
        <v>1.0064110349139268</v>
      </c>
      <c r="G310" s="1099">
        <v>0.98471499669543194</v>
      </c>
      <c r="H310" s="1099">
        <v>1.0040473791372484</v>
      </c>
      <c r="I310" s="1099">
        <v>0.98790800299207249</v>
      </c>
      <c r="K310">
        <v>1.7329533867623075</v>
      </c>
      <c r="L310">
        <v>0</v>
      </c>
      <c r="M310">
        <v>1.2835091422482136E-3</v>
      </c>
      <c r="N310">
        <v>0.12542850199713246</v>
      </c>
      <c r="O310">
        <v>0.12615416780394739</v>
      </c>
      <c r="P310">
        <v>1.8644932559493121E-2</v>
      </c>
      <c r="Q310">
        <v>8.8812237016937538E-4</v>
      </c>
      <c r="R310">
        <v>1.280215820719128E-3</v>
      </c>
      <c r="S310">
        <v>0.10353093682230302</v>
      </c>
      <c r="T310">
        <v>1.0370721638818619</v>
      </c>
      <c r="U310">
        <v>0</v>
      </c>
      <c r="V310">
        <v>0.20616825027588256</v>
      </c>
      <c r="W310">
        <v>8.1430583898695078E-2</v>
      </c>
      <c r="X310">
        <v>3.0154695033385685E-2</v>
      </c>
      <c r="Y310">
        <v>3.4843254409655878E-3</v>
      </c>
    </row>
    <row r="311" spans="1:25" x14ac:dyDescent="0.25">
      <c r="A311" s="1095"/>
      <c r="B311" s="1454">
        <v>61</v>
      </c>
      <c r="C311" s="1099">
        <v>0.96832928707475818</v>
      </c>
      <c r="D311" s="1099">
        <v>0.99206491058876523</v>
      </c>
      <c r="E311" s="1099">
        <v>1.010303950624726</v>
      </c>
      <c r="F311" s="1099">
        <v>1.0224141172602632</v>
      </c>
      <c r="G311" s="1099">
        <v>0.96982891752476441</v>
      </c>
      <c r="H311" s="1099">
        <v>0.99793492679200579</v>
      </c>
      <c r="I311" s="1099">
        <v>1.021088529974687</v>
      </c>
      <c r="K311">
        <v>1.784414873594474</v>
      </c>
      <c r="L311">
        <v>0</v>
      </c>
      <c r="M311">
        <v>1.3927616288277481E-3</v>
      </c>
      <c r="N311">
        <v>0.13216659117580665</v>
      </c>
      <c r="O311">
        <v>0.13130486012726922</v>
      </c>
      <c r="P311">
        <v>1.8969181052226183E-2</v>
      </c>
      <c r="Q311">
        <v>9.4112842386831518E-4</v>
      </c>
      <c r="R311">
        <v>1.3891646787787932E-3</v>
      </c>
      <c r="S311">
        <v>0.11422342071158487</v>
      </c>
      <c r="T311">
        <v>1.0538538707311658</v>
      </c>
      <c r="U311">
        <v>0</v>
      </c>
      <c r="V311">
        <v>0.21195112023030471</v>
      </c>
      <c r="W311">
        <v>8.6296510893824147E-2</v>
      </c>
      <c r="X311">
        <v>3.0930938880849853E-2</v>
      </c>
      <c r="Y311">
        <v>3.7808483176225891E-3</v>
      </c>
    </row>
    <row r="312" spans="1:25" x14ac:dyDescent="0.25">
      <c r="A312" s="1095"/>
      <c r="B312" s="1454">
        <v>62</v>
      </c>
      <c r="C312" s="1099">
        <v>0.98935547334838803</v>
      </c>
      <c r="D312" s="1099">
        <v>1.0186980651209034</v>
      </c>
      <c r="E312" s="1099">
        <v>1.0312990359469734</v>
      </c>
      <c r="F312" s="1099">
        <v>0.98535508933975768</v>
      </c>
      <c r="G312" s="1099">
        <v>0.99027676556318234</v>
      </c>
      <c r="H312" s="1099">
        <v>1.0096162764797545</v>
      </c>
      <c r="I312" s="1099">
        <v>0.99242562597680306</v>
      </c>
      <c r="K312">
        <v>1.7267978934040127</v>
      </c>
      <c r="L312">
        <v>0</v>
      </c>
      <c r="M312">
        <v>1.2979324392029987E-3</v>
      </c>
      <c r="N312">
        <v>0.13122254156857927</v>
      </c>
      <c r="O312">
        <v>0.12621651178643073</v>
      </c>
      <c r="P312">
        <v>1.8580201543776369E-2</v>
      </c>
      <c r="Q312">
        <v>9.3125208289299513E-4</v>
      </c>
      <c r="R312">
        <v>1.2945979513104746E-3</v>
      </c>
      <c r="S312">
        <v>0.10764289233044727</v>
      </c>
      <c r="T312">
        <v>1.015053041849135</v>
      </c>
      <c r="U312">
        <v>0</v>
      </c>
      <c r="V312">
        <v>0.20841018462707861</v>
      </c>
      <c r="W312">
        <v>8.4634753616572772E-2</v>
      </c>
      <c r="X312">
        <v>3.0586379627622701E-2</v>
      </c>
      <c r="Y312">
        <v>3.5234688593671578E-3</v>
      </c>
    </row>
    <row r="313" spans="1:25" x14ac:dyDescent="0.25">
      <c r="A313" s="1095"/>
      <c r="B313" s="1454">
        <v>63</v>
      </c>
      <c r="C313" s="1099">
        <v>1.0024809328824942</v>
      </c>
      <c r="D313" s="1099">
        <v>1.0011336932529113</v>
      </c>
      <c r="E313" s="1099">
        <v>1.0160771459763998</v>
      </c>
      <c r="F313" s="1099">
        <v>1.0134028792741148</v>
      </c>
      <c r="G313" s="1099">
        <v>1.0061206491789643</v>
      </c>
      <c r="H313" s="1099">
        <v>0.99054545439554642</v>
      </c>
      <c r="I313" s="1099">
        <v>1.0201049016983019</v>
      </c>
      <c r="K313">
        <v>1.7554688683831581</v>
      </c>
      <c r="L313">
        <v>0</v>
      </c>
      <c r="M313">
        <v>1.3151510282382614E-3</v>
      </c>
      <c r="N313">
        <v>0.12699313526344191</v>
      </c>
      <c r="O313">
        <v>0.12839525279785938</v>
      </c>
      <c r="P313">
        <v>1.8823776595652604E-2</v>
      </c>
      <c r="Q313">
        <v>9.11163715561859E-4</v>
      </c>
      <c r="R313">
        <v>1.3117305316488791E-3</v>
      </c>
      <c r="S313">
        <v>0.10924217616807583</v>
      </c>
      <c r="T313">
        <v>1.0443939050049187</v>
      </c>
      <c r="U313">
        <v>0</v>
      </c>
      <c r="V313">
        <v>0.20999977106642193</v>
      </c>
      <c r="W313">
        <v>8.2637472775532725E-2</v>
      </c>
      <c r="X313">
        <v>3.0505537396986093E-2</v>
      </c>
      <c r="Y313">
        <v>3.5700980952947047E-3</v>
      </c>
    </row>
    <row r="314" spans="1:25" x14ac:dyDescent="0.25">
      <c r="A314" s="1095"/>
      <c r="B314" s="1454">
        <v>64</v>
      </c>
      <c r="C314" s="1099">
        <v>0.98580957946622172</v>
      </c>
      <c r="D314" s="1099">
        <v>1.0287269606775569</v>
      </c>
      <c r="E314" s="1099">
        <v>0.97007872305256038</v>
      </c>
      <c r="F314" s="1099">
        <v>0.97452084486772361</v>
      </c>
      <c r="G314" s="1099">
        <v>0.99289629951013658</v>
      </c>
      <c r="H314" s="1099">
        <v>1.0349153683746064</v>
      </c>
      <c r="I314" s="1099">
        <v>0.99596460512222318</v>
      </c>
      <c r="K314">
        <v>1.7093715595871701</v>
      </c>
      <c r="L314">
        <v>0</v>
      </c>
      <c r="M314">
        <v>1.5054703286314739E-3</v>
      </c>
      <c r="N314">
        <v>0.12651134039126266</v>
      </c>
      <c r="O314">
        <v>0.1248848412674485</v>
      </c>
      <c r="P314">
        <v>1.7640197867451673E-2</v>
      </c>
      <c r="Q314">
        <v>8.7370897861829768E-4</v>
      </c>
      <c r="R314">
        <v>1.5016855391995173E-3</v>
      </c>
      <c r="S314">
        <v>0.10931822734091119</v>
      </c>
      <c r="T314">
        <v>1.0056646424267384</v>
      </c>
      <c r="U314">
        <v>0</v>
      </c>
      <c r="V314">
        <v>0.20780613552280441</v>
      </c>
      <c r="W314">
        <v>8.4618500197788132E-2</v>
      </c>
      <c r="X314">
        <v>2.7970657376383126E-2</v>
      </c>
      <c r="Y314">
        <v>4.0870930071961317E-3</v>
      </c>
    </row>
    <row r="315" spans="1:25" x14ac:dyDescent="0.25">
      <c r="A315" s="1095"/>
      <c r="B315" s="1454">
        <v>65</v>
      </c>
      <c r="C315" s="1099">
        <v>1.0056319820737123</v>
      </c>
      <c r="D315" s="1099">
        <v>1.0074861032332332</v>
      </c>
      <c r="E315" s="1099">
        <v>0.99238833079390476</v>
      </c>
      <c r="F315" s="1099">
        <v>1.0235560875099197</v>
      </c>
      <c r="G315" s="1099">
        <v>1.0084285746439807</v>
      </c>
      <c r="H315" s="1099">
        <v>0.99904429879592582</v>
      </c>
      <c r="I315" s="1099">
        <v>1.0309431599210865</v>
      </c>
      <c r="K315">
        <v>1.7642657663254138</v>
      </c>
      <c r="L315">
        <v>0</v>
      </c>
      <c r="M315">
        <v>1.3852596278061322E-3</v>
      </c>
      <c r="N315">
        <v>0.12452969672365723</v>
      </c>
      <c r="O315">
        <v>0.12860467548905169</v>
      </c>
      <c r="P315">
        <v>1.8662407974253808E-2</v>
      </c>
      <c r="Q315">
        <v>8.8408089829939134E-4</v>
      </c>
      <c r="R315">
        <v>1.3816870508253981E-3</v>
      </c>
      <c r="S315">
        <v>0.11027001950389927</v>
      </c>
      <c r="T315">
        <v>1.0555753466245115</v>
      </c>
      <c r="U315">
        <v>0</v>
      </c>
      <c r="V315">
        <v>0.21011276936950504</v>
      </c>
      <c r="W315">
        <v>8.2179597610292587E-2</v>
      </c>
      <c r="X315">
        <v>2.9690248029591654E-2</v>
      </c>
      <c r="Y315">
        <v>3.7604966793328403E-3</v>
      </c>
    </row>
    <row r="316" spans="1:25" x14ac:dyDescent="0.25">
      <c r="A316" s="1095"/>
      <c r="B316" s="1454">
        <v>66</v>
      </c>
      <c r="C316" s="1099">
        <v>1.0116809331199159</v>
      </c>
      <c r="D316" s="1099">
        <v>1.013781571350397</v>
      </c>
      <c r="E316" s="1099">
        <v>1.0078022873649639</v>
      </c>
      <c r="F316" s="1099">
        <v>0.97031848862675107</v>
      </c>
      <c r="G316" s="1099">
        <v>0.97595196744471058</v>
      </c>
      <c r="H316" s="1099">
        <v>1.0459488263439203</v>
      </c>
      <c r="I316" s="1099">
        <v>0.99208918073614916</v>
      </c>
      <c r="K316">
        <v>1.7051646470151045</v>
      </c>
      <c r="L316">
        <v>0</v>
      </c>
      <c r="M316">
        <v>1.3854976411616156E-3</v>
      </c>
      <c r="N316">
        <v>0.13050186738484862</v>
      </c>
      <c r="O316">
        <v>0.12406317048125641</v>
      </c>
      <c r="P316">
        <v>1.8019562758484989E-2</v>
      </c>
      <c r="Q316">
        <v>8.9072909581311074E-4</v>
      </c>
      <c r="R316">
        <v>1.3820667338645539E-3</v>
      </c>
      <c r="S316">
        <v>0.10800741709843432</v>
      </c>
      <c r="T316">
        <v>1.0002277814090672</v>
      </c>
      <c r="U316">
        <v>0</v>
      </c>
      <c r="V316">
        <v>0.20513502696894614</v>
      </c>
      <c r="W316">
        <v>8.533543587121932E-2</v>
      </c>
      <c r="X316">
        <v>2.9225556802928539E-2</v>
      </c>
      <c r="Y316">
        <v>3.7615300514029413E-3</v>
      </c>
    </row>
    <row r="317" spans="1:25" x14ac:dyDescent="0.25">
      <c r="A317" s="1095"/>
      <c r="B317" s="1454">
        <v>67</v>
      </c>
      <c r="C317" s="1099">
        <v>1.0189403696609269</v>
      </c>
      <c r="D317" s="1099">
        <v>1.0053229142476683</v>
      </c>
      <c r="E317" s="1099">
        <v>1.0088910676594747</v>
      </c>
      <c r="F317" s="1099">
        <v>1.002670482866481</v>
      </c>
      <c r="G317" s="1099">
        <v>1.0432156351437309</v>
      </c>
      <c r="H317" s="1099">
        <v>1.0187953238948941</v>
      </c>
      <c r="I317" s="1099">
        <v>1.0346998440015396</v>
      </c>
      <c r="K317">
        <v>1.7441884148906499</v>
      </c>
      <c r="L317">
        <v>0</v>
      </c>
      <c r="M317">
        <v>1.3480766408021678E-3</v>
      </c>
      <c r="N317">
        <v>0.12738843307294545</v>
      </c>
      <c r="O317">
        <v>0.12652796379513878</v>
      </c>
      <c r="P317">
        <v>1.8592334618892366E-2</v>
      </c>
      <c r="Q317">
        <v>8.8834986536689747E-4</v>
      </c>
      <c r="R317">
        <v>1.3446664615975078E-3</v>
      </c>
      <c r="S317">
        <v>0.11075283612521113</v>
      </c>
      <c r="T317">
        <v>1.0335448183453393</v>
      </c>
      <c r="U317">
        <v>0</v>
      </c>
      <c r="V317">
        <v>0.20972904736786258</v>
      </c>
      <c r="W317">
        <v>8.3246021717113261E-2</v>
      </c>
      <c r="X317">
        <v>2.9862281322694792E-2</v>
      </c>
      <c r="Y317">
        <v>3.6597388392884816E-3</v>
      </c>
    </row>
    <row r="318" spans="1:25" x14ac:dyDescent="0.25">
      <c r="A318" s="1095"/>
      <c r="B318" s="1454">
        <v>68</v>
      </c>
      <c r="C318" s="1099">
        <v>0.98371467510993293</v>
      </c>
      <c r="D318" s="1099">
        <v>0.98441855152656776</v>
      </c>
      <c r="E318" s="1099">
        <v>0.96240385783664928</v>
      </c>
      <c r="F318" s="1099">
        <v>0.99064233245326239</v>
      </c>
      <c r="G318" s="1099">
        <v>1.0046814065486565</v>
      </c>
      <c r="H318" s="1099">
        <v>0.98913252179207622</v>
      </c>
      <c r="I318" s="1099">
        <v>1.0124330318744275</v>
      </c>
      <c r="K318">
        <v>1.7303568793865995</v>
      </c>
      <c r="L318">
        <v>0</v>
      </c>
      <c r="M318">
        <v>1.5051387459807056E-3</v>
      </c>
      <c r="N318">
        <v>0.12356591847639253</v>
      </c>
      <c r="O318">
        <v>0.12819719279197078</v>
      </c>
      <c r="P318">
        <v>1.7823138809729234E-2</v>
      </c>
      <c r="Q318">
        <v>8.8393428312440279E-4</v>
      </c>
      <c r="R318">
        <v>1.5012168984704871E-3</v>
      </c>
      <c r="S318">
        <v>0.11118775882363928</v>
      </c>
      <c r="T318">
        <v>1.0225350314823898</v>
      </c>
      <c r="U318">
        <v>0</v>
      </c>
      <c r="V318">
        <v>0.21069802533135085</v>
      </c>
      <c r="W318">
        <v>8.3036551747272896E-2</v>
      </c>
      <c r="X318">
        <v>2.834743196661893E-2</v>
      </c>
      <c r="Y318">
        <v>4.0858175216190859E-3</v>
      </c>
    </row>
    <row r="319" spans="1:25" x14ac:dyDescent="0.25">
      <c r="A319" s="1095"/>
      <c r="B319" s="1454">
        <v>69</v>
      </c>
      <c r="C319" s="1099">
        <v>0.9753105637970334</v>
      </c>
      <c r="D319" s="1099">
        <v>1.035598828085126</v>
      </c>
      <c r="E319" s="1099">
        <v>1.0039588741985082</v>
      </c>
      <c r="F319" s="1099">
        <v>0.9984867028082367</v>
      </c>
      <c r="G319" s="1099">
        <v>1.0008547835593311</v>
      </c>
      <c r="H319" s="1099">
        <v>1.0047516981496085</v>
      </c>
      <c r="I319" s="1099">
        <v>0.97722190998281433</v>
      </c>
      <c r="K319">
        <v>1.7372384340407188</v>
      </c>
      <c r="L319">
        <v>0</v>
      </c>
      <c r="M319">
        <v>1.3735530307964097E-3</v>
      </c>
      <c r="N319">
        <v>0.12786929970263372</v>
      </c>
      <c r="O319">
        <v>0.12708556355237846</v>
      </c>
      <c r="P319">
        <v>1.8410287196135949E-2</v>
      </c>
      <c r="Q319">
        <v>9.1247760569621017E-4</v>
      </c>
      <c r="R319">
        <v>1.3699960929088359E-3</v>
      </c>
      <c r="S319">
        <v>0.10605235710130199</v>
      </c>
      <c r="T319">
        <v>1.0293776672931596</v>
      </c>
      <c r="U319">
        <v>0</v>
      </c>
      <c r="V319">
        <v>0.21025345642739879</v>
      </c>
      <c r="W319">
        <v>8.3804327385769484E-2</v>
      </c>
      <c r="X319">
        <v>2.9747876968323782E-2</v>
      </c>
      <c r="Y319">
        <v>3.7286777458072E-3</v>
      </c>
    </row>
    <row r="320" spans="1:25" x14ac:dyDescent="0.25">
      <c r="A320" s="1095"/>
      <c r="B320" s="1454">
        <v>70</v>
      </c>
      <c r="C320" s="1099">
        <v>0.98915681997194438</v>
      </c>
      <c r="D320" s="1099">
        <v>1.0071689089899047</v>
      </c>
      <c r="E320" s="1099">
        <v>0.98427619132775901</v>
      </c>
      <c r="F320" s="1099">
        <v>1.0088233707340222</v>
      </c>
      <c r="G320" s="1099">
        <v>1.0341867624195054</v>
      </c>
      <c r="H320" s="1099">
        <v>0.98833039547565615</v>
      </c>
      <c r="I320" s="1099">
        <v>0.95547533722439726</v>
      </c>
      <c r="K320">
        <v>1.742397101683546</v>
      </c>
      <c r="L320">
        <v>0</v>
      </c>
      <c r="M320">
        <v>1.4134365630007067E-3</v>
      </c>
      <c r="N320">
        <v>0.12397953105688431</v>
      </c>
      <c r="O320">
        <v>0.12833636910548743</v>
      </c>
      <c r="P320">
        <v>1.8274462315001131E-2</v>
      </c>
      <c r="Q320">
        <v>8.9134348775384963E-4</v>
      </c>
      <c r="R320">
        <v>1.4097424958239993E-3</v>
      </c>
      <c r="S320">
        <v>0.1030135013474729</v>
      </c>
      <c r="T320">
        <v>1.0406278789415275</v>
      </c>
      <c r="U320">
        <v>0</v>
      </c>
      <c r="V320">
        <v>0.21197929034683399</v>
      </c>
      <c r="W320">
        <v>8.2215629477339597E-2</v>
      </c>
      <c r="X320">
        <v>2.9245935320277222E-2</v>
      </c>
      <c r="Y320">
        <v>3.8368543521440754E-3</v>
      </c>
    </row>
    <row r="321" spans="1:25" x14ac:dyDescent="0.25">
      <c r="A321" s="1095"/>
      <c r="B321" s="1454">
        <v>71</v>
      </c>
      <c r="C321" s="1099">
        <v>1.0158963806165382</v>
      </c>
      <c r="D321" s="1099">
        <v>1.0238325020143957</v>
      </c>
      <c r="E321" s="1099">
        <v>0.99962304745785868</v>
      </c>
      <c r="F321" s="1099">
        <v>0.98982683098359225</v>
      </c>
      <c r="G321" s="1099">
        <v>0.97266828291740237</v>
      </c>
      <c r="H321" s="1099">
        <v>1.0332073259266885</v>
      </c>
      <c r="I321" s="1099">
        <v>0.99025708208160013</v>
      </c>
      <c r="K321">
        <v>1.7189395714272777</v>
      </c>
      <c r="L321">
        <v>0</v>
      </c>
      <c r="M321">
        <v>1.3810609516718279E-3</v>
      </c>
      <c r="N321">
        <v>0.12690585156685311</v>
      </c>
      <c r="O321">
        <v>0.12485346235486137</v>
      </c>
      <c r="P321">
        <v>1.8162876917778514E-2</v>
      </c>
      <c r="Q321">
        <v>8.7609321333259908E-4</v>
      </c>
      <c r="R321">
        <v>1.3775994710251685E-3</v>
      </c>
      <c r="S321">
        <v>0.10598227058337428</v>
      </c>
      <c r="T321">
        <v>1.0205772291716873</v>
      </c>
      <c r="U321">
        <v>0</v>
      </c>
      <c r="V321">
        <v>0.20533464485366476</v>
      </c>
      <c r="W321">
        <v>8.3387200282736343E-2</v>
      </c>
      <c r="X321">
        <v>2.9114032329048106E-2</v>
      </c>
      <c r="Y321">
        <v>3.7493716345869334E-3</v>
      </c>
    </row>
    <row r="322" spans="1:25" x14ac:dyDescent="0.25">
      <c r="A322" s="1095"/>
      <c r="B322" s="1454">
        <v>72</v>
      </c>
      <c r="C322" s="1099">
        <v>1.0244871210256503</v>
      </c>
      <c r="D322" s="1099">
        <v>1.0417799433310719</v>
      </c>
      <c r="E322" s="1099">
        <v>0.98747110256455806</v>
      </c>
      <c r="F322" s="1099">
        <v>0.96569597157238851</v>
      </c>
      <c r="G322" s="1099">
        <v>0.98342084644267658</v>
      </c>
      <c r="H322" s="1099">
        <v>1.0057919219930902</v>
      </c>
      <c r="I322" s="1099">
        <v>0.97033167138070053</v>
      </c>
      <c r="K322">
        <v>1.6701401634209301</v>
      </c>
      <c r="L322">
        <v>0</v>
      </c>
      <c r="M322">
        <v>1.3513175505193114E-3</v>
      </c>
      <c r="N322">
        <v>0.11968483070576189</v>
      </c>
      <c r="O322">
        <v>0.12180107600041001</v>
      </c>
      <c r="P322">
        <v>1.7559217759360649E-2</v>
      </c>
      <c r="Q322">
        <v>8.518904681937855E-4</v>
      </c>
      <c r="R322">
        <v>1.3478219470401411E-3</v>
      </c>
      <c r="S322">
        <v>9.9998081141832437E-2</v>
      </c>
      <c r="T322">
        <v>0.99604781414753973</v>
      </c>
      <c r="U322">
        <v>0</v>
      </c>
      <c r="V322">
        <v>0.20337582678129734</v>
      </c>
      <c r="W322">
        <v>7.9215391218669565E-2</v>
      </c>
      <c r="X322">
        <v>2.794120377088382E-2</v>
      </c>
      <c r="Y322">
        <v>3.6683270304578332E-3</v>
      </c>
    </row>
    <row r="323" spans="1:25" x14ac:dyDescent="0.25">
      <c r="A323" s="1095"/>
      <c r="B323" s="1454">
        <v>73</v>
      </c>
      <c r="C323" s="1099">
        <v>0.97144799401063486</v>
      </c>
      <c r="D323" s="1099">
        <v>0.97123516079720396</v>
      </c>
      <c r="E323" s="1099">
        <v>0.99956707825789359</v>
      </c>
      <c r="F323" s="1099">
        <v>0.99195003371252488</v>
      </c>
      <c r="G323" s="1099">
        <v>0.9874707679930097</v>
      </c>
      <c r="H323" s="1099">
        <v>1.00645835176821</v>
      </c>
      <c r="I323" s="1099">
        <v>1.0002800202305597</v>
      </c>
      <c r="K323">
        <v>1.750938925683287</v>
      </c>
      <c r="L323">
        <v>0</v>
      </c>
      <c r="M323">
        <v>1.4460907920228259E-3</v>
      </c>
      <c r="N323">
        <v>0.13285225972177891</v>
      </c>
      <c r="O323">
        <v>0.12972745449084727</v>
      </c>
      <c r="P323">
        <v>1.8378179930766615E-2</v>
      </c>
      <c r="Q323">
        <v>9.3565721854212938E-4</v>
      </c>
      <c r="R323">
        <v>1.4423933277300735E-3</v>
      </c>
      <c r="S323">
        <v>0.11342902952259873</v>
      </c>
      <c r="T323">
        <v>1.0227680433238544</v>
      </c>
      <c r="U323">
        <v>0</v>
      </c>
      <c r="V323">
        <v>0.21153585351781887</v>
      </c>
      <c r="W323">
        <v>8.7297366453231245E-2</v>
      </c>
      <c r="X323">
        <v>3.0093059814893918E-2</v>
      </c>
      <c r="Y323">
        <v>3.9257191532485634E-3</v>
      </c>
    </row>
    <row r="324" spans="1:25" x14ac:dyDescent="0.25">
      <c r="A324" s="1095"/>
      <c r="B324" s="1454">
        <v>74</v>
      </c>
      <c r="C324" s="1099">
        <v>0.98120395546193251</v>
      </c>
      <c r="D324" s="1099">
        <v>1.0036980750918141</v>
      </c>
      <c r="E324" s="1099">
        <v>0.96854715002198166</v>
      </c>
      <c r="F324" s="1099">
        <v>0.95456644652380473</v>
      </c>
      <c r="G324" s="1099">
        <v>0.98712291608582592</v>
      </c>
      <c r="H324" s="1099">
        <v>0.99667892879289488</v>
      </c>
      <c r="I324" s="1099">
        <v>0.97099258140654643</v>
      </c>
      <c r="K324">
        <v>1.6798162493815911</v>
      </c>
      <c r="L324">
        <v>0</v>
      </c>
      <c r="M324">
        <v>1.4791582087785313E-3</v>
      </c>
      <c r="N324">
        <v>0.12371387467205044</v>
      </c>
      <c r="O324">
        <v>0.12468043774023099</v>
      </c>
      <c r="P324">
        <v>1.7297791573044383E-2</v>
      </c>
      <c r="Q324">
        <v>8.8507139539681931E-4</v>
      </c>
      <c r="R324">
        <v>1.4753058448259428E-3</v>
      </c>
      <c r="S324">
        <v>0.10592732269353672</v>
      </c>
      <c r="T324">
        <v>0.98511734153247976</v>
      </c>
      <c r="U324">
        <v>0</v>
      </c>
      <c r="V324">
        <v>0.20759163892522486</v>
      </c>
      <c r="W324">
        <v>8.28245969425601E-2</v>
      </c>
      <c r="X324">
        <v>2.7766730095842924E-2</v>
      </c>
      <c r="Y324">
        <v>4.0152961751751745E-3</v>
      </c>
    </row>
    <row r="325" spans="1:25" x14ac:dyDescent="0.25">
      <c r="A325" s="1095"/>
      <c r="B325" s="1454">
        <v>75</v>
      </c>
      <c r="C325" s="1099">
        <v>0.98342924949459576</v>
      </c>
      <c r="D325" s="1099">
        <v>1.0267957912712202</v>
      </c>
      <c r="E325" s="1099">
        <v>0.98258210407365931</v>
      </c>
      <c r="F325" s="1099">
        <v>0.98853503909951523</v>
      </c>
      <c r="G325" s="1099">
        <v>1.0066761326026146</v>
      </c>
      <c r="H325" s="1099">
        <v>1.0379247899699269</v>
      </c>
      <c r="I325" s="1099">
        <v>1.0219547213780187</v>
      </c>
      <c r="K325">
        <v>1.7347250208673755</v>
      </c>
      <c r="L325">
        <v>0</v>
      </c>
      <c r="M325">
        <v>1.4780569210569253E-3</v>
      </c>
      <c r="N325">
        <v>0.12899929253040757</v>
      </c>
      <c r="O325">
        <v>0.12621295099275379</v>
      </c>
      <c r="P325">
        <v>1.8069650895404441E-2</v>
      </c>
      <c r="Q325">
        <v>8.8806514690364783E-4</v>
      </c>
      <c r="R325">
        <v>1.4743569674511583E-3</v>
      </c>
      <c r="S325">
        <v>0.11288634518995637</v>
      </c>
      <c r="T325">
        <v>1.0197505409382179</v>
      </c>
      <c r="U325">
        <v>0</v>
      </c>
      <c r="V325">
        <v>0.20950478375372764</v>
      </c>
      <c r="W325">
        <v>8.5631740762199204E-2</v>
      </c>
      <c r="X325">
        <v>2.8772636967651501E-2</v>
      </c>
      <c r="Y325">
        <v>4.0127136437583541E-3</v>
      </c>
    </row>
    <row r="326" spans="1:25" x14ac:dyDescent="0.25">
      <c r="A326" s="1095"/>
      <c r="B326" s="1454">
        <v>76</v>
      </c>
      <c r="C326" s="1099">
        <v>1.0133157975095584</v>
      </c>
      <c r="D326" s="1099">
        <v>0.95658814197832609</v>
      </c>
      <c r="E326" s="1099">
        <v>0.99468449680744497</v>
      </c>
      <c r="F326" s="1099">
        <v>0.95504850519040652</v>
      </c>
      <c r="G326" s="1099">
        <v>0.99173464644093545</v>
      </c>
      <c r="H326" s="1099">
        <v>1.0363427160687713</v>
      </c>
      <c r="I326" s="1099">
        <v>0.99773298667401067</v>
      </c>
      <c r="K326">
        <v>1.6984706179613009</v>
      </c>
      <c r="L326">
        <v>0</v>
      </c>
      <c r="M326">
        <v>1.4552700452482845E-3</v>
      </c>
      <c r="N326">
        <v>0.1317481746960967</v>
      </c>
      <c r="O326">
        <v>0.12534430668232388</v>
      </c>
      <c r="P326">
        <v>1.7704648363660414E-2</v>
      </c>
      <c r="Q326">
        <v>8.9790291867235359E-4</v>
      </c>
      <c r="R326">
        <v>1.4516674535201108E-3</v>
      </c>
      <c r="S326">
        <v>0.11159771029650391</v>
      </c>
      <c r="T326">
        <v>0.98485907294838282</v>
      </c>
      <c r="U326">
        <v>0</v>
      </c>
      <c r="V326">
        <v>0.20663129785281983</v>
      </c>
      <c r="W326">
        <v>8.682403486753737E-2</v>
      </c>
      <c r="X326">
        <v>2.8916111660594039E-2</v>
      </c>
      <c r="Y326">
        <v>3.9509602664343007E-3</v>
      </c>
    </row>
    <row r="327" spans="1:25" x14ac:dyDescent="0.25">
      <c r="A327" s="1095"/>
      <c r="B327" s="1454">
        <v>77</v>
      </c>
      <c r="C327" s="1099">
        <v>0.95413134012127132</v>
      </c>
      <c r="D327" s="1099">
        <v>1.0134244204487124</v>
      </c>
      <c r="E327" s="1099">
        <v>0.99676752849638883</v>
      </c>
      <c r="F327" s="1099">
        <v>0.97815667333233614</v>
      </c>
      <c r="G327" s="1099">
        <v>1.0086766974191377</v>
      </c>
      <c r="H327" s="1099">
        <v>1.031248440441128</v>
      </c>
      <c r="I327" s="1099">
        <v>0.99969890462598188</v>
      </c>
      <c r="K327">
        <v>1.7379872058361048</v>
      </c>
      <c r="L327">
        <v>0</v>
      </c>
      <c r="M327">
        <v>1.4759816463488582E-3</v>
      </c>
      <c r="N327">
        <v>0.13446079908981706</v>
      </c>
      <c r="O327">
        <v>0.12762005365496498</v>
      </c>
      <c r="P327">
        <v>1.8162955216577934E-2</v>
      </c>
      <c r="Q327">
        <v>9.3385526232923107E-4</v>
      </c>
      <c r="R327">
        <v>1.4722590162945888E-3</v>
      </c>
      <c r="S327">
        <v>0.11402159857588659</v>
      </c>
      <c r="T327">
        <v>1.0086277029231026</v>
      </c>
      <c r="U327">
        <v>0</v>
      </c>
      <c r="V327">
        <v>0.21208715041615822</v>
      </c>
      <c r="W327">
        <v>8.8501687819451488E-2</v>
      </c>
      <c r="X327">
        <v>2.9568121795570033E-2</v>
      </c>
      <c r="Y327">
        <v>4.0070037122995851E-3</v>
      </c>
    </row>
    <row r="328" spans="1:25" x14ac:dyDescent="0.25">
      <c r="A328" s="1095"/>
      <c r="B328" s="1454">
        <v>78</v>
      </c>
      <c r="C328" s="1099">
        <v>0.98200451135287803</v>
      </c>
      <c r="D328" s="1099">
        <v>1.0036257225260632</v>
      </c>
      <c r="E328" s="1099">
        <v>1.0033172595889437</v>
      </c>
      <c r="F328" s="1099">
        <v>1.0174379182315954</v>
      </c>
      <c r="G328" s="1099">
        <v>0.96683179437684719</v>
      </c>
      <c r="H328" s="1099">
        <v>1.0340978813942949</v>
      </c>
      <c r="I328" s="1099">
        <v>0.99682774086172454</v>
      </c>
      <c r="K328">
        <v>1.7749494964128691</v>
      </c>
      <c r="L328">
        <v>0</v>
      </c>
      <c r="M328">
        <v>1.4351960652760425E-3</v>
      </c>
      <c r="N328">
        <v>0.13336174298034195</v>
      </c>
      <c r="O328">
        <v>0.12961190504464046</v>
      </c>
      <c r="P328">
        <v>1.8743075145702288E-2</v>
      </c>
      <c r="Q328">
        <v>9.1708844271972637E-4</v>
      </c>
      <c r="R328">
        <v>1.4316140126354709E-3</v>
      </c>
      <c r="S328">
        <v>0.11177276414408983</v>
      </c>
      <c r="T328">
        <v>1.0489345264885404</v>
      </c>
      <c r="U328">
        <v>0</v>
      </c>
      <c r="V328">
        <v>0.20995479128227418</v>
      </c>
      <c r="W328">
        <v>8.7437264126011327E-2</v>
      </c>
      <c r="X328">
        <v>3.0323539400227206E-2</v>
      </c>
      <c r="Y328">
        <v>3.8963814109613205E-3</v>
      </c>
    </row>
    <row r="329" spans="1:25" x14ac:dyDescent="0.25">
      <c r="A329" s="1095"/>
      <c r="B329" s="1454">
        <v>79</v>
      </c>
      <c r="C329" s="1099">
        <v>1.0101570835564797</v>
      </c>
      <c r="D329" s="1099">
        <v>1.0225508232130109</v>
      </c>
      <c r="E329" s="1099">
        <v>0.98895432399463079</v>
      </c>
      <c r="F329" s="1099">
        <v>0.97479399888854423</v>
      </c>
      <c r="G329" s="1099">
        <v>1.0291108045195596</v>
      </c>
      <c r="H329" s="1099">
        <v>0.97111108536801372</v>
      </c>
      <c r="I329" s="1099">
        <v>0.96925807597814284</v>
      </c>
      <c r="K329">
        <v>1.685067811630421</v>
      </c>
      <c r="L329">
        <v>0</v>
      </c>
      <c r="M329">
        <v>1.3332550475698252E-3</v>
      </c>
      <c r="N329">
        <v>0.11860587630512552</v>
      </c>
      <c r="O329">
        <v>0.1240199813866707</v>
      </c>
      <c r="P329">
        <v>1.7766793397485926E-2</v>
      </c>
      <c r="Q329">
        <v>8.7178594132690307E-4</v>
      </c>
      <c r="R329">
        <v>1.329694289424464E-3</v>
      </c>
      <c r="S329">
        <v>0.10016427751340479</v>
      </c>
      <c r="T329">
        <v>1.0053883043385503</v>
      </c>
      <c r="U329">
        <v>0</v>
      </c>
      <c r="V329">
        <v>0.2077601640566786</v>
      </c>
      <c r="W329">
        <v>7.8431448194502901E-2</v>
      </c>
      <c r="X329">
        <v>2.8443751732613244E-2</v>
      </c>
      <c r="Y329">
        <v>3.6189895222086873E-3</v>
      </c>
    </row>
    <row r="330" spans="1:25" x14ac:dyDescent="0.25">
      <c r="A330" s="1095"/>
      <c r="B330" s="1454">
        <v>80</v>
      </c>
      <c r="C330" s="1099">
        <v>1.0080046294697613</v>
      </c>
      <c r="D330" s="1099">
        <v>1.0170350287394767</v>
      </c>
      <c r="E330" s="1099">
        <v>1.0099663299363018</v>
      </c>
      <c r="F330" s="1099">
        <v>1.0023914271920398</v>
      </c>
      <c r="G330" s="1099">
        <v>0.98646264917386539</v>
      </c>
      <c r="H330" s="1099">
        <v>0.97381700552459827</v>
      </c>
      <c r="I330" s="1099">
        <v>0.98111935557433017</v>
      </c>
      <c r="K330">
        <v>1.7243340394378355</v>
      </c>
      <c r="L330">
        <v>0</v>
      </c>
      <c r="M330">
        <v>1.2896156436582994E-3</v>
      </c>
      <c r="N330">
        <v>0.12224500380374891</v>
      </c>
      <c r="O330">
        <v>0.12653633373105488</v>
      </c>
      <c r="P330">
        <v>1.8456368107527234E-2</v>
      </c>
      <c r="Q330">
        <v>8.9482868168479376E-4</v>
      </c>
      <c r="R330">
        <v>1.2861920576510623E-3</v>
      </c>
      <c r="S330">
        <v>0.10230774918136885</v>
      </c>
      <c r="T330">
        <v>1.0332254312793292</v>
      </c>
      <c r="U330">
        <v>0</v>
      </c>
      <c r="V330">
        <v>0.20752723829830449</v>
      </c>
      <c r="W330">
        <v>7.9834226066051575E-2</v>
      </c>
      <c r="X330">
        <v>2.980969308694361E-2</v>
      </c>
      <c r="Y330">
        <v>3.5005907878283391E-3</v>
      </c>
    </row>
    <row r="331" spans="1:25" x14ac:dyDescent="0.25">
      <c r="A331" s="1095"/>
      <c r="B331" s="1454">
        <v>81</v>
      </c>
      <c r="C331" s="1099">
        <v>1.0432871510320585</v>
      </c>
      <c r="D331" s="1099">
        <v>1.0105998338172542</v>
      </c>
      <c r="E331" s="1099">
        <v>0.9827524979910377</v>
      </c>
      <c r="F331" s="1099">
        <v>0.98755344437014403</v>
      </c>
      <c r="G331" s="1099">
        <v>0.9807756268501211</v>
      </c>
      <c r="H331" s="1099">
        <v>1.0016456154588351</v>
      </c>
      <c r="I331" s="1099">
        <v>0.99321548925043035</v>
      </c>
      <c r="K331">
        <v>1.6973541741275486</v>
      </c>
      <c r="L331">
        <v>0</v>
      </c>
      <c r="M331">
        <v>1.3631539067051309E-3</v>
      </c>
      <c r="N331">
        <v>0.11902389029781228</v>
      </c>
      <c r="O331">
        <v>0.12385913278811304</v>
      </c>
      <c r="P331">
        <v>1.783907142919729E-2</v>
      </c>
      <c r="Q331">
        <v>8.426039089688296E-4</v>
      </c>
      <c r="R331">
        <v>1.3596452215435195E-3</v>
      </c>
      <c r="S331">
        <v>0.1023579511851633</v>
      </c>
      <c r="T331">
        <v>1.0187328606073767</v>
      </c>
      <c r="U331">
        <v>0</v>
      </c>
      <c r="V331">
        <v>0.20376050805499535</v>
      </c>
      <c r="W331">
        <v>7.9001801721329187E-2</v>
      </c>
      <c r="X331">
        <v>2.8239356733639049E-2</v>
      </c>
      <c r="Y331">
        <v>3.7005060861146364E-3</v>
      </c>
    </row>
    <row r="332" spans="1:25" x14ac:dyDescent="0.25">
      <c r="A332" s="1095"/>
      <c r="B332" s="1454">
        <v>82</v>
      </c>
      <c r="C332" s="1099">
        <v>0.99866149332319198</v>
      </c>
      <c r="D332" s="1099">
        <v>1.0013495809650592</v>
      </c>
      <c r="E332" s="1099">
        <v>0.98232855910066408</v>
      </c>
      <c r="F332" s="1099">
        <v>1.0022974803600244</v>
      </c>
      <c r="G332" s="1099">
        <v>1.0185743828241305</v>
      </c>
      <c r="H332" s="1099">
        <v>1.0191782533390299</v>
      </c>
      <c r="I332" s="1099">
        <v>0.98981275355597842</v>
      </c>
      <c r="K332">
        <v>1.7432071074065618</v>
      </c>
      <c r="L332">
        <v>0</v>
      </c>
      <c r="M332">
        <v>1.4548047321659454E-3</v>
      </c>
      <c r="N332">
        <v>0.1268690420329677</v>
      </c>
      <c r="O332">
        <v>0.12760804740206241</v>
      </c>
      <c r="P332">
        <v>1.820454658355794E-2</v>
      </c>
      <c r="Q332">
        <v>8.8310785106016283E-4</v>
      </c>
      <c r="R332">
        <v>1.4511225250046218E-3</v>
      </c>
      <c r="S332">
        <v>0.10822592296112932</v>
      </c>
      <c r="T332">
        <v>1.0339552536494059</v>
      </c>
      <c r="U332">
        <v>0</v>
      </c>
      <c r="V332">
        <v>0.21024372363370403</v>
      </c>
      <c r="W332">
        <v>8.4230516620640988E-2</v>
      </c>
      <c r="X332">
        <v>2.9041151728541482E-2</v>
      </c>
      <c r="Y332">
        <v>3.9494771506507756E-3</v>
      </c>
    </row>
    <row r="333" spans="1:25" x14ac:dyDescent="0.25">
      <c r="A333" s="1095"/>
      <c r="B333" s="1454">
        <v>83</v>
      </c>
      <c r="C333" s="1099">
        <v>1.0262859724405022</v>
      </c>
      <c r="D333" s="1099">
        <v>0.99936683958903583</v>
      </c>
      <c r="E333" s="1099">
        <v>1.0057736952323622</v>
      </c>
      <c r="F333" s="1099">
        <v>1.0104409450003771</v>
      </c>
      <c r="G333" s="1099">
        <v>0.99350720510144153</v>
      </c>
      <c r="H333" s="1099">
        <v>0.99988026286890874</v>
      </c>
      <c r="I333" s="1099">
        <v>0.97769736376475525</v>
      </c>
      <c r="K333">
        <v>1.7376080985866276</v>
      </c>
      <c r="L333">
        <v>0</v>
      </c>
      <c r="M333">
        <v>1.3284062534998375E-3</v>
      </c>
      <c r="N333">
        <v>0.12434835807511051</v>
      </c>
      <c r="O333">
        <v>0.12700302807119657</v>
      </c>
      <c r="P333">
        <v>1.8522252514500986E-2</v>
      </c>
      <c r="Q333">
        <v>8.8124863381441117E-4</v>
      </c>
      <c r="R333">
        <v>1.3249903835108169E-3</v>
      </c>
      <c r="S333">
        <v>0.10310070661948727</v>
      </c>
      <c r="T333">
        <v>1.0416475002652712</v>
      </c>
      <c r="U333">
        <v>0</v>
      </c>
      <c r="V333">
        <v>0.20729986886958454</v>
      </c>
      <c r="W333">
        <v>8.1409214690447596E-2</v>
      </c>
      <c r="X333">
        <v>2.9793149676250383E-2</v>
      </c>
      <c r="Y333">
        <v>3.6061870409539072E-3</v>
      </c>
    </row>
    <row r="334" spans="1:25" x14ac:dyDescent="0.25">
      <c r="A334" s="1095"/>
      <c r="B334" s="1454">
        <v>84</v>
      </c>
      <c r="C334" s="1099">
        <v>1.01550672074824</v>
      </c>
      <c r="D334" s="1099">
        <v>0.98018016248878082</v>
      </c>
      <c r="E334" s="1099">
        <v>0.96588132841047392</v>
      </c>
      <c r="F334" s="1099">
        <v>1.0052359437719278</v>
      </c>
      <c r="G334" s="1099">
        <v>1.0015870291130275</v>
      </c>
      <c r="H334" s="1099">
        <v>1.0398060075645372</v>
      </c>
      <c r="I334" s="1099">
        <v>1.0017097789819609</v>
      </c>
      <c r="K334">
        <v>1.7486612049478643</v>
      </c>
      <c r="L334">
        <v>0</v>
      </c>
      <c r="M334">
        <v>1.531733311507025E-3</v>
      </c>
      <c r="N334">
        <v>0.12709855556259303</v>
      </c>
      <c r="O334">
        <v>0.12787927388764972</v>
      </c>
      <c r="P334">
        <v>1.8037136310361496E-2</v>
      </c>
      <c r="Q334">
        <v>8.6089871195735713E-4</v>
      </c>
      <c r="R334">
        <v>1.527954878502537E-3</v>
      </c>
      <c r="S334">
        <v>0.11066997132214217</v>
      </c>
      <c r="T334">
        <v>1.0374908041550102</v>
      </c>
      <c r="U334">
        <v>0</v>
      </c>
      <c r="V334">
        <v>0.20876400304720585</v>
      </c>
      <c r="W334">
        <v>8.5229068994849388E-2</v>
      </c>
      <c r="X334">
        <v>2.8476681900006282E-2</v>
      </c>
      <c r="Y334">
        <v>4.1585894890935771E-3</v>
      </c>
    </row>
    <row r="335" spans="1:25" x14ac:dyDescent="0.25">
      <c r="A335" s="1095"/>
      <c r="B335" s="1454">
        <v>85</v>
      </c>
      <c r="C335" s="1099">
        <v>0.98360678557826897</v>
      </c>
      <c r="D335" s="1099">
        <v>1.0147008034057581</v>
      </c>
      <c r="E335" s="1099">
        <v>0.96659762317815567</v>
      </c>
      <c r="F335" s="1099">
        <v>0.98223999663203143</v>
      </c>
      <c r="G335" s="1099">
        <v>0.95383615080331297</v>
      </c>
      <c r="H335" s="1099">
        <v>0.96127456125871125</v>
      </c>
      <c r="I335" s="1099">
        <v>0.98760217035719189</v>
      </c>
      <c r="K335">
        <v>1.6994488897037023</v>
      </c>
      <c r="L335">
        <v>0</v>
      </c>
      <c r="M335">
        <v>1.4236929775605387E-3</v>
      </c>
      <c r="N335">
        <v>0.11836277554256493</v>
      </c>
      <c r="O335">
        <v>0.12619052581481086</v>
      </c>
      <c r="P335">
        <v>1.762421865317345E-2</v>
      </c>
      <c r="Q335">
        <v>8.7726119391991599E-4</v>
      </c>
      <c r="R335">
        <v>1.4198513226800651E-3</v>
      </c>
      <c r="S335">
        <v>0.10448979210200386</v>
      </c>
      <c r="T335">
        <v>1.0137353640740874</v>
      </c>
      <c r="U335">
        <v>0</v>
      </c>
      <c r="V335">
        <v>0.20690595370594028</v>
      </c>
      <c r="W335">
        <v>7.9336377765860527E-2</v>
      </c>
      <c r="X335">
        <v>2.8066095259750099E-2</v>
      </c>
      <c r="Y335">
        <v>3.8643672464724076E-3</v>
      </c>
    </row>
    <row r="336" spans="1:25" x14ac:dyDescent="0.25">
      <c r="A336" s="1095"/>
      <c r="B336" s="1454">
        <v>86</v>
      </c>
      <c r="C336" s="1099">
        <v>1.0215680988646634</v>
      </c>
      <c r="D336" s="1099">
        <v>1.0295012883052759</v>
      </c>
      <c r="E336" s="1099">
        <v>0.99345812661359245</v>
      </c>
      <c r="F336" s="1099">
        <v>1.0229983405136092</v>
      </c>
      <c r="G336" s="1099">
        <v>1.0211480323999762</v>
      </c>
      <c r="H336" s="1099">
        <v>0.98356057389080032</v>
      </c>
      <c r="I336" s="1099">
        <v>1.0097144455140117</v>
      </c>
      <c r="K336">
        <v>1.7449110878116554</v>
      </c>
      <c r="L336">
        <v>0</v>
      </c>
      <c r="M336">
        <v>1.3240614130976831E-3</v>
      </c>
      <c r="N336">
        <v>0.11940794055842398</v>
      </c>
      <c r="O336">
        <v>0.12676052899568757</v>
      </c>
      <c r="P336">
        <v>1.8564424879861527E-2</v>
      </c>
      <c r="Q336">
        <v>8.6375814746015656E-4</v>
      </c>
      <c r="R336">
        <v>1.3205825643660856E-3</v>
      </c>
      <c r="S336">
        <v>0.10392683110648231</v>
      </c>
      <c r="T336">
        <v>1.0549673881262398</v>
      </c>
      <c r="U336">
        <v>0</v>
      </c>
      <c r="V336">
        <v>0.20874441042906122</v>
      </c>
      <c r="W336">
        <v>7.8749282085546241E-2</v>
      </c>
      <c r="X336">
        <v>2.9335811921343075E-2</v>
      </c>
      <c r="Y336">
        <v>3.5941904102791398E-3</v>
      </c>
    </row>
    <row r="337" spans="1:25" x14ac:dyDescent="0.25">
      <c r="A337" s="1095"/>
      <c r="B337" s="1454">
        <v>87</v>
      </c>
      <c r="C337" s="1099">
        <v>0.98526019536319531</v>
      </c>
      <c r="D337" s="1099">
        <v>0.9949791289105604</v>
      </c>
      <c r="E337" s="1099">
        <v>1.0091575109280397</v>
      </c>
      <c r="F337" s="1099">
        <v>1.0014153721947563</v>
      </c>
      <c r="G337" s="1099">
        <v>1.0047564240339317</v>
      </c>
      <c r="H337" s="1099">
        <v>0.98401547018957114</v>
      </c>
      <c r="I337" s="1099">
        <v>0.99327379013249029</v>
      </c>
      <c r="K337">
        <v>1.7442996823330073</v>
      </c>
      <c r="L337">
        <v>0</v>
      </c>
      <c r="M337">
        <v>1.350127825700163E-3</v>
      </c>
      <c r="N337">
        <v>0.12767317643104945</v>
      </c>
      <c r="O337">
        <v>0.12864125044610827</v>
      </c>
      <c r="P337">
        <v>1.855695341153946E-2</v>
      </c>
      <c r="Q337">
        <v>9.2277945239606753E-4</v>
      </c>
      <c r="R337">
        <v>1.3465884121017034E-3</v>
      </c>
      <c r="S337">
        <v>0.1079947664070081</v>
      </c>
      <c r="T337">
        <v>1.0322431999826616</v>
      </c>
      <c r="U337">
        <v>0</v>
      </c>
      <c r="V337">
        <v>0.21094594396892269</v>
      </c>
      <c r="W337">
        <v>8.3418978813564387E-2</v>
      </c>
      <c r="X337">
        <v>3.0241203078363952E-2</v>
      </c>
      <c r="Y337">
        <v>3.6649697549900888E-3</v>
      </c>
    </row>
    <row r="338" spans="1:25" x14ac:dyDescent="0.25">
      <c r="A338" s="1095"/>
      <c r="B338" s="1454">
        <v>88</v>
      </c>
      <c r="C338" s="1099">
        <v>0.97683393389025697</v>
      </c>
      <c r="D338" s="1099">
        <v>0.99917623278659884</v>
      </c>
      <c r="E338" s="1099">
        <v>1.0014655546513451</v>
      </c>
      <c r="F338" s="1099">
        <v>0.99477767318298616</v>
      </c>
      <c r="G338" s="1099">
        <v>0.98761333793729222</v>
      </c>
      <c r="H338" s="1099">
        <v>1.0139143104905259</v>
      </c>
      <c r="I338" s="1099">
        <v>1.009724375436053</v>
      </c>
      <c r="K338">
        <v>1.7473120765664747</v>
      </c>
      <c r="L338">
        <v>0</v>
      </c>
      <c r="M338">
        <v>1.4203530018149773E-3</v>
      </c>
      <c r="N338">
        <v>0.13123925069805839</v>
      </c>
      <c r="O338">
        <v>0.12835501115696918</v>
      </c>
      <c r="P338">
        <v>1.8414313192399921E-2</v>
      </c>
      <c r="Q338">
        <v>9.2181361658360921E-4</v>
      </c>
      <c r="R338">
        <v>1.4167316949420428E-3</v>
      </c>
      <c r="S338">
        <v>0.11249152172673403</v>
      </c>
      <c r="T338">
        <v>1.0256274200668756</v>
      </c>
      <c r="U338">
        <v>0</v>
      </c>
      <c r="V338">
        <v>0.21035495817529817</v>
      </c>
      <c r="W338">
        <v>8.6140244852299347E-2</v>
      </c>
      <c r="X338">
        <v>2.9915287739972537E-2</v>
      </c>
      <c r="Y338">
        <v>3.8558766481545182E-3</v>
      </c>
    </row>
    <row r="339" spans="1:25" x14ac:dyDescent="0.25">
      <c r="A339" s="1095"/>
      <c r="B339" s="1454">
        <v>89</v>
      </c>
      <c r="C339" s="1099">
        <v>1.0003149013013761</v>
      </c>
      <c r="D339" s="1099">
        <v>0.99560281937578221</v>
      </c>
      <c r="E339" s="1099">
        <v>1.003674873949294</v>
      </c>
      <c r="F339" s="1099">
        <v>1.0046930831449996</v>
      </c>
      <c r="G339" s="1099">
        <v>1.0213496153224073</v>
      </c>
      <c r="H339" s="1099">
        <v>1.0388838907425713</v>
      </c>
      <c r="I339" s="1099">
        <v>0.97625578641841271</v>
      </c>
      <c r="K339">
        <v>1.7550060566283734</v>
      </c>
      <c r="L339">
        <v>0</v>
      </c>
      <c r="M339">
        <v>1.4217234906848261E-3</v>
      </c>
      <c r="N339">
        <v>0.13225478443218353</v>
      </c>
      <c r="O339">
        <v>0.12805341067173615</v>
      </c>
      <c r="P339">
        <v>1.8530233252330934E-2</v>
      </c>
      <c r="Q339">
        <v>9.0353079234001873E-4</v>
      </c>
      <c r="R339">
        <v>1.4181983160227833E-3</v>
      </c>
      <c r="S339">
        <v>0.10835516639631017</v>
      </c>
      <c r="T339">
        <v>1.0357845089593063</v>
      </c>
      <c r="U339">
        <v>0</v>
      </c>
      <c r="V339">
        <v>0.21059690795120869</v>
      </c>
      <c r="W339">
        <v>8.6693120577804941E-2</v>
      </c>
      <c r="X339">
        <v>2.9978050462548565E-2</v>
      </c>
      <c r="Y339">
        <v>3.8598683072647855E-3</v>
      </c>
    </row>
    <row r="340" spans="1:25" x14ac:dyDescent="0.25">
      <c r="A340" s="1095"/>
      <c r="B340" s="1454">
        <v>90</v>
      </c>
      <c r="C340" s="1099">
        <v>1.044004017896403</v>
      </c>
      <c r="D340" s="1099">
        <v>1.0129667874489654</v>
      </c>
      <c r="E340" s="1099">
        <v>0.99898918947750115</v>
      </c>
      <c r="F340" s="1099">
        <v>1.0153495627323597</v>
      </c>
      <c r="G340" s="1099">
        <v>0.99101898046909698</v>
      </c>
      <c r="H340" s="1099">
        <v>0.96103987780325328</v>
      </c>
      <c r="I340" s="1099">
        <v>0.98245522211379444</v>
      </c>
      <c r="K340">
        <v>1.7211214983910814</v>
      </c>
      <c r="L340">
        <v>0</v>
      </c>
      <c r="M340">
        <v>1.2649642623579406E-3</v>
      </c>
      <c r="N340">
        <v>0.11599539771388323</v>
      </c>
      <c r="O340">
        <v>0.12584156618443593</v>
      </c>
      <c r="P340">
        <v>1.8415483069653359E-2</v>
      </c>
      <c r="Q340">
        <v>8.5558965195587278E-4</v>
      </c>
      <c r="R340">
        <v>1.2615771189165223E-3</v>
      </c>
      <c r="S340">
        <v>9.8550052987212061E-2</v>
      </c>
      <c r="T340">
        <v>1.0469120065641044</v>
      </c>
      <c r="U340">
        <v>0</v>
      </c>
      <c r="V340">
        <v>0.20560174151505467</v>
      </c>
      <c r="W340">
        <v>7.6246902432017816E-2</v>
      </c>
      <c r="X340">
        <v>2.927254837730103E-2</v>
      </c>
      <c r="Y340">
        <v>3.4335970389052918E-3</v>
      </c>
    </row>
    <row r="341" spans="1:25" x14ac:dyDescent="0.25">
      <c r="A341" s="1095"/>
      <c r="B341" s="1454">
        <v>91</v>
      </c>
      <c r="C341" s="1099">
        <v>0.99261839260952001</v>
      </c>
      <c r="D341" s="1099">
        <v>1.0264041017236378</v>
      </c>
      <c r="E341" s="1099">
        <v>0.9995056029458651</v>
      </c>
      <c r="F341" s="1099">
        <v>0.97558063268497541</v>
      </c>
      <c r="G341" s="1099">
        <v>0.9815316155967454</v>
      </c>
      <c r="H341" s="1099">
        <v>1.024611599988442</v>
      </c>
      <c r="I341" s="1099">
        <v>1.0066089133752794</v>
      </c>
      <c r="K341">
        <v>1.7110795551426019</v>
      </c>
      <c r="L341">
        <v>0</v>
      </c>
      <c r="M341">
        <v>1.3955804751207908E-3</v>
      </c>
      <c r="N341">
        <v>0.12819067980401946</v>
      </c>
      <c r="O341">
        <v>0.12483266350458644</v>
      </c>
      <c r="P341">
        <v>1.8026922076630369E-2</v>
      </c>
      <c r="Q341">
        <v>8.956302001426967E-4</v>
      </c>
      <c r="R341">
        <v>1.3920405097800426E-3</v>
      </c>
      <c r="S341">
        <v>0.1092642176892837</v>
      </c>
      <c r="T341">
        <v>1.0058918596706612</v>
      </c>
      <c r="U341">
        <v>0</v>
      </c>
      <c r="V341">
        <v>0.20688018467849675</v>
      </c>
      <c r="W341">
        <v>8.4237316042134261E-2</v>
      </c>
      <c r="X341">
        <v>2.9074946060395724E-2</v>
      </c>
      <c r="Y341">
        <v>3.7886753815905569E-3</v>
      </c>
    </row>
    <row r="342" spans="1:25" x14ac:dyDescent="0.25">
      <c r="A342" s="1095"/>
      <c r="B342" s="1454">
        <v>92</v>
      </c>
      <c r="C342" s="1099">
        <v>1.0128614202936177</v>
      </c>
      <c r="D342" s="1099">
        <v>0.97137763086822371</v>
      </c>
      <c r="E342" s="1099">
        <v>0.98277808299704883</v>
      </c>
      <c r="F342" s="1099">
        <v>1.0126189018770182</v>
      </c>
      <c r="G342" s="1099">
        <v>1.0174571121300549</v>
      </c>
      <c r="H342" s="1099">
        <v>0.99311892985503647</v>
      </c>
      <c r="I342" s="1099">
        <v>1.0134397668340311</v>
      </c>
      <c r="K342">
        <v>1.7531678220969169</v>
      </c>
      <c r="L342">
        <v>0</v>
      </c>
      <c r="M342">
        <v>1.424618444313611E-3</v>
      </c>
      <c r="N342">
        <v>0.12439988941418656</v>
      </c>
      <c r="O342">
        <v>0.12905753558788188</v>
      </c>
      <c r="P342">
        <v>1.8375567416765354E-2</v>
      </c>
      <c r="Q342">
        <v>8.81790418771E-4</v>
      </c>
      <c r="R342">
        <v>1.4209468753231523E-3</v>
      </c>
      <c r="S342">
        <v>0.10962115767839832</v>
      </c>
      <c r="T342">
        <v>1.0445889108731219</v>
      </c>
      <c r="U342">
        <v>0</v>
      </c>
      <c r="V342">
        <v>0.21045582245495259</v>
      </c>
      <c r="W342">
        <v>8.2568834528701812E-2</v>
      </c>
      <c r="X342">
        <v>2.9354636313510315E-2</v>
      </c>
      <c r="Y342">
        <v>3.8673489796180599E-3</v>
      </c>
    </row>
    <row r="343" spans="1:25" x14ac:dyDescent="0.25">
      <c r="A343" s="1095"/>
      <c r="B343" s="1454">
        <v>93</v>
      </c>
      <c r="C343" s="1099">
        <v>0.98808965164843998</v>
      </c>
      <c r="D343" s="1099">
        <v>1.0139735879120431</v>
      </c>
      <c r="E343" s="1099">
        <v>0.99129275739429246</v>
      </c>
      <c r="F343" s="1099">
        <v>0.99837720202974145</v>
      </c>
      <c r="G343" s="1099">
        <v>0.99536386687043965</v>
      </c>
      <c r="H343" s="1099">
        <v>0.99490717632975922</v>
      </c>
      <c r="I343" s="1099">
        <v>0.99958064235058319</v>
      </c>
      <c r="K343">
        <v>1.7343126919907319</v>
      </c>
      <c r="L343">
        <v>0</v>
      </c>
      <c r="M343">
        <v>1.3969063432971666E-3</v>
      </c>
      <c r="N343">
        <v>0.12515857548286619</v>
      </c>
      <c r="O343">
        <v>0.12731900225787224</v>
      </c>
      <c r="P343">
        <v>1.8253944865299191E-2</v>
      </c>
      <c r="Q343">
        <v>8.9644621316235524E-4</v>
      </c>
      <c r="R343">
        <v>1.3932714221683215E-3</v>
      </c>
      <c r="S343">
        <v>0.10784158547096818</v>
      </c>
      <c r="T343">
        <v>1.029641587058066</v>
      </c>
      <c r="U343">
        <v>0</v>
      </c>
      <c r="V343">
        <v>0.2094657544727028</v>
      </c>
      <c r="W343">
        <v>8.2648754056542637E-2</v>
      </c>
      <c r="X343">
        <v>2.929865151503637E-2</v>
      </c>
      <c r="Y343">
        <v>3.792025519341291E-3</v>
      </c>
    </row>
    <row r="344" spans="1:25" x14ac:dyDescent="0.25">
      <c r="A344" s="1095"/>
      <c r="B344" s="1454">
        <v>94</v>
      </c>
      <c r="C344" s="1099">
        <v>1.0044616071121408</v>
      </c>
      <c r="D344" s="1099">
        <v>1.0150008734401392</v>
      </c>
      <c r="E344" s="1099">
        <v>1.0078770252366682</v>
      </c>
      <c r="F344" s="1099">
        <v>0.99439598950536356</v>
      </c>
      <c r="G344" s="1099">
        <v>0.97244224367301446</v>
      </c>
      <c r="H344" s="1099">
        <v>1.000148952188366</v>
      </c>
      <c r="I344" s="1099">
        <v>0.995480476810365</v>
      </c>
      <c r="K344">
        <v>1.7246488180433381</v>
      </c>
      <c r="L344">
        <v>0</v>
      </c>
      <c r="M344">
        <v>1.3352280095821254E-3</v>
      </c>
      <c r="N344">
        <v>0.12578141040972471</v>
      </c>
      <c r="O344">
        <v>0.12619889076309332</v>
      </c>
      <c r="P344">
        <v>1.8356652596134677E-2</v>
      </c>
      <c r="Q344">
        <v>8.9676895581531832E-4</v>
      </c>
      <c r="R344">
        <v>1.331774640569951E-3</v>
      </c>
      <c r="S344">
        <v>0.10604000198382944</v>
      </c>
      <c r="T344">
        <v>1.0250452600724427</v>
      </c>
      <c r="U344">
        <v>0</v>
      </c>
      <c r="V344">
        <v>0.20678341250193841</v>
      </c>
      <c r="W344">
        <v>8.2245088586441792E-2</v>
      </c>
      <c r="X344">
        <v>2.9680133990688879E-2</v>
      </c>
      <c r="Y344">
        <v>3.624651552239132E-3</v>
      </c>
    </row>
    <row r="345" spans="1:25" x14ac:dyDescent="0.25">
      <c r="A345" s="1095"/>
      <c r="B345" s="1454">
        <v>95</v>
      </c>
      <c r="C345" s="1099">
        <v>1.0230172119752083</v>
      </c>
      <c r="D345" s="1099">
        <v>1.0268569582625757</v>
      </c>
      <c r="E345" s="1099">
        <v>0.99204185563638925</v>
      </c>
      <c r="F345" s="1099">
        <v>0.99529266442775777</v>
      </c>
      <c r="G345" s="1099">
        <v>1.0007286461715272</v>
      </c>
      <c r="H345" s="1099">
        <v>1.0036695471709689</v>
      </c>
      <c r="I345" s="1099">
        <v>0.952121075888961</v>
      </c>
      <c r="K345">
        <v>1.7096197521310408</v>
      </c>
      <c r="L345">
        <v>0</v>
      </c>
      <c r="M345">
        <v>1.3523636492633676E-3</v>
      </c>
      <c r="N345">
        <v>0.1214452071126471</v>
      </c>
      <c r="O345">
        <v>0.12474736175133797</v>
      </c>
      <c r="P345">
        <v>1.8060062466217872E-2</v>
      </c>
      <c r="Q345">
        <v>8.6215058946761491E-4</v>
      </c>
      <c r="R345">
        <v>1.3488759331814644E-3</v>
      </c>
      <c r="S345">
        <v>9.9168730035862768E-2</v>
      </c>
      <c r="T345">
        <v>1.0264381078571854</v>
      </c>
      <c r="U345">
        <v>0</v>
      </c>
      <c r="V345">
        <v>0.2062905309799335</v>
      </c>
      <c r="W345">
        <v>8.0160689498179227E-2</v>
      </c>
      <c r="X345">
        <v>2.8779203923005182E-2</v>
      </c>
      <c r="Y345">
        <v>3.6711956332880764E-3</v>
      </c>
    </row>
    <row r="346" spans="1:25" x14ac:dyDescent="0.25">
      <c r="A346" s="1095"/>
      <c r="B346" s="1454">
        <v>96</v>
      </c>
      <c r="C346" s="1099">
        <v>0.99680518506649651</v>
      </c>
      <c r="D346" s="1099">
        <v>1.0125605727990425</v>
      </c>
      <c r="E346" s="1099">
        <v>0.97264834295647273</v>
      </c>
      <c r="F346" s="1099">
        <v>0.9789401541723578</v>
      </c>
      <c r="G346" s="1099">
        <v>1.0298001561487584</v>
      </c>
      <c r="H346" s="1099">
        <v>0.98943196338840744</v>
      </c>
      <c r="I346" s="1099">
        <v>0.98950670562836074</v>
      </c>
      <c r="K346">
        <v>1.7030478999655634</v>
      </c>
      <c r="L346">
        <v>0</v>
      </c>
      <c r="M346">
        <v>1.4309998019327848E-3</v>
      </c>
      <c r="N346">
        <v>0.12117976105205201</v>
      </c>
      <c r="O346">
        <v>0.12538418141226637</v>
      </c>
      <c r="P346">
        <v>1.7703791743909101E-2</v>
      </c>
      <c r="Q346">
        <v>8.7191889743310717E-4</v>
      </c>
      <c r="R346">
        <v>1.4272529052188655E-3</v>
      </c>
      <c r="S346">
        <v>0.10543831812437435</v>
      </c>
      <c r="T346">
        <v>1.0101482536337045</v>
      </c>
      <c r="U346">
        <v>0</v>
      </c>
      <c r="V346">
        <v>0.20936399176669226</v>
      </c>
      <c r="W346">
        <v>8.092588836286134E-2</v>
      </c>
      <c r="X346">
        <v>2.8151029954772196E-2</v>
      </c>
      <c r="Y346">
        <v>3.8845119142119941E-3</v>
      </c>
    </row>
    <row r="347" spans="1:25" x14ac:dyDescent="0.25">
      <c r="A347" s="1095"/>
      <c r="B347" s="1454">
        <v>97</v>
      </c>
      <c r="C347" s="1099">
        <v>0.97990350046609831</v>
      </c>
      <c r="D347" s="1099">
        <v>1.0115316414803144</v>
      </c>
      <c r="E347" s="1099">
        <v>1.0079429187869611</v>
      </c>
      <c r="F347" s="1099">
        <v>0.9645519477004979</v>
      </c>
      <c r="G347" s="1099">
        <v>1.0223578364630113</v>
      </c>
      <c r="H347" s="1099">
        <v>1.0383378475683027</v>
      </c>
      <c r="I347" s="1099">
        <v>1.0046535870078837</v>
      </c>
      <c r="K347">
        <v>1.7148592501621676</v>
      </c>
      <c r="L347">
        <v>0</v>
      </c>
      <c r="M347">
        <v>1.4168792428331219E-3</v>
      </c>
      <c r="N347">
        <v>0.13351105559922954</v>
      </c>
      <c r="O347">
        <v>0.12532731610114489</v>
      </c>
      <c r="P347">
        <v>1.8063046264258961E-2</v>
      </c>
      <c r="Q347">
        <v>9.2056598012485143E-4</v>
      </c>
      <c r="R347">
        <v>1.4133349600563472E-3</v>
      </c>
      <c r="S347">
        <v>0.11229874473669432</v>
      </c>
      <c r="T347">
        <v>0.99427949085659018</v>
      </c>
      <c r="U347">
        <v>0</v>
      </c>
      <c r="V347">
        <v>0.20981962153149958</v>
      </c>
      <c r="W347">
        <v>8.7295898516092998E-2</v>
      </c>
      <c r="X347">
        <v>2.9500423003780567E-2</v>
      </c>
      <c r="Y347">
        <v>3.8466318555290088E-3</v>
      </c>
    </row>
    <row r="348" spans="1:25" x14ac:dyDescent="0.25">
      <c r="A348" s="1095"/>
      <c r="B348" s="1454">
        <v>98</v>
      </c>
      <c r="C348" s="1099">
        <v>1.0267205561024939</v>
      </c>
      <c r="D348" s="1099">
        <v>0.99870655517417695</v>
      </c>
      <c r="E348" s="1099">
        <v>1.0200526891574757</v>
      </c>
      <c r="F348" s="1099">
        <v>1.0246857388859234</v>
      </c>
      <c r="G348" s="1099">
        <v>1.0126351503811435</v>
      </c>
      <c r="H348" s="1099">
        <v>1.0010590340560905</v>
      </c>
      <c r="I348" s="1099">
        <v>1.0233218531634236</v>
      </c>
      <c r="K348">
        <v>1.763499941646903</v>
      </c>
      <c r="L348">
        <v>0</v>
      </c>
      <c r="M348">
        <v>1.2925928594731044E-3</v>
      </c>
      <c r="N348">
        <v>0.12632560180911881</v>
      </c>
      <c r="O348">
        <v>0.12812856054871813</v>
      </c>
      <c r="P348">
        <v>1.9008221704282104E-2</v>
      </c>
      <c r="Q348">
        <v>8.941594083907914E-4</v>
      </c>
      <c r="R348">
        <v>1.2892774027410006E-3</v>
      </c>
      <c r="S348">
        <v>0.1081019549576458</v>
      </c>
      <c r="T348">
        <v>1.0559028933634542</v>
      </c>
      <c r="U348">
        <v>0</v>
      </c>
      <c r="V348">
        <v>0.20898254050891613</v>
      </c>
      <c r="W348">
        <v>8.2011827869776469E-2</v>
      </c>
      <c r="X348">
        <v>3.0638508853254934E-2</v>
      </c>
      <c r="Y348">
        <v>3.5089880800794142E-3</v>
      </c>
    </row>
    <row r="349" spans="1:25" x14ac:dyDescent="0.25">
      <c r="A349" s="1095"/>
      <c r="B349" s="1454">
        <v>99</v>
      </c>
      <c r="C349" s="1099">
        <v>1.0064141771895116</v>
      </c>
      <c r="D349" s="1099">
        <v>1.033421661006275</v>
      </c>
      <c r="E349" s="1099">
        <v>0.99059531588586514</v>
      </c>
      <c r="F349" s="1099">
        <v>0.99216287760480137</v>
      </c>
      <c r="G349" s="1099">
        <v>0.98918411030646403</v>
      </c>
      <c r="H349" s="1099">
        <v>1.0080769970476819</v>
      </c>
      <c r="I349" s="1099">
        <v>1.0379274475493201</v>
      </c>
      <c r="K349">
        <v>1.7207959399072812</v>
      </c>
      <c r="L349">
        <v>0</v>
      </c>
      <c r="M349">
        <v>1.377488413528431E-3</v>
      </c>
      <c r="N349">
        <v>0.12316219686192534</v>
      </c>
      <c r="O349">
        <v>0.12504655372701157</v>
      </c>
      <c r="P349">
        <v>1.8145398079414728E-2</v>
      </c>
      <c r="Q349">
        <v>8.7282647528416505E-4</v>
      </c>
      <c r="R349">
        <v>1.3739415731936825E-3</v>
      </c>
      <c r="S349">
        <v>0.10965454232431146</v>
      </c>
      <c r="T349">
        <v>1.0232534168456082</v>
      </c>
      <c r="U349">
        <v>0</v>
      </c>
      <c r="V349">
        <v>0.20673336360312169</v>
      </c>
      <c r="W349">
        <v>8.136440321593609E-2</v>
      </c>
      <c r="X349">
        <v>2.8827369572486373E-2</v>
      </c>
      <c r="Y349">
        <v>3.7394160425153256E-3</v>
      </c>
    </row>
    <row r="350" spans="1:25" x14ac:dyDescent="0.25">
      <c r="A350" s="1095"/>
      <c r="B350" s="1454">
        <v>100</v>
      </c>
      <c r="C350" s="1099">
        <v>1.0096779225024664</v>
      </c>
      <c r="D350" s="1099">
        <v>1.0232951165272897</v>
      </c>
      <c r="E350" s="1099">
        <v>0.99812781428184116</v>
      </c>
      <c r="F350" s="1099">
        <v>1.008641984259746</v>
      </c>
      <c r="G350" s="1099">
        <v>0.99815455513317219</v>
      </c>
      <c r="H350" s="1099">
        <v>1.0090550822664777</v>
      </c>
      <c r="I350" s="1099">
        <v>1.0160168110679253</v>
      </c>
      <c r="K350">
        <v>1.7417199332728661</v>
      </c>
      <c r="L350">
        <v>0</v>
      </c>
      <c r="M350">
        <v>1.3631949107071229E-3</v>
      </c>
      <c r="N350">
        <v>0.12469237690638919</v>
      </c>
      <c r="O350">
        <v>0.12659059424562785</v>
      </c>
      <c r="P350">
        <v>1.8469924004626749E-2</v>
      </c>
      <c r="Q350">
        <v>8.8030749255457795E-4</v>
      </c>
      <c r="R350">
        <v>1.3597005605241212E-3</v>
      </c>
      <c r="S350">
        <v>0.10784167843868527</v>
      </c>
      <c r="T350">
        <v>1.040021785620691</v>
      </c>
      <c r="U350">
        <v>0</v>
      </c>
      <c r="V350">
        <v>0.20806031366073921</v>
      </c>
      <c r="W350">
        <v>8.2005681547255183E-2</v>
      </c>
      <c r="X350">
        <v>2.9460109005900917E-2</v>
      </c>
      <c r="Y350">
        <v>3.7006567005773428E-3</v>
      </c>
    </row>
    <row r="351" spans="1:25" x14ac:dyDescent="0.25">
      <c r="A351" s="1095"/>
      <c r="B351" s="1454">
        <v>101</v>
      </c>
      <c r="C351" s="1099">
        <v>1.0020431823519182</v>
      </c>
      <c r="D351" s="1099">
        <v>0.99431539830254145</v>
      </c>
      <c r="E351" s="1099">
        <v>1.003839342677955</v>
      </c>
      <c r="F351" s="1099">
        <v>1.0265883315529114</v>
      </c>
      <c r="G351" s="1099">
        <v>1.0291630833566798</v>
      </c>
      <c r="H351" s="1099">
        <v>1.0170435194269387</v>
      </c>
      <c r="I351" s="1099">
        <v>0.99756085036677711</v>
      </c>
      <c r="K351">
        <v>1.7777799970222601</v>
      </c>
      <c r="L351">
        <v>0</v>
      </c>
      <c r="M351">
        <v>1.3928071699316512E-3</v>
      </c>
      <c r="N351">
        <v>0.12962306317248562</v>
      </c>
      <c r="O351">
        <v>0.12968199311814346</v>
      </c>
      <c r="P351">
        <v>1.8872559276462263E-2</v>
      </c>
      <c r="Q351">
        <v>9.0259297396957569E-4</v>
      </c>
      <c r="R351">
        <v>1.3892874551480134E-3</v>
      </c>
      <c r="S351">
        <v>0.10923489165582408</v>
      </c>
      <c r="T351">
        <v>1.0583523316680621</v>
      </c>
      <c r="U351">
        <v>0</v>
      </c>
      <c r="V351">
        <v>0.21200997240803432</v>
      </c>
      <c r="W351">
        <v>8.4959744382867269E-2</v>
      </c>
      <c r="X351">
        <v>3.0365185606767937E-2</v>
      </c>
      <c r="Y351">
        <v>3.7811824744263863E-3</v>
      </c>
    </row>
    <row r="352" spans="1:25" x14ac:dyDescent="0.25">
      <c r="A352" s="1095"/>
      <c r="B352" s="1454">
        <v>102</v>
      </c>
      <c r="C352" s="1099">
        <v>1.0219231799128667</v>
      </c>
      <c r="D352" s="1099">
        <v>0.95761470586637953</v>
      </c>
      <c r="E352" s="1099">
        <v>0.9865729955264857</v>
      </c>
      <c r="F352" s="1099">
        <v>1.0075090877513664</v>
      </c>
      <c r="G352" s="1099">
        <v>0.988754800941684</v>
      </c>
      <c r="H352" s="1099">
        <v>0.98427855527330488</v>
      </c>
      <c r="I352" s="1099">
        <v>0.99652411316093759</v>
      </c>
      <c r="K352">
        <v>1.7418140065865355</v>
      </c>
      <c r="L352">
        <v>0</v>
      </c>
      <c r="M352">
        <v>1.400644918365053E-3</v>
      </c>
      <c r="N352">
        <v>0.1237165282205781</v>
      </c>
      <c r="O352">
        <v>0.12888106557218246</v>
      </c>
      <c r="P352">
        <v>1.8296400644344464E-2</v>
      </c>
      <c r="Q352">
        <v>8.8246781896838601E-4</v>
      </c>
      <c r="R352">
        <v>1.3970137037689777E-3</v>
      </c>
      <c r="S352">
        <v>0.10719234345146464</v>
      </c>
      <c r="T352">
        <v>1.0392023659277632</v>
      </c>
      <c r="U352">
        <v>0</v>
      </c>
      <c r="V352">
        <v>0.2084985090351584</v>
      </c>
      <c r="W352">
        <v>8.1928008170776889E-2</v>
      </c>
      <c r="X352">
        <v>2.9417738183680681E-2</v>
      </c>
      <c r="Y352">
        <v>3.8022107762154798E-3</v>
      </c>
    </row>
    <row r="353" spans="1:25" x14ac:dyDescent="0.25">
      <c r="A353" s="1095"/>
      <c r="B353" s="1454">
        <v>103</v>
      </c>
      <c r="C353" s="1099">
        <v>1.0217978308181281</v>
      </c>
      <c r="D353" s="1099">
        <v>0.99574568287843401</v>
      </c>
      <c r="E353" s="1099">
        <v>1.010377324060922</v>
      </c>
      <c r="F353" s="1099">
        <v>0.96667672200387667</v>
      </c>
      <c r="G353" s="1099">
        <v>0.9616808122680901</v>
      </c>
      <c r="H353" s="1099">
        <v>0.98063624227631652</v>
      </c>
      <c r="I353" s="1099">
        <v>0.95282255050946907</v>
      </c>
      <c r="K353">
        <v>1.6784569284631057</v>
      </c>
      <c r="L353">
        <v>0</v>
      </c>
      <c r="M353">
        <v>1.293467461215332E-3</v>
      </c>
      <c r="N353">
        <v>0.12276526696814896</v>
      </c>
      <c r="O353">
        <v>0.12408960462642078</v>
      </c>
      <c r="P353">
        <v>1.7869860243910289E-2</v>
      </c>
      <c r="Q353">
        <v>8.9062832065315168E-4</v>
      </c>
      <c r="R353">
        <v>1.2900642966091936E-3</v>
      </c>
      <c r="S353">
        <v>9.9624099203886457E-2</v>
      </c>
      <c r="T353">
        <v>0.99640043556702451</v>
      </c>
      <c r="U353">
        <v>0</v>
      </c>
      <c r="V353">
        <v>0.20395891435376209</v>
      </c>
      <c r="W353">
        <v>8.0154567517642453E-2</v>
      </c>
      <c r="X353">
        <v>2.9195825080472373E-2</v>
      </c>
      <c r="Y353">
        <v>3.5111297457891409E-3</v>
      </c>
    </row>
    <row r="354" spans="1:25" x14ac:dyDescent="0.25">
      <c r="A354" s="1095"/>
      <c r="B354" s="1454">
        <v>104</v>
      </c>
      <c r="C354" s="1099">
        <v>1.0274231768370581</v>
      </c>
      <c r="D354" s="1099">
        <v>0.99536355764870033</v>
      </c>
      <c r="E354" s="1099">
        <v>0.98148076932256156</v>
      </c>
      <c r="F354" s="1099">
        <v>0.98581422078756531</v>
      </c>
      <c r="G354" s="1099">
        <v>1.0096404379517123</v>
      </c>
      <c r="H354" s="1099">
        <v>0.99951950773921183</v>
      </c>
      <c r="I354" s="1099">
        <v>0.96906845672246089</v>
      </c>
      <c r="K354">
        <v>1.7039582675042428</v>
      </c>
      <c r="L354">
        <v>0</v>
      </c>
      <c r="M354">
        <v>1.3954329098825938E-3</v>
      </c>
      <c r="N354">
        <v>0.12137428418250885</v>
      </c>
      <c r="O354">
        <v>0.12517323593460522</v>
      </c>
      <c r="P354">
        <v>1.7835584224954428E-2</v>
      </c>
      <c r="Q354">
        <v>8.5968398593873232E-4</v>
      </c>
      <c r="R354">
        <v>1.3918388912182336E-3</v>
      </c>
      <c r="S354">
        <v>0.10213408145300495</v>
      </c>
      <c r="T354">
        <v>1.0169766628291219</v>
      </c>
      <c r="U354">
        <v>0</v>
      </c>
      <c r="V354">
        <v>0.20675785539257019</v>
      </c>
      <c r="W354">
        <v>8.0623653049001182E-2</v>
      </c>
      <c r="X354">
        <v>2.8438693828869717E-2</v>
      </c>
      <c r="Y354">
        <v>3.7881266423288522E-3</v>
      </c>
    </row>
    <row r="355" spans="1:25" x14ac:dyDescent="0.25">
      <c r="A355" s="1095"/>
      <c r="B355" s="1454">
        <v>105</v>
      </c>
      <c r="C355" s="1099">
        <v>1.0274795743618217</v>
      </c>
      <c r="D355" s="1099">
        <v>0.98616648224767722</v>
      </c>
      <c r="E355" s="1099">
        <v>1.0014118278988728</v>
      </c>
      <c r="F355" s="1099">
        <v>0.99145821061771322</v>
      </c>
      <c r="G355" s="1099">
        <v>1.0002153614138811</v>
      </c>
      <c r="H355" s="1099">
        <v>0.98395183546496923</v>
      </c>
      <c r="I355" s="1099">
        <v>0.97678203590214208</v>
      </c>
      <c r="K355">
        <v>1.7126966915056296</v>
      </c>
      <c r="L355">
        <v>0</v>
      </c>
      <c r="M355">
        <v>1.3259610865050384E-3</v>
      </c>
      <c r="N355">
        <v>0.12249017600217066</v>
      </c>
      <c r="O355">
        <v>0.12609502791038246</v>
      </c>
      <c r="P355">
        <v>1.8184243356920007E-2</v>
      </c>
      <c r="Q355">
        <v>8.8093371048363392E-4</v>
      </c>
      <c r="R355">
        <v>1.3224997962172542E-3</v>
      </c>
      <c r="S355">
        <v>0.10255660213720254</v>
      </c>
      <c r="T355">
        <v>1.0222065965327989</v>
      </c>
      <c r="U355">
        <v>0</v>
      </c>
      <c r="V355">
        <v>0.20692162173256828</v>
      </c>
      <c r="W355">
        <v>8.04002632395492E-2</v>
      </c>
      <c r="X355">
        <v>2.9365279690476667E-2</v>
      </c>
      <c r="Y355">
        <v>3.5994084833627111E-3</v>
      </c>
    </row>
    <row r="356" spans="1:25" x14ac:dyDescent="0.25">
      <c r="A356" s="1095"/>
      <c r="B356" s="1454">
        <v>106</v>
      </c>
      <c r="C356" s="1099">
        <v>0.97638570317223006</v>
      </c>
      <c r="D356" s="1099">
        <v>1.0349170265971068</v>
      </c>
      <c r="E356" s="1099">
        <v>1.0325883695636802</v>
      </c>
      <c r="F356" s="1099">
        <v>0.99488941591506264</v>
      </c>
      <c r="G356" s="1099">
        <v>0.99778749314405368</v>
      </c>
      <c r="H356" s="1099">
        <v>0.97440129294289257</v>
      </c>
      <c r="I356" s="1099">
        <v>1.0206974673128952</v>
      </c>
      <c r="K356">
        <v>1.7333719712667708</v>
      </c>
      <c r="L356">
        <v>0</v>
      </c>
      <c r="M356">
        <v>1.2538869097874882E-3</v>
      </c>
      <c r="N356">
        <v>0.12725016083111296</v>
      </c>
      <c r="O356">
        <v>0.12690646019903928</v>
      </c>
      <c r="P356">
        <v>1.8768336727641326E-2</v>
      </c>
      <c r="Q356">
        <v>9.3891222011713402E-4</v>
      </c>
      <c r="R356">
        <v>1.2505384204262616E-3</v>
      </c>
      <c r="S356">
        <v>0.10856097518070607</v>
      </c>
      <c r="T356">
        <v>1.024837808061408</v>
      </c>
      <c r="U356">
        <v>0</v>
      </c>
      <c r="V356">
        <v>0.20992930866052456</v>
      </c>
      <c r="W356">
        <v>8.2011373748165958E-2</v>
      </c>
      <c r="X356">
        <v>3.0768430786894677E-2</v>
      </c>
      <c r="Y356">
        <v>3.4035533405207831E-3</v>
      </c>
    </row>
    <row r="357" spans="1:25" x14ac:dyDescent="0.25">
      <c r="A357" s="1095"/>
      <c r="B357" s="1454">
        <v>107</v>
      </c>
      <c r="C357" s="1099">
        <v>1.0071215541887613</v>
      </c>
      <c r="D357" s="1099">
        <v>1.0042492396681781</v>
      </c>
      <c r="E357" s="1099">
        <v>0.98900116838182606</v>
      </c>
      <c r="F357" s="1099">
        <v>1.0047188682780359</v>
      </c>
      <c r="G357" s="1099">
        <v>0.96735441342136919</v>
      </c>
      <c r="H357" s="1099">
        <v>1.0028169651895025</v>
      </c>
      <c r="I357" s="1099">
        <v>1.0026816407216876</v>
      </c>
      <c r="K357">
        <v>1.7370114064928448</v>
      </c>
      <c r="L357">
        <v>0</v>
      </c>
      <c r="M357">
        <v>1.3988382897726968E-3</v>
      </c>
      <c r="N357">
        <v>0.1244701537738425</v>
      </c>
      <c r="O357">
        <v>0.12725080757158316</v>
      </c>
      <c r="P357">
        <v>1.8274874878607891E-2</v>
      </c>
      <c r="Q357">
        <v>8.8079625195465309E-4</v>
      </c>
      <c r="R357">
        <v>1.3952412542379089E-3</v>
      </c>
      <c r="S357">
        <v>0.10745742599496273</v>
      </c>
      <c r="T357">
        <v>1.0362509633300656</v>
      </c>
      <c r="U357">
        <v>0</v>
      </c>
      <c r="V357">
        <v>0.20711469048719519</v>
      </c>
      <c r="W357">
        <v>8.2307053797073246E-2</v>
      </c>
      <c r="X357">
        <v>2.9210850690214191E-2</v>
      </c>
      <c r="Y357">
        <v>3.7973867528797419E-3</v>
      </c>
    </row>
    <row r="358" spans="1:25" x14ac:dyDescent="0.25">
      <c r="A358" s="1095"/>
      <c r="B358" s="1454">
        <v>108</v>
      </c>
      <c r="C358" s="1099">
        <v>1.0041108294245908</v>
      </c>
      <c r="D358" s="1099">
        <v>0.95813610244819503</v>
      </c>
      <c r="E358" s="1099">
        <v>0.99735058834062329</v>
      </c>
      <c r="F358" s="1099">
        <v>0.9861024862040455</v>
      </c>
      <c r="G358" s="1099">
        <v>1.0122777379719918</v>
      </c>
      <c r="H358" s="1099">
        <v>0.98471018790101861</v>
      </c>
      <c r="I358" s="1099">
        <v>1.0036069294278387</v>
      </c>
      <c r="K358">
        <v>1.7273134145621503</v>
      </c>
      <c r="L358">
        <v>0</v>
      </c>
      <c r="M358">
        <v>1.3893752300686176E-3</v>
      </c>
      <c r="N358">
        <v>0.12678425004342395</v>
      </c>
      <c r="O358">
        <v>0.12816266190682343</v>
      </c>
      <c r="P358">
        <v>1.8194036157056719E-2</v>
      </c>
      <c r="Q358">
        <v>9.0806031496037476E-4</v>
      </c>
      <c r="R358">
        <v>1.385761988160555E-3</v>
      </c>
      <c r="S358">
        <v>0.10963868561893728</v>
      </c>
      <c r="T358">
        <v>1.0168038975962641</v>
      </c>
      <c r="U358">
        <v>0</v>
      </c>
      <c r="V358">
        <v>0.20999903305668513</v>
      </c>
      <c r="W358">
        <v>8.342002612256795E-2</v>
      </c>
      <c r="X358">
        <v>2.963478967188303E-2</v>
      </c>
      <c r="Y358">
        <v>3.7715873154564065E-3</v>
      </c>
    </row>
    <row r="359" spans="1:25" x14ac:dyDescent="0.25">
      <c r="A359" s="1095"/>
      <c r="B359" s="1454">
        <v>109</v>
      </c>
      <c r="C359" s="1099">
        <v>1.0135475028530772</v>
      </c>
      <c r="D359" s="1099">
        <v>0.97327097305458343</v>
      </c>
      <c r="E359" s="1099">
        <v>0.98494661318813548</v>
      </c>
      <c r="F359" s="1099">
        <v>0.97805397081762724</v>
      </c>
      <c r="G359" s="1099">
        <v>1.0096700149884144</v>
      </c>
      <c r="H359" s="1099">
        <v>0.9860812301457238</v>
      </c>
      <c r="I359" s="1099">
        <v>1.0077296053677012</v>
      </c>
      <c r="K359">
        <v>1.7075627623330061</v>
      </c>
      <c r="L359">
        <v>0</v>
      </c>
      <c r="M359">
        <v>1.4013827964514088E-3</v>
      </c>
      <c r="N359">
        <v>0.12317287123738903</v>
      </c>
      <c r="O359">
        <v>0.12629783996758623</v>
      </c>
      <c r="P359">
        <v>1.7872399408377107E-2</v>
      </c>
      <c r="Q359">
        <v>8.8250651527936326E-4</v>
      </c>
      <c r="R359">
        <v>1.3977329823323232E-3</v>
      </c>
      <c r="S359">
        <v>0.10809429326084027</v>
      </c>
      <c r="T359">
        <v>1.0088686393081192</v>
      </c>
      <c r="U359">
        <v>0</v>
      </c>
      <c r="V359">
        <v>0.20815509658216735</v>
      </c>
      <c r="W359">
        <v>8.1647763646423357E-2</v>
      </c>
      <c r="X359">
        <v>2.877083380559001E-2</v>
      </c>
      <c r="Y359">
        <v>3.8041684153547906E-3</v>
      </c>
    </row>
    <row r="360" spans="1:25" x14ac:dyDescent="0.25">
      <c r="A360" s="1095"/>
      <c r="B360" s="1454">
        <v>110</v>
      </c>
      <c r="C360" s="1099">
        <v>1.0005652373401985</v>
      </c>
      <c r="D360" s="1099">
        <v>0.98281408849570084</v>
      </c>
      <c r="E360" s="1099">
        <v>1.0102385934028073</v>
      </c>
      <c r="F360" s="1099">
        <v>0.99910461207565004</v>
      </c>
      <c r="G360" s="1099">
        <v>1.0257881601628716</v>
      </c>
      <c r="H360" s="1099">
        <v>0.98729904092383247</v>
      </c>
      <c r="I360" s="1099">
        <v>0.96470202305564867</v>
      </c>
      <c r="K360">
        <v>1.7370240534921362</v>
      </c>
      <c r="L360">
        <v>0</v>
      </c>
      <c r="M360">
        <v>1.3420530297755784E-3</v>
      </c>
      <c r="N360">
        <v>0.12732673328491609</v>
      </c>
      <c r="O360">
        <v>0.12823404601175187</v>
      </c>
      <c r="P360">
        <v>1.8488235584773655E-2</v>
      </c>
      <c r="Q360">
        <v>9.1416536871573556E-4</v>
      </c>
      <c r="R360">
        <v>1.3385584213386817E-3</v>
      </c>
      <c r="S360">
        <v>0.104370425382938</v>
      </c>
      <c r="T360">
        <v>1.0298295076222661</v>
      </c>
      <c r="U360">
        <v>0</v>
      </c>
      <c r="V360">
        <v>0.21090601714952903</v>
      </c>
      <c r="W360">
        <v>8.3139590067904612E-2</v>
      </c>
      <c r="X360">
        <v>3.0175712860558708E-2</v>
      </c>
      <c r="Y360">
        <v>3.6431147672188868E-3</v>
      </c>
    </row>
    <row r="361" spans="1:25" x14ac:dyDescent="0.25">
      <c r="A361" s="1095"/>
      <c r="B361" s="1454">
        <v>111</v>
      </c>
      <c r="C361" s="1099">
        <v>1.0205493278187932</v>
      </c>
      <c r="D361" s="1099">
        <v>1.0240414528691837</v>
      </c>
      <c r="E361" s="1099">
        <v>1.01316499978789</v>
      </c>
      <c r="F361" s="1099">
        <v>1.0380468417234581</v>
      </c>
      <c r="G361" s="1099">
        <v>0.98527288817658132</v>
      </c>
      <c r="H361" s="1099">
        <v>0.988551976133901</v>
      </c>
      <c r="I361" s="1099">
        <v>0.97988267760479564</v>
      </c>
      <c r="K361">
        <v>1.7647314039642497</v>
      </c>
      <c r="L361">
        <v>0</v>
      </c>
      <c r="M361">
        <v>1.2841801713428603E-3</v>
      </c>
      <c r="N361">
        <v>0.12291652827082294</v>
      </c>
      <c r="O361">
        <v>0.12824158172236869</v>
      </c>
      <c r="P361">
        <v>1.9004353950637286E-2</v>
      </c>
      <c r="Q361">
        <v>8.8431548616984147E-4</v>
      </c>
      <c r="R361">
        <v>1.2808302822332439E-3</v>
      </c>
      <c r="S361">
        <v>0.10172675287012076</v>
      </c>
      <c r="T361">
        <v>1.0698800586032793</v>
      </c>
      <c r="U361">
        <v>0</v>
      </c>
      <c r="V361">
        <v>0.20807294745390084</v>
      </c>
      <c r="W361">
        <v>8.0121696886966187E-2</v>
      </c>
      <c r="X361">
        <v>3.0400520806444422E-2</v>
      </c>
      <c r="Y361">
        <v>3.4859978026498262E-3</v>
      </c>
    </row>
    <row r="362" spans="1:25" x14ac:dyDescent="0.25">
      <c r="A362" s="1095"/>
      <c r="B362" s="1454">
        <v>112</v>
      </c>
      <c r="C362" s="1099">
        <v>0.96545431161068185</v>
      </c>
      <c r="D362" s="1099">
        <v>0.96307265760431082</v>
      </c>
      <c r="E362" s="1099">
        <v>0.99747533148103351</v>
      </c>
      <c r="F362" s="1099">
        <v>1.0132552487516271</v>
      </c>
      <c r="G362" s="1099">
        <v>1.0003399917642699</v>
      </c>
      <c r="H362" s="1099">
        <v>0.97443225672414491</v>
      </c>
      <c r="I362" s="1099">
        <v>0.97033601329772246</v>
      </c>
      <c r="K362">
        <v>1.7695110315574465</v>
      </c>
      <c r="L362">
        <v>0</v>
      </c>
      <c r="M362">
        <v>1.4238892177935434E-3</v>
      </c>
      <c r="N362">
        <v>0.12997850119464485</v>
      </c>
      <c r="O362">
        <v>0.13210222266932728</v>
      </c>
      <c r="P362">
        <v>1.8625134106928419E-2</v>
      </c>
      <c r="Q362">
        <v>9.4260150313028531E-4</v>
      </c>
      <c r="R362">
        <v>1.4201399894368466E-3</v>
      </c>
      <c r="S362">
        <v>0.10909560811513688</v>
      </c>
      <c r="T362">
        <v>1.0447982697936284</v>
      </c>
      <c r="U362">
        <v>0</v>
      </c>
      <c r="V362">
        <v>0.21408859880837175</v>
      </c>
      <c r="W362">
        <v>8.5515388985534499E-2</v>
      </c>
      <c r="X362">
        <v>3.0503302706875089E-2</v>
      </c>
      <c r="Y362">
        <v>3.8651529022253974E-3</v>
      </c>
    </row>
    <row r="363" spans="1:25" x14ac:dyDescent="0.25">
      <c r="A363" s="1095"/>
      <c r="B363" s="1454">
        <v>113</v>
      </c>
      <c r="C363" s="1099">
        <v>0.96089770988251477</v>
      </c>
      <c r="D363" s="1099">
        <v>1.0121562943316482</v>
      </c>
      <c r="E363" s="1099">
        <v>0.99158194158128865</v>
      </c>
      <c r="F363" s="1099">
        <v>0.98332824193746238</v>
      </c>
      <c r="G363" s="1099">
        <v>0.97376754795822218</v>
      </c>
      <c r="H363" s="1099">
        <v>0.96610582665404088</v>
      </c>
      <c r="I363" s="1099">
        <v>1.0224389960464766</v>
      </c>
      <c r="K363">
        <v>1.7221614486869383</v>
      </c>
      <c r="L363">
        <v>0</v>
      </c>
      <c r="M363">
        <v>1.3903591195707395E-3</v>
      </c>
      <c r="N363">
        <v>0.12467009729095133</v>
      </c>
      <c r="O363">
        <v>0.12769374979829254</v>
      </c>
      <c r="P363">
        <v>1.8100954619206931E-2</v>
      </c>
      <c r="Q363">
        <v>9.2275384608401557E-4</v>
      </c>
      <c r="R363">
        <v>1.3866208928015834E-3</v>
      </c>
      <c r="S363">
        <v>0.1111702185486895</v>
      </c>
      <c r="T363">
        <v>1.0141128399306347</v>
      </c>
      <c r="U363">
        <v>0</v>
      </c>
      <c r="V363">
        <v>0.21008246041444589</v>
      </c>
      <c r="W363">
        <v>8.2311941693611071E-2</v>
      </c>
      <c r="X363">
        <v>2.9326245801038001E-2</v>
      </c>
      <c r="Y363">
        <v>3.7739249707514455E-3</v>
      </c>
    </row>
    <row r="364" spans="1:25" x14ac:dyDescent="0.25">
      <c r="A364" s="1095"/>
      <c r="B364" s="1454">
        <v>114</v>
      </c>
      <c r="C364" s="1099">
        <v>0.99403183694692032</v>
      </c>
      <c r="D364" s="1099">
        <v>0.99428009007798335</v>
      </c>
      <c r="E364" s="1099">
        <v>0.98568663287076974</v>
      </c>
      <c r="F364" s="1099">
        <v>0.99066749893363482</v>
      </c>
      <c r="G364" s="1099">
        <v>0.97015078936201249</v>
      </c>
      <c r="H364" s="1099">
        <v>0.98070146265652813</v>
      </c>
      <c r="I364" s="1099">
        <v>0.96682632875876395</v>
      </c>
      <c r="K364">
        <v>1.7178298170104718</v>
      </c>
      <c r="L364">
        <v>0</v>
      </c>
      <c r="M364">
        <v>1.4005115192903443E-3</v>
      </c>
      <c r="N364">
        <v>0.12336887608328254</v>
      </c>
      <c r="O364">
        <v>0.12729503653322122</v>
      </c>
      <c r="P364">
        <v>1.7998443153223596E-2</v>
      </c>
      <c r="Q364">
        <v>8.9286866645230502E-4</v>
      </c>
      <c r="R364">
        <v>1.3968273510756842E-3</v>
      </c>
      <c r="S364">
        <v>0.10395814735501796</v>
      </c>
      <c r="T364">
        <v>1.0218574562878688</v>
      </c>
      <c r="U364">
        <v>0</v>
      </c>
      <c r="V364">
        <v>0.20790510393509759</v>
      </c>
      <c r="W364">
        <v>8.1741309680210025E-2</v>
      </c>
      <c r="X364">
        <v>2.9014555898694127E-2</v>
      </c>
      <c r="Y364">
        <v>3.8017035856154823E-3</v>
      </c>
    </row>
    <row r="365" spans="1:25" x14ac:dyDescent="0.25">
      <c r="A365" s="1095"/>
      <c r="B365" s="1454">
        <v>115</v>
      </c>
      <c r="C365" s="1099">
        <v>1.0197627288564259</v>
      </c>
      <c r="D365" s="1099">
        <v>0.96398795948818772</v>
      </c>
      <c r="E365" s="1099">
        <v>0.99729012871835754</v>
      </c>
      <c r="F365" s="1099">
        <v>1.0100329136560269</v>
      </c>
      <c r="G365" s="1099">
        <v>1.0102722839011165</v>
      </c>
      <c r="H365" s="1099">
        <v>0.99276561111025385</v>
      </c>
      <c r="I365" s="1099">
        <v>0.97887428200594528</v>
      </c>
      <c r="K365">
        <v>1.7473652478853294</v>
      </c>
      <c r="L365">
        <v>0</v>
      </c>
      <c r="M365">
        <v>1.3792750193371986E-3</v>
      </c>
      <c r="N365">
        <v>0.12584300702141069</v>
      </c>
      <c r="O365">
        <v>0.12891990079691007</v>
      </c>
      <c r="P365">
        <v>1.8470919990316876E-2</v>
      </c>
      <c r="Q365">
        <v>8.9189183399119556E-4</v>
      </c>
      <c r="R365">
        <v>1.3757254453272316E-3</v>
      </c>
      <c r="S365">
        <v>0.10568831055515797</v>
      </c>
      <c r="T365">
        <v>1.0414811975029861</v>
      </c>
      <c r="U365">
        <v>0</v>
      </c>
      <c r="V365">
        <v>0.20967722456613186</v>
      </c>
      <c r="W365">
        <v>8.2803699695492589E-2</v>
      </c>
      <c r="X365">
        <v>2.984837434253175E-2</v>
      </c>
      <c r="Y365">
        <v>3.7442711544095559E-3</v>
      </c>
    </row>
    <row r="366" spans="1:25" x14ac:dyDescent="0.25">
      <c r="A366" s="1095"/>
      <c r="B366" s="1454">
        <v>116</v>
      </c>
      <c r="C366" s="1099">
        <v>0.98361347556111067</v>
      </c>
      <c r="D366" s="1099">
        <v>0.99328767246981986</v>
      </c>
      <c r="E366" s="1099">
        <v>0.99250203733328501</v>
      </c>
      <c r="F366" s="1099">
        <v>0.9726458529460652</v>
      </c>
      <c r="G366" s="1099">
        <v>0.97317284177267849</v>
      </c>
      <c r="H366" s="1099">
        <v>0.98029662605002266</v>
      </c>
      <c r="I366" s="1099">
        <v>0.97097429963384563</v>
      </c>
      <c r="K366">
        <v>1.7024410118408166</v>
      </c>
      <c r="L366">
        <v>0</v>
      </c>
      <c r="M366">
        <v>1.3922227642912482E-3</v>
      </c>
      <c r="N366">
        <v>0.12519129487633374</v>
      </c>
      <c r="O366">
        <v>0.12652497986675121</v>
      </c>
      <c r="P366">
        <v>1.7857599835470375E-2</v>
      </c>
      <c r="Q366">
        <v>9.0912505704308358E-4</v>
      </c>
      <c r="R366">
        <v>1.3885502838040492E-3</v>
      </c>
      <c r="S366">
        <v>0.10538719660306797</v>
      </c>
      <c r="T366">
        <v>1.0030692067445124</v>
      </c>
      <c r="U366">
        <v>0</v>
      </c>
      <c r="V366">
        <v>0.20804766520643356</v>
      </c>
      <c r="W366">
        <v>8.2610582736021995E-2</v>
      </c>
      <c r="X366">
        <v>2.9067857258632507E-2</v>
      </c>
      <c r="Y366">
        <v>3.7791761370365852E-3</v>
      </c>
    </row>
    <row r="367" spans="1:25" x14ac:dyDescent="0.25">
      <c r="A367" s="1095"/>
      <c r="B367" s="1454">
        <v>117</v>
      </c>
      <c r="C367" s="1099">
        <v>0.96893262313473771</v>
      </c>
      <c r="D367" s="1099">
        <v>0.97568873953532786</v>
      </c>
      <c r="E367" s="1099">
        <v>0.99829982099610448</v>
      </c>
      <c r="F367" s="1099">
        <v>0.98739416714433526</v>
      </c>
      <c r="G367" s="1099">
        <v>1.0078499316574661</v>
      </c>
      <c r="H367" s="1099">
        <v>1.0026674034742646</v>
      </c>
      <c r="I367" s="1099">
        <v>1.0395014929902231</v>
      </c>
      <c r="K367">
        <v>1.7494124823565982</v>
      </c>
      <c r="L367">
        <v>0</v>
      </c>
      <c r="M367">
        <v>1.443384702119169E-3</v>
      </c>
      <c r="N367">
        <v>0.13209510135882954</v>
      </c>
      <c r="O367">
        <v>0.12929270803788037</v>
      </c>
      <c r="P367">
        <v>1.8364209883007188E-2</v>
      </c>
      <c r="Q367">
        <v>9.3514089158350353E-4</v>
      </c>
      <c r="R367">
        <v>1.4396746787992093E-3</v>
      </c>
      <c r="S367">
        <v>0.11751161497887518</v>
      </c>
      <c r="T367">
        <v>1.0181078711133458</v>
      </c>
      <c r="U367">
        <v>0</v>
      </c>
      <c r="V367">
        <v>0.21236110101195524</v>
      </c>
      <c r="W367">
        <v>8.6865293229086885E-2</v>
      </c>
      <c r="X367">
        <v>2.9964831988292445E-2</v>
      </c>
      <c r="Y367">
        <v>3.9183198870611311E-3</v>
      </c>
    </row>
    <row r="368" spans="1:25" x14ac:dyDescent="0.25">
      <c r="A368" s="1095"/>
      <c r="B368" s="1454">
        <v>118</v>
      </c>
      <c r="C368" s="1099">
        <v>0.96575010507448289</v>
      </c>
      <c r="D368" s="1099">
        <v>1.0196769239791574</v>
      </c>
      <c r="E368" s="1099">
        <v>1.0089893483515973</v>
      </c>
      <c r="F368" s="1099">
        <v>1.0245468538446114</v>
      </c>
      <c r="G368" s="1099">
        <v>1.0046084218483025</v>
      </c>
      <c r="H368" s="1099">
        <v>0.96635483730241156</v>
      </c>
      <c r="I368" s="1099">
        <v>0.99983177661133693</v>
      </c>
      <c r="K368">
        <v>1.7701229695232901</v>
      </c>
      <c r="L368">
        <v>0</v>
      </c>
      <c r="M368">
        <v>1.334220104572903E-3</v>
      </c>
      <c r="N368">
        <v>0.12609733393800926</v>
      </c>
      <c r="O368">
        <v>0.13031039228811986</v>
      </c>
      <c r="P368">
        <v>1.8912089880527071E-2</v>
      </c>
      <c r="Q368">
        <v>9.3207162217485387E-4</v>
      </c>
      <c r="R368">
        <v>1.3306431803180945E-3</v>
      </c>
      <c r="S368">
        <v>0.10799778380317913</v>
      </c>
      <c r="T368">
        <v>1.0560918423060983</v>
      </c>
      <c r="U368">
        <v>0</v>
      </c>
      <c r="V368">
        <v>0.21312631533577422</v>
      </c>
      <c r="W368">
        <v>8.2397532562576301E-2</v>
      </c>
      <c r="X368">
        <v>3.0639612620665668E-2</v>
      </c>
      <c r="Y368">
        <v>3.6215720904193499E-3</v>
      </c>
    </row>
    <row r="369" spans="1:25" x14ac:dyDescent="0.25">
      <c r="A369" s="1095"/>
      <c r="B369" s="1454">
        <v>119</v>
      </c>
      <c r="C369" s="1099">
        <v>0.9762546685997926</v>
      </c>
      <c r="D369" s="1099">
        <v>0.99768078361903212</v>
      </c>
      <c r="E369" s="1099">
        <v>0.96848710794248982</v>
      </c>
      <c r="F369" s="1099">
        <v>1.0312273042160398</v>
      </c>
      <c r="G369" s="1099">
        <v>1.0195562832381668</v>
      </c>
      <c r="H369" s="1099">
        <v>1.0105511749770775</v>
      </c>
      <c r="I369" s="1099">
        <v>1.028788105137626</v>
      </c>
      <c r="K369">
        <v>1.7893109380637138</v>
      </c>
      <c r="L369">
        <v>0</v>
      </c>
      <c r="M369">
        <v>1.5225788450477376E-3</v>
      </c>
      <c r="N369">
        <v>0.12732936087139701</v>
      </c>
      <c r="O369">
        <v>0.13110150552692829</v>
      </c>
      <c r="P369">
        <v>1.8550563178554417E-2</v>
      </c>
      <c r="Q369">
        <v>8.9164416159315881E-4</v>
      </c>
      <c r="R369">
        <v>1.5186971457377698E-3</v>
      </c>
      <c r="S369">
        <v>0.11471216867657547</v>
      </c>
      <c r="T369">
        <v>1.0642336285169682</v>
      </c>
      <c r="U369">
        <v>0</v>
      </c>
      <c r="V369">
        <v>0.21381143594295368</v>
      </c>
      <c r="W369">
        <v>8.5248230009101159E-2</v>
      </c>
      <c r="X369">
        <v>2.9302889886632637E-2</v>
      </c>
      <c r="Y369">
        <v>4.1333929923186661E-3</v>
      </c>
    </row>
    <row r="370" spans="1:25" x14ac:dyDescent="0.25">
      <c r="A370" s="1095"/>
      <c r="B370" s="1454">
        <v>120</v>
      </c>
      <c r="C370" s="1099">
        <v>1.0160499034929362</v>
      </c>
      <c r="D370" s="1099">
        <v>0.99152796800997811</v>
      </c>
      <c r="E370" s="1099">
        <v>1.0087463559029382</v>
      </c>
      <c r="F370" s="1099">
        <v>1.0394726467410562</v>
      </c>
      <c r="G370" s="1099">
        <v>0.99102531578437036</v>
      </c>
      <c r="H370" s="1099">
        <v>0.99513928739072677</v>
      </c>
      <c r="I370" s="1099">
        <v>1.005794560163501</v>
      </c>
      <c r="K370">
        <v>1.781544652131432</v>
      </c>
      <c r="L370">
        <v>0</v>
      </c>
      <c r="M370">
        <v>1.3355173979932235E-3</v>
      </c>
      <c r="N370">
        <v>0.1261406813229059</v>
      </c>
      <c r="O370">
        <v>0.1300680985280615</v>
      </c>
      <c r="P370">
        <v>1.9066087507204916E-2</v>
      </c>
      <c r="Q370">
        <v>8.9568058504096049E-4</v>
      </c>
      <c r="R370">
        <v>1.3320775304539133E-3</v>
      </c>
      <c r="S370">
        <v>0.10744057717826123</v>
      </c>
      <c r="T370">
        <v>1.0714846305551773</v>
      </c>
      <c r="U370">
        <v>0</v>
      </c>
      <c r="V370">
        <v>0.20975855241738589</v>
      </c>
      <c r="W370">
        <v>8.2437679576108452E-2</v>
      </c>
      <c r="X370">
        <v>3.0630628410169908E-2</v>
      </c>
      <c r="Y370">
        <v>3.6254759186556541E-3</v>
      </c>
    </row>
    <row r="371" spans="1:25" x14ac:dyDescent="0.25">
      <c r="A371" s="1095"/>
      <c r="B371" s="1454">
        <v>121</v>
      </c>
      <c r="C371" s="1099">
        <v>1.0195892927620873</v>
      </c>
      <c r="D371" s="1099">
        <v>1.0170053293832086</v>
      </c>
      <c r="E371" s="1099">
        <v>1.0061690100976131</v>
      </c>
      <c r="F371" s="1099">
        <v>0.99780467962863162</v>
      </c>
      <c r="G371" s="1099">
        <v>1.0040470722274653</v>
      </c>
      <c r="H371" s="1099">
        <v>1.0057723207652924</v>
      </c>
      <c r="I371" s="1099">
        <v>0.97835481242478495</v>
      </c>
      <c r="K371">
        <v>1.7226430375126993</v>
      </c>
      <c r="L371">
        <v>0</v>
      </c>
      <c r="M371">
        <v>1.32795861663858E-3</v>
      </c>
      <c r="N371">
        <v>0.12445524268568288</v>
      </c>
      <c r="O371">
        <v>0.1255943790812519</v>
      </c>
      <c r="P371">
        <v>1.8346214958397382E-2</v>
      </c>
      <c r="Q371">
        <v>8.8121058023431307E-4</v>
      </c>
      <c r="R371">
        <v>1.3245470906038572E-3</v>
      </c>
      <c r="S371">
        <v>0.10301495434508233</v>
      </c>
      <c r="T371">
        <v>1.0286093195934383</v>
      </c>
      <c r="U371">
        <v>0</v>
      </c>
      <c r="V371">
        <v>0.20717948280769041</v>
      </c>
      <c r="W371">
        <v>8.1460139011947333E-2</v>
      </c>
      <c r="X371">
        <v>2.9500525431215913E-2</v>
      </c>
      <c r="Y371">
        <v>3.6049805437926301E-3</v>
      </c>
    </row>
    <row r="372" spans="1:25" x14ac:dyDescent="0.25">
      <c r="A372" s="1095"/>
      <c r="B372" s="1454">
        <v>122</v>
      </c>
      <c r="C372" s="1099">
        <v>1.0155170029041665</v>
      </c>
      <c r="D372" s="1099">
        <v>1.0103086533487771</v>
      </c>
      <c r="E372" s="1099">
        <v>0.96735530100784417</v>
      </c>
      <c r="F372" s="1099">
        <v>1.0043406633206908</v>
      </c>
      <c r="G372" s="1099">
        <v>1.0005394245248231</v>
      </c>
      <c r="H372" s="1099">
        <v>0.97936634794893129</v>
      </c>
      <c r="I372" s="1099">
        <v>1.0084317910936167</v>
      </c>
      <c r="K372">
        <v>1.7233659723485504</v>
      </c>
      <c r="L372">
        <v>0</v>
      </c>
      <c r="M372">
        <v>1.412712608296431E-3</v>
      </c>
      <c r="N372">
        <v>0.11772726709396174</v>
      </c>
      <c r="O372">
        <v>0.12643128768274664</v>
      </c>
      <c r="P372">
        <v>1.7958145548387983E-2</v>
      </c>
      <c r="Q372">
        <v>8.5185182265001185E-4</v>
      </c>
      <c r="R372">
        <v>1.4089910292540955E-3</v>
      </c>
      <c r="S372">
        <v>0.10517010822191182</v>
      </c>
      <c r="T372">
        <v>1.0365213125532888</v>
      </c>
      <c r="U372">
        <v>0</v>
      </c>
      <c r="V372">
        <v>0.20776356780822783</v>
      </c>
      <c r="W372">
        <v>7.8873939762099554E-2</v>
      </c>
      <c r="X372">
        <v>2.8237404326455634E-2</v>
      </c>
      <c r="Y372">
        <v>3.8348091078616842E-3</v>
      </c>
    </row>
    <row r="373" spans="1:25" x14ac:dyDescent="0.25">
      <c r="A373" s="1095"/>
      <c r="B373" s="1454">
        <v>123</v>
      </c>
      <c r="C373" s="1099">
        <v>1.0171342030563586</v>
      </c>
      <c r="D373" s="1099">
        <v>1.0154502159222585</v>
      </c>
      <c r="E373" s="1099">
        <v>1.0268670862355174</v>
      </c>
      <c r="F373" s="1099">
        <v>1.0174333850886121</v>
      </c>
      <c r="G373" s="1099">
        <v>1.0202794557919441</v>
      </c>
      <c r="H373" s="1099">
        <v>0.98780251532233521</v>
      </c>
      <c r="I373" s="1099">
        <v>1.0051473785007239</v>
      </c>
      <c r="K373">
        <v>1.7500823360115456</v>
      </c>
      <c r="L373">
        <v>0</v>
      </c>
      <c r="M373">
        <v>1.2552316959997024E-3</v>
      </c>
      <c r="N373">
        <v>0.12521580489485595</v>
      </c>
      <c r="O373">
        <v>0.12733722823238502</v>
      </c>
      <c r="P373">
        <v>1.8958609808130494E-2</v>
      </c>
      <c r="Q373">
        <v>9.0288210398251567E-4</v>
      </c>
      <c r="R373">
        <v>1.2519540032722215E-3</v>
      </c>
      <c r="S373">
        <v>0.1050928425823817</v>
      </c>
      <c r="T373">
        <v>1.0482283161980175</v>
      </c>
      <c r="U373">
        <v>0</v>
      </c>
      <c r="V373">
        <v>0.20928258198775057</v>
      </c>
      <c r="W373">
        <v>8.0968767123300853E-2</v>
      </c>
      <c r="X373">
        <v>3.069117468308806E-2</v>
      </c>
      <c r="Y373">
        <v>3.4074060903807259E-3</v>
      </c>
    </row>
    <row r="374" spans="1:25" x14ac:dyDescent="0.25">
      <c r="A374" s="1095"/>
      <c r="B374" s="1454">
        <v>124</v>
      </c>
      <c r="C374" s="1099">
        <v>1.043085256241161</v>
      </c>
      <c r="D374" s="1099">
        <v>1.0043926711663385</v>
      </c>
      <c r="E374" s="1099">
        <v>1.0138512430677635</v>
      </c>
      <c r="F374" s="1099">
        <v>1.0015151354108007</v>
      </c>
      <c r="G374" s="1099">
        <v>1.027244021238231</v>
      </c>
      <c r="H374" s="1099">
        <v>0.99951636263900956</v>
      </c>
      <c r="I374" s="1099">
        <v>0.99815544589097349</v>
      </c>
      <c r="K374">
        <v>1.7234086543145237</v>
      </c>
      <c r="L374">
        <v>0</v>
      </c>
      <c r="M374">
        <v>1.281686371071877E-3</v>
      </c>
      <c r="N374">
        <v>0.12293652467197536</v>
      </c>
      <c r="O374">
        <v>0.12530526031788616</v>
      </c>
      <c r="P374">
        <v>1.8501411007551458E-2</v>
      </c>
      <c r="Q374">
        <v>8.7255701496007077E-4</v>
      </c>
      <c r="R374">
        <v>1.2783880666873799E-3</v>
      </c>
      <c r="S374">
        <v>0.10326710591549006</v>
      </c>
      <c r="T374">
        <v>1.032207899266335</v>
      </c>
      <c r="U374">
        <v>0</v>
      </c>
      <c r="V374">
        <v>0.20700814522402761</v>
      </c>
      <c r="W374">
        <v>8.0102399882117065E-2</v>
      </c>
      <c r="X374">
        <v>2.9731298421552137E-2</v>
      </c>
      <c r="Y374">
        <v>3.479350897010125E-3</v>
      </c>
    </row>
    <row r="375" spans="1:25" x14ac:dyDescent="0.25">
      <c r="A375" s="1095"/>
      <c r="B375" s="1454">
        <v>125</v>
      </c>
      <c r="C375" s="1099">
        <v>1.0174920795988338</v>
      </c>
      <c r="D375" s="1099">
        <v>1.0039414267553355</v>
      </c>
      <c r="E375" s="1099">
        <v>0.95842608295502141</v>
      </c>
      <c r="F375" s="1099">
        <v>1.0020358374890082</v>
      </c>
      <c r="G375" s="1099">
        <v>0.97289559468986075</v>
      </c>
      <c r="H375" s="1099">
        <v>1.0157758618834132</v>
      </c>
      <c r="I375" s="1099">
        <v>0.98622716349960482</v>
      </c>
      <c r="K375">
        <v>1.7261993289815731</v>
      </c>
      <c r="L375">
        <v>0</v>
      </c>
      <c r="M375">
        <v>1.4950840277985556E-3</v>
      </c>
      <c r="N375">
        <v>0.12127833538474513</v>
      </c>
      <c r="O375">
        <v>0.12641158574323394</v>
      </c>
      <c r="P375">
        <v>1.7792219773960182E-2</v>
      </c>
      <c r="Q375">
        <v>8.4433961965985256E-4</v>
      </c>
      <c r="R375">
        <v>1.4912910681392126E-3</v>
      </c>
      <c r="S375">
        <v>0.10550267205112948</v>
      </c>
      <c r="T375">
        <v>1.0344185477017118</v>
      </c>
      <c r="U375">
        <v>0</v>
      </c>
      <c r="V375">
        <v>0.2063086030807702</v>
      </c>
      <c r="W375">
        <v>8.1698353416134573E-2</v>
      </c>
      <c r="X375">
        <v>2.7889662486381053E-2</v>
      </c>
      <c r="Y375">
        <v>4.058802683506447E-3</v>
      </c>
    </row>
    <row r="376" spans="1:25" x14ac:dyDescent="0.25">
      <c r="A376" s="1095"/>
      <c r="B376" s="1454">
        <v>126</v>
      </c>
      <c r="C376" s="1099">
        <v>1.0000481732940258</v>
      </c>
      <c r="D376" s="1099">
        <v>0.98884049539530949</v>
      </c>
      <c r="E376" s="1099">
        <v>1.0366568203834439</v>
      </c>
      <c r="F376" s="1099">
        <v>1.0247645358623292</v>
      </c>
      <c r="G376" s="1099">
        <v>0.98390771895677831</v>
      </c>
      <c r="H376" s="1099">
        <v>1.0358547436491983</v>
      </c>
      <c r="I376" s="1099">
        <v>0.98621601042698703</v>
      </c>
      <c r="K376">
        <v>1.7859850666355774</v>
      </c>
      <c r="L376">
        <v>0</v>
      </c>
      <c r="M376">
        <v>1.3314975210379971E-3</v>
      </c>
      <c r="N376">
        <v>0.13681957081551069</v>
      </c>
      <c r="O376">
        <v>0.13004288808406042</v>
      </c>
      <c r="P376">
        <v>1.9275465403391537E-2</v>
      </c>
      <c r="Q376">
        <v>9.3742344654376654E-4</v>
      </c>
      <c r="R376">
        <v>1.3281962835712774E-3</v>
      </c>
      <c r="S376">
        <v>0.1099220634365545</v>
      </c>
      <c r="T376">
        <v>1.0554925707365659</v>
      </c>
      <c r="U376">
        <v>0</v>
      </c>
      <c r="V376">
        <v>0.21015939535091621</v>
      </c>
      <c r="W376">
        <v>8.7971507841492297E-2</v>
      </c>
      <c r="X376">
        <v>3.1752570313914007E-2</v>
      </c>
      <c r="Y376">
        <v>3.6149124440938108E-3</v>
      </c>
    </row>
    <row r="377" spans="1:25" x14ac:dyDescent="0.25">
      <c r="A377" s="1095"/>
      <c r="B377" s="1454">
        <v>127</v>
      </c>
      <c r="C377" s="1099">
        <v>1.0001911032063371</v>
      </c>
      <c r="D377" s="1099">
        <v>1.011100043639944</v>
      </c>
      <c r="E377" s="1099">
        <v>1.0094324319011969</v>
      </c>
      <c r="F377" s="1099">
        <v>0.97834902214559927</v>
      </c>
      <c r="G377" s="1099">
        <v>1.008623641057834</v>
      </c>
      <c r="H377" s="1099">
        <v>0.97146060696387215</v>
      </c>
      <c r="I377" s="1099">
        <v>1.0085683053059724</v>
      </c>
      <c r="K377">
        <v>1.703355544110873</v>
      </c>
      <c r="L377">
        <v>0</v>
      </c>
      <c r="M377">
        <v>1.298920777862938E-3</v>
      </c>
      <c r="N377">
        <v>0.12292742369163173</v>
      </c>
      <c r="O377">
        <v>0.12537538944090948</v>
      </c>
      <c r="P377">
        <v>1.8168827343999844E-2</v>
      </c>
      <c r="Q377">
        <v>9.03435148470955E-4</v>
      </c>
      <c r="R377">
        <v>1.2954585218206232E-3</v>
      </c>
      <c r="S377">
        <v>0.10602453156047391</v>
      </c>
      <c r="T377">
        <v>1.0084588481791386</v>
      </c>
      <c r="U377">
        <v>0</v>
      </c>
      <c r="V377">
        <v>0.20816991623437509</v>
      </c>
      <c r="W377">
        <v>8.0305176483251958E-2</v>
      </c>
      <c r="X377">
        <v>2.949964723605333E-2</v>
      </c>
      <c r="Y377">
        <v>3.5258110486087891E-3</v>
      </c>
    </row>
    <row r="378" spans="1:25" x14ac:dyDescent="0.25">
      <c r="A378" s="1095"/>
      <c r="B378" s="1454">
        <v>128</v>
      </c>
      <c r="C378" s="1099">
        <v>0.9841730560651073</v>
      </c>
      <c r="D378" s="1099">
        <v>1.0122034333404191</v>
      </c>
      <c r="E378" s="1099">
        <v>1.00424005052159</v>
      </c>
      <c r="F378" s="1099">
        <v>1.0084065421129726</v>
      </c>
      <c r="G378" s="1099">
        <v>1.0111558940966763</v>
      </c>
      <c r="H378" s="1099">
        <v>0.98353403464607192</v>
      </c>
      <c r="I378" s="1099">
        <v>0.99834534178283474</v>
      </c>
      <c r="K378">
        <v>1.7483971978778514</v>
      </c>
      <c r="L378">
        <v>0</v>
      </c>
      <c r="M378">
        <v>1.3518217876633781E-3</v>
      </c>
      <c r="N378">
        <v>0.12594807975742781</v>
      </c>
      <c r="O378">
        <v>0.12842200270545812</v>
      </c>
      <c r="P378">
        <v>1.8586692090950506E-2</v>
      </c>
      <c r="Q378">
        <v>9.1282915169791344E-4</v>
      </c>
      <c r="R378">
        <v>1.3482665898098324E-3</v>
      </c>
      <c r="S378">
        <v>0.1075139793557791</v>
      </c>
      <c r="T378">
        <v>1.0395960102248045</v>
      </c>
      <c r="U378">
        <v>0</v>
      </c>
      <c r="V378">
        <v>0.21118410362157861</v>
      </c>
      <c r="W378">
        <v>8.253142913499463E-2</v>
      </c>
      <c r="X378">
        <v>3.0036089831513714E-2</v>
      </c>
      <c r="Y378">
        <v>3.669537201500483E-3</v>
      </c>
    </row>
    <row r="379" spans="1:25" x14ac:dyDescent="0.25">
      <c r="A379" s="1095"/>
      <c r="B379" s="1454">
        <v>129</v>
      </c>
      <c r="C379" s="1099">
        <v>1.0187018914254493</v>
      </c>
      <c r="D379" s="1099">
        <v>0.9992264541299205</v>
      </c>
      <c r="E379" s="1099">
        <v>1.0271094599080821</v>
      </c>
      <c r="F379" s="1099">
        <v>0.98878803244020852</v>
      </c>
      <c r="G379" s="1099">
        <v>0.99605702219611292</v>
      </c>
      <c r="H379" s="1099">
        <v>1.0121487379552414</v>
      </c>
      <c r="I379" s="1099">
        <v>0.98069407376204021</v>
      </c>
      <c r="K379">
        <v>1.7221944275371042</v>
      </c>
      <c r="L379">
        <v>0</v>
      </c>
      <c r="M379">
        <v>1.2928479460745045E-3</v>
      </c>
      <c r="N379">
        <v>0.12907089062757945</v>
      </c>
      <c r="O379">
        <v>0.12583825193513931</v>
      </c>
      <c r="P379">
        <v>1.8516312018637116E-2</v>
      </c>
      <c r="Q379">
        <v>9.0754393674417335E-4</v>
      </c>
      <c r="R379">
        <v>1.28955580812392E-3</v>
      </c>
      <c r="S379">
        <v>0.10489219900477542</v>
      </c>
      <c r="T379">
        <v>1.0187090143624409</v>
      </c>
      <c r="U379">
        <v>0</v>
      </c>
      <c r="V379">
        <v>0.20697584382499012</v>
      </c>
      <c r="W379">
        <v>8.3449826376870789E-2</v>
      </c>
      <c r="X379">
        <v>3.0328091780119287E-2</v>
      </c>
      <c r="Y379">
        <v>3.5097458077554102E-3</v>
      </c>
    </row>
    <row r="380" spans="1:25" x14ac:dyDescent="0.25">
      <c r="A380" s="1095"/>
      <c r="B380" s="1454">
        <v>130</v>
      </c>
      <c r="C380" s="1099">
        <v>1.0201156451732236</v>
      </c>
      <c r="D380" s="1099">
        <v>1.0133482216640697</v>
      </c>
      <c r="E380" s="1099">
        <v>1.001952396807511</v>
      </c>
      <c r="F380" s="1099">
        <v>0.99095348819791573</v>
      </c>
      <c r="G380" s="1099">
        <v>0.9867494210144393</v>
      </c>
      <c r="H380" s="1099">
        <v>0.98676266854469208</v>
      </c>
      <c r="I380" s="1099">
        <v>0.99636748614354342</v>
      </c>
      <c r="K380">
        <v>1.7101576754164256</v>
      </c>
      <c r="L380">
        <v>0</v>
      </c>
      <c r="M380">
        <v>1.3157264483351003E-3</v>
      </c>
      <c r="N380">
        <v>0.12174241847195372</v>
      </c>
      <c r="O380">
        <v>0.12520276639231789</v>
      </c>
      <c r="P380">
        <v>1.8188649237817486E-2</v>
      </c>
      <c r="Q380">
        <v>8.7818662424996496E-4</v>
      </c>
      <c r="R380">
        <v>1.3122817490093402E-3</v>
      </c>
      <c r="S380">
        <v>0.10375937729968607</v>
      </c>
      <c r="T380">
        <v>1.02167032373552</v>
      </c>
      <c r="U380">
        <v>0</v>
      </c>
      <c r="V380">
        <v>0.20604129520294395</v>
      </c>
      <c r="W380">
        <v>7.9883813673542886E-2</v>
      </c>
      <c r="X380">
        <v>2.9222691150476914E-2</v>
      </c>
      <c r="Y380">
        <v>3.5715983272411249E-3</v>
      </c>
    </row>
    <row r="381" spans="1:25" x14ac:dyDescent="0.25">
      <c r="A381" s="1095"/>
      <c r="B381" s="1454">
        <v>131</v>
      </c>
      <c r="C381" s="1099">
        <v>1.0073320067459965</v>
      </c>
      <c r="D381" s="1099">
        <v>0.96635687655111435</v>
      </c>
      <c r="E381" s="1099">
        <v>0.99288898090595434</v>
      </c>
      <c r="F381" s="1099">
        <v>1.0002173687467155</v>
      </c>
      <c r="G381" s="1099">
        <v>0.9982084416254019</v>
      </c>
      <c r="H381" s="1099">
        <v>1.010773834022576</v>
      </c>
      <c r="I381" s="1099">
        <v>1.0195315530914026</v>
      </c>
      <c r="K381">
        <v>1.7485649478126455</v>
      </c>
      <c r="L381">
        <v>0</v>
      </c>
      <c r="M381">
        <v>1.4298410448758405E-3</v>
      </c>
      <c r="N381">
        <v>0.12873792462587169</v>
      </c>
      <c r="O381">
        <v>0.12867599422549736</v>
      </c>
      <c r="P381">
        <v>1.8363894466444489E-2</v>
      </c>
      <c r="Q381">
        <v>8.9789463895811829E-4</v>
      </c>
      <c r="R381">
        <v>1.4262182966677469E-3</v>
      </c>
      <c r="S381">
        <v>0.11242237484990737</v>
      </c>
      <c r="T381">
        <v>1.0314915416056607</v>
      </c>
      <c r="U381">
        <v>0</v>
      </c>
      <c r="V381">
        <v>0.20952224317639798</v>
      </c>
      <c r="W381">
        <v>8.4931266742708011E-2</v>
      </c>
      <c r="X381">
        <v>2.9643740178612214E-2</v>
      </c>
      <c r="Y381">
        <v>3.8816960507944676E-3</v>
      </c>
    </row>
    <row r="382" spans="1:25" x14ac:dyDescent="0.25">
      <c r="A382" s="1095"/>
      <c r="B382" s="1454">
        <v>132</v>
      </c>
      <c r="C382" s="1099">
        <v>1.034974316772227</v>
      </c>
      <c r="D382" s="1099">
        <v>0.99513961148667474</v>
      </c>
      <c r="E382" s="1099">
        <v>1.0028495256476877</v>
      </c>
      <c r="F382" s="1099">
        <v>0.961464535023971</v>
      </c>
      <c r="G382" s="1099">
        <v>0.99593112468482214</v>
      </c>
      <c r="H382" s="1099">
        <v>1.0015362395206149</v>
      </c>
      <c r="I382" s="1099">
        <v>0.97454832889563892</v>
      </c>
      <c r="K382">
        <v>1.675287329957331</v>
      </c>
      <c r="L382">
        <v>0</v>
      </c>
      <c r="M382">
        <v>1.32604482012618E-3</v>
      </c>
      <c r="N382">
        <v>0.1230355227737971</v>
      </c>
      <c r="O382">
        <v>0.12305247664755092</v>
      </c>
      <c r="P382">
        <v>1.7737482628311374E-2</v>
      </c>
      <c r="Q382">
        <v>8.7268994793015175E-4</v>
      </c>
      <c r="R382">
        <v>1.3226312207859536E-3</v>
      </c>
      <c r="S382">
        <v>0.10204172141143243</v>
      </c>
      <c r="T382">
        <v>0.99124171445429143</v>
      </c>
      <c r="U382">
        <v>0</v>
      </c>
      <c r="V382">
        <v>0.20429142109134391</v>
      </c>
      <c r="W382">
        <v>8.0689357007908233E-2</v>
      </c>
      <c r="X382">
        <v>2.8728591416391884E-2</v>
      </c>
      <c r="Y382">
        <v>3.5997661777146133E-3</v>
      </c>
    </row>
    <row r="383" spans="1:25" x14ac:dyDescent="0.25">
      <c r="A383" s="1095"/>
      <c r="B383" s="1454">
        <v>133</v>
      </c>
      <c r="C383" s="1099">
        <v>1.0054652285274746</v>
      </c>
      <c r="D383" s="1099">
        <v>0.98711354191776846</v>
      </c>
      <c r="E383" s="1099">
        <v>1.0015224735245696</v>
      </c>
      <c r="F383" s="1099">
        <v>1.0051257524682191</v>
      </c>
      <c r="G383" s="1099">
        <v>1.0286420966137864</v>
      </c>
      <c r="H383" s="1099">
        <v>1.0012773072887018</v>
      </c>
      <c r="I383" s="1099">
        <v>0.98068480413695347</v>
      </c>
      <c r="K383">
        <v>1.7453624055231196</v>
      </c>
      <c r="L383">
        <v>0</v>
      </c>
      <c r="M383">
        <v>1.376915184948684E-3</v>
      </c>
      <c r="N383">
        <v>0.12724526024701033</v>
      </c>
      <c r="O383">
        <v>0.12820895042101232</v>
      </c>
      <c r="P383">
        <v>1.8482257332821373E-2</v>
      </c>
      <c r="Q383">
        <v>8.9997905808073865E-4</v>
      </c>
      <c r="R383">
        <v>1.3733802801910407E-3</v>
      </c>
      <c r="S383">
        <v>0.10630811928341213</v>
      </c>
      <c r="T383">
        <v>1.0362947127305924</v>
      </c>
      <c r="U383">
        <v>0</v>
      </c>
      <c r="V383">
        <v>0.21079340308554587</v>
      </c>
      <c r="W383">
        <v>8.3515925733765678E-2</v>
      </c>
      <c r="X383">
        <v>2.9879444147645283E-2</v>
      </c>
      <c r="Y383">
        <v>3.7378883879923236E-3</v>
      </c>
    </row>
    <row r="384" spans="1:25" x14ac:dyDescent="0.25">
      <c r="A384" s="1095"/>
      <c r="B384" s="1454">
        <v>134</v>
      </c>
      <c r="C384" s="1099">
        <v>0.98235249791093526</v>
      </c>
      <c r="D384" s="1099">
        <v>0.99481174289592966</v>
      </c>
      <c r="E384" s="1099">
        <v>0.98742906223270932</v>
      </c>
      <c r="F384" s="1099">
        <v>0.98612863394333605</v>
      </c>
      <c r="G384" s="1099">
        <v>1.003114400258448</v>
      </c>
      <c r="H384" s="1099">
        <v>0.98131142261081905</v>
      </c>
      <c r="I384" s="1099">
        <v>0.96815206287822697</v>
      </c>
      <c r="K384">
        <v>1.7196110824317423</v>
      </c>
      <c r="L384">
        <v>0</v>
      </c>
      <c r="M384">
        <v>1.410499414831479E-3</v>
      </c>
      <c r="N384">
        <v>0.12490485139018333</v>
      </c>
      <c r="O384">
        <v>0.12753761544622763</v>
      </c>
      <c r="P384">
        <v>1.8007451444127891E-2</v>
      </c>
      <c r="Q384">
        <v>9.0493604427639089E-4</v>
      </c>
      <c r="R384">
        <v>1.4067856607169835E-3</v>
      </c>
      <c r="S384">
        <v>0.10525301714660847</v>
      </c>
      <c r="T384">
        <v>1.017123923387897</v>
      </c>
      <c r="U384">
        <v>0</v>
      </c>
      <c r="V384">
        <v>0.21025471237467067</v>
      </c>
      <c r="W384">
        <v>8.2672434788883919E-2</v>
      </c>
      <c r="X384">
        <v>2.9127047341279102E-2</v>
      </c>
      <c r="Y384">
        <v>3.8288068217032091E-3</v>
      </c>
    </row>
    <row r="385" spans="1:25" x14ac:dyDescent="0.25">
      <c r="A385" s="1095"/>
      <c r="B385" s="1454">
        <v>135</v>
      </c>
      <c r="C385" s="1099">
        <v>1.0204472447683077</v>
      </c>
      <c r="D385" s="1099">
        <v>0.96030202148691013</v>
      </c>
      <c r="E385" s="1099">
        <v>1.0292474369340172</v>
      </c>
      <c r="F385" s="1099">
        <v>0.99700438458972052</v>
      </c>
      <c r="G385" s="1099">
        <v>0.98966271124573835</v>
      </c>
      <c r="H385" s="1099">
        <v>0.96725441060372053</v>
      </c>
      <c r="I385" s="1099">
        <v>1.0134763218164817</v>
      </c>
      <c r="K385">
        <v>1.7331669030018988</v>
      </c>
      <c r="L385">
        <v>0</v>
      </c>
      <c r="M385">
        <v>1.2580932747302668E-3</v>
      </c>
      <c r="N385">
        <v>0.12640125031209407</v>
      </c>
      <c r="O385">
        <v>0.12819838008069132</v>
      </c>
      <c r="P385">
        <v>1.8718793757767478E-2</v>
      </c>
      <c r="Q385">
        <v>9.2251841284820473E-4</v>
      </c>
      <c r="R385">
        <v>1.2547689554924433E-3</v>
      </c>
      <c r="S385">
        <v>0.10777327235350881</v>
      </c>
      <c r="T385">
        <v>1.0271124100674787</v>
      </c>
      <c r="U385">
        <v>0</v>
      </c>
      <c r="V385">
        <v>0.20815034453459264</v>
      </c>
      <c r="W385">
        <v>8.1622285437624689E-2</v>
      </c>
      <c r="X385">
        <v>3.0855904902153987E-2</v>
      </c>
      <c r="Y385">
        <v>3.4150674623754187E-3</v>
      </c>
    </row>
    <row r="386" spans="1:25" x14ac:dyDescent="0.25">
      <c r="A386" s="1095"/>
      <c r="B386" s="1454">
        <v>136</v>
      </c>
      <c r="C386" s="1099">
        <v>1.0291643744723604</v>
      </c>
      <c r="D386" s="1099">
        <v>0.98917137635519659</v>
      </c>
      <c r="E386" s="1099">
        <v>0.95210958673709334</v>
      </c>
      <c r="F386" s="1099">
        <v>0.96026411489046393</v>
      </c>
      <c r="G386" s="1099">
        <v>1.0024205981257084</v>
      </c>
      <c r="H386" s="1099">
        <v>0.97571820014782107</v>
      </c>
      <c r="I386" s="1099">
        <v>1.0041693670856178</v>
      </c>
      <c r="K386">
        <v>1.6658644526167972</v>
      </c>
      <c r="L386">
        <v>0</v>
      </c>
      <c r="M386">
        <v>1.4470596318174171E-3</v>
      </c>
      <c r="N386">
        <v>0.11514460342006728</v>
      </c>
      <c r="O386">
        <v>0.12330561539954646</v>
      </c>
      <c r="P386">
        <v>1.710707645938751E-2</v>
      </c>
      <c r="Q386">
        <v>8.3411320342594041E-4</v>
      </c>
      <c r="R386">
        <v>1.4432379996432837E-3</v>
      </c>
      <c r="S386">
        <v>0.1042350423994024</v>
      </c>
      <c r="T386">
        <v>0.99148532494113972</v>
      </c>
      <c r="U386">
        <v>0</v>
      </c>
      <c r="V386">
        <v>0.20503271864698205</v>
      </c>
      <c r="W386">
        <v>7.7868706218365932E-2</v>
      </c>
      <c r="X386">
        <v>2.6927055488901657E-2</v>
      </c>
      <c r="Y386">
        <v>3.9280180717503003E-3</v>
      </c>
    </row>
    <row r="387" spans="1:25" x14ac:dyDescent="0.25">
      <c r="A387" s="1095"/>
      <c r="B387" s="1454">
        <v>137</v>
      </c>
      <c r="C387" s="1099">
        <v>1.0122292926259646</v>
      </c>
      <c r="D387" s="1099">
        <v>1.0083526185654825</v>
      </c>
      <c r="E387" s="1099">
        <v>0.95590599759375072</v>
      </c>
      <c r="F387" s="1099">
        <v>0.99055647052166551</v>
      </c>
      <c r="G387" s="1099">
        <v>1.0074274106956684</v>
      </c>
      <c r="H387" s="1099">
        <v>1.0069102263076599</v>
      </c>
      <c r="I387" s="1099">
        <v>1.0017385582463647</v>
      </c>
      <c r="K387">
        <v>1.7138659068792976</v>
      </c>
      <c r="L387">
        <v>0</v>
      </c>
      <c r="M387">
        <v>1.4915308042442309E-3</v>
      </c>
      <c r="N387">
        <v>0.12006615376318512</v>
      </c>
      <c r="O387">
        <v>0.12560673030425629</v>
      </c>
      <c r="P387">
        <v>1.7636301425435996E-2</v>
      </c>
      <c r="Q387">
        <v>8.4498032359680707E-4</v>
      </c>
      <c r="R387">
        <v>1.4877049935810146E-3</v>
      </c>
      <c r="S387">
        <v>0.10671542708709926</v>
      </c>
      <c r="T387">
        <v>1.02264561084994</v>
      </c>
      <c r="U387">
        <v>0</v>
      </c>
      <c r="V387">
        <v>0.20767965140138225</v>
      </c>
      <c r="W387">
        <v>8.1007202023287761E-2</v>
      </c>
      <c r="X387">
        <v>2.7618632941067735E-2</v>
      </c>
      <c r="Y387">
        <v>4.0490425707081926E-3</v>
      </c>
    </row>
    <row r="388" spans="1:25" x14ac:dyDescent="0.25">
      <c r="A388" s="1095"/>
      <c r="B388" s="1454">
        <v>138</v>
      </c>
      <c r="C388" s="1099">
        <v>0.98885507975647779</v>
      </c>
      <c r="D388" s="1099">
        <v>1.0144929213363949</v>
      </c>
      <c r="E388" s="1099">
        <v>1.0213596169003978</v>
      </c>
      <c r="F388" s="1099">
        <v>1.0232333964969955</v>
      </c>
      <c r="G388" s="1099">
        <v>1.011828877877917</v>
      </c>
      <c r="H388" s="1099">
        <v>0.97809874872122315</v>
      </c>
      <c r="I388" s="1099">
        <v>1.0106041317955667</v>
      </c>
      <c r="K388">
        <v>1.7664069332291064</v>
      </c>
      <c r="L388">
        <v>0</v>
      </c>
      <c r="M388">
        <v>1.2916079713439031E-3</v>
      </c>
      <c r="N388">
        <v>0.12671828614804337</v>
      </c>
      <c r="O388">
        <v>0.12925895878443797</v>
      </c>
      <c r="P388">
        <v>1.9038495522920251E-2</v>
      </c>
      <c r="Q388">
        <v>9.2383019810379828E-4</v>
      </c>
      <c r="R388">
        <v>1.2881963766334969E-3</v>
      </c>
      <c r="S388">
        <v>0.10792609752914915</v>
      </c>
      <c r="T388">
        <v>1.0543673730719725</v>
      </c>
      <c r="U388">
        <v>0</v>
      </c>
      <c r="V388">
        <v>0.21156383060043657</v>
      </c>
      <c r="W388">
        <v>8.2203918362152947E-2</v>
      </c>
      <c r="X388">
        <v>3.0903508723222239E-2</v>
      </c>
      <c r="Y388">
        <v>3.5060458833749493E-3</v>
      </c>
    </row>
    <row r="389" spans="1:25" x14ac:dyDescent="0.25">
      <c r="A389" s="1095"/>
      <c r="B389" s="1454">
        <v>139</v>
      </c>
      <c r="C389" s="1099">
        <v>1.022736806649067</v>
      </c>
      <c r="D389" s="1099">
        <v>1.0043966074599049</v>
      </c>
      <c r="E389" s="1099">
        <v>0.99608447262075295</v>
      </c>
      <c r="F389" s="1099">
        <v>1.028670723304282</v>
      </c>
      <c r="G389" s="1099">
        <v>0.99744057863197821</v>
      </c>
      <c r="H389" s="1099">
        <v>0.98178788954207485</v>
      </c>
      <c r="I389" s="1099">
        <v>1.0038341223383036</v>
      </c>
      <c r="K389">
        <v>1.7561481745071177</v>
      </c>
      <c r="L389">
        <v>0</v>
      </c>
      <c r="M389">
        <v>1.3331154722594945E-3</v>
      </c>
      <c r="N389">
        <v>0.12118370340510506</v>
      </c>
      <c r="O389">
        <v>0.12826669848469774</v>
      </c>
      <c r="P389">
        <v>1.8687383806888006E-2</v>
      </c>
      <c r="Q389">
        <v>8.7371571106201857E-4</v>
      </c>
      <c r="R389">
        <v>1.3296251654747132E-3</v>
      </c>
      <c r="S389">
        <v>0.10471773569575649</v>
      </c>
      <c r="T389">
        <v>1.0607363024822387</v>
      </c>
      <c r="U389">
        <v>0</v>
      </c>
      <c r="V389">
        <v>0.20853613079295394</v>
      </c>
      <c r="W389">
        <v>7.9795223441075702E-2</v>
      </c>
      <c r="X389">
        <v>2.9735969604520473E-2</v>
      </c>
      <c r="Y389">
        <v>3.6188013896041693E-3</v>
      </c>
    </row>
    <row r="390" spans="1:25" x14ac:dyDescent="0.25">
      <c r="A390" s="1095"/>
      <c r="B390" s="1454">
        <v>140</v>
      </c>
      <c r="C390" s="1099">
        <v>0.99186741112376087</v>
      </c>
      <c r="D390" s="1099">
        <v>1.0098578704463563</v>
      </c>
      <c r="E390" s="1099">
        <v>1.0020213572838499</v>
      </c>
      <c r="F390" s="1099">
        <v>0.99263692394244529</v>
      </c>
      <c r="G390" s="1099">
        <v>0.98496851796344898</v>
      </c>
      <c r="H390" s="1099">
        <v>0.96039519598666567</v>
      </c>
      <c r="I390" s="1099">
        <v>1.018585971399445</v>
      </c>
      <c r="K390">
        <v>1.7202417063926365</v>
      </c>
      <c r="L390">
        <v>0</v>
      </c>
      <c r="M390">
        <v>1.3166699471159576E-3</v>
      </c>
      <c r="N390">
        <v>0.12184581973440493</v>
      </c>
      <c r="O390">
        <v>0.12691621683762133</v>
      </c>
      <c r="P390">
        <v>1.8295098121893363E-2</v>
      </c>
      <c r="Q390">
        <v>9.0450923559801859E-4</v>
      </c>
      <c r="R390">
        <v>1.3131227579754698E-3</v>
      </c>
      <c r="S390">
        <v>0.10729580222964283</v>
      </c>
      <c r="T390">
        <v>1.0234039105203048</v>
      </c>
      <c r="U390">
        <v>0</v>
      </c>
      <c r="V390">
        <v>0.2084924621826274</v>
      </c>
      <c r="W390">
        <v>7.9948390834076094E-2</v>
      </c>
      <c r="X390">
        <v>2.9569156609199773E-2</v>
      </c>
      <c r="Y390">
        <v>3.5738872764083996E-3</v>
      </c>
    </row>
    <row r="391" spans="1:25" x14ac:dyDescent="0.25">
      <c r="A391" s="1095"/>
      <c r="B391" s="1454">
        <v>141</v>
      </c>
      <c r="C391" s="1099">
        <v>1.026739852162206</v>
      </c>
      <c r="D391" s="1099">
        <v>1.0090660217631691</v>
      </c>
      <c r="E391" s="1099">
        <v>1.0311120142353398</v>
      </c>
      <c r="F391" s="1099">
        <v>1.0344641138001827</v>
      </c>
      <c r="G391" s="1099">
        <v>1.0427994487070515</v>
      </c>
      <c r="H391" s="1099">
        <v>1.0174768449224634</v>
      </c>
      <c r="I391" s="1099">
        <v>1.0038023121618638</v>
      </c>
      <c r="K391">
        <v>1.7784072409986165</v>
      </c>
      <c r="L391">
        <v>0</v>
      </c>
      <c r="M391">
        <v>1.2770054950061172E-3</v>
      </c>
      <c r="N391">
        <v>0.12903952632471008</v>
      </c>
      <c r="O391">
        <v>0.12842044082001838</v>
      </c>
      <c r="P391">
        <v>1.9299994807948355E-2</v>
      </c>
      <c r="Q391">
        <v>9.0058918827147071E-4</v>
      </c>
      <c r="R391">
        <v>1.2737789277212442E-3</v>
      </c>
      <c r="S391">
        <v>0.10655431299469394</v>
      </c>
      <c r="T391">
        <v>1.0656477523074239</v>
      </c>
      <c r="U391">
        <v>0</v>
      </c>
      <c r="V391">
        <v>0.21066468795737192</v>
      </c>
      <c r="W391">
        <v>8.3235798938364802E-2</v>
      </c>
      <c r="X391">
        <v>3.1180557886951041E-2</v>
      </c>
      <c r="Y391">
        <v>3.4668063401465531E-3</v>
      </c>
    </row>
    <row r="392" spans="1:25" x14ac:dyDescent="0.25">
      <c r="A392" s="1095"/>
      <c r="B392" s="1454">
        <v>142</v>
      </c>
      <c r="C392" s="1099">
        <v>0.98430873091833138</v>
      </c>
      <c r="D392" s="1099">
        <v>0.96598518099692099</v>
      </c>
      <c r="E392" s="1099">
        <v>1.0088745655442342</v>
      </c>
      <c r="F392" s="1099">
        <v>1.0240184342370062</v>
      </c>
      <c r="G392" s="1099">
        <v>0.98587058245002801</v>
      </c>
      <c r="H392" s="1099">
        <v>0.99856280097235828</v>
      </c>
      <c r="I392" s="1099">
        <v>0.96322748043355022</v>
      </c>
      <c r="K392">
        <v>1.7805907833842796</v>
      </c>
      <c r="L392">
        <v>0</v>
      </c>
      <c r="M392">
        <v>1.398932205425888E-3</v>
      </c>
      <c r="N392">
        <v>0.13218294316078527</v>
      </c>
      <c r="O392">
        <v>0.13180229661910112</v>
      </c>
      <c r="P392">
        <v>1.888922808328989E-2</v>
      </c>
      <c r="Q392">
        <v>9.3438987540452512E-4</v>
      </c>
      <c r="R392">
        <v>1.3953451047413452E-3</v>
      </c>
      <c r="S392">
        <v>0.10790740891559228</v>
      </c>
      <c r="T392">
        <v>1.0555506159691661</v>
      </c>
      <c r="U392">
        <v>0</v>
      </c>
      <c r="V392">
        <v>0.21221021749911823</v>
      </c>
      <c r="W392">
        <v>8.6379988059810758E-2</v>
      </c>
      <c r="X392">
        <v>3.093961290297978E-2</v>
      </c>
      <c r="Y392">
        <v>3.7976693997157848E-3</v>
      </c>
    </row>
    <row r="393" spans="1:25" x14ac:dyDescent="0.25">
      <c r="A393" s="1095"/>
      <c r="B393" s="1454">
        <v>143</v>
      </c>
      <c r="C393" s="1099">
        <v>0.97871714754203487</v>
      </c>
      <c r="D393" s="1099">
        <v>1.0004059246631303</v>
      </c>
      <c r="E393" s="1099">
        <v>1.03896206361957</v>
      </c>
      <c r="F393" s="1099">
        <v>1.0046932887428124</v>
      </c>
      <c r="G393" s="1099">
        <v>1.0159060227703234</v>
      </c>
      <c r="H393" s="1099">
        <v>0.9947098427444071</v>
      </c>
      <c r="I393" s="1099">
        <v>0.98311413559768612</v>
      </c>
      <c r="K393">
        <v>1.7576527581448285</v>
      </c>
      <c r="L393">
        <v>0</v>
      </c>
      <c r="M393">
        <v>1.2867904428833224E-3</v>
      </c>
      <c r="N393">
        <v>0.13313152635453257</v>
      </c>
      <c r="O393">
        <v>0.12910895620648544</v>
      </c>
      <c r="P393">
        <v>1.9017824826048003E-2</v>
      </c>
      <c r="Q393">
        <v>9.5564576572951406E-4</v>
      </c>
      <c r="R393">
        <v>1.2834490165580179E-3</v>
      </c>
      <c r="S393">
        <v>0.10802665339200165</v>
      </c>
      <c r="T393">
        <v>1.0347532192401299</v>
      </c>
      <c r="U393">
        <v>0</v>
      </c>
      <c r="V393">
        <v>0.21215025585488384</v>
      </c>
      <c r="W393">
        <v>8.5486418965895664E-2</v>
      </c>
      <c r="X393">
        <v>3.1532473831229549E-2</v>
      </c>
      <c r="Y393">
        <v>3.4931251342163235E-3</v>
      </c>
    </row>
    <row r="394" spans="1:25" x14ac:dyDescent="0.25">
      <c r="A394" s="1095"/>
      <c r="B394" s="1454">
        <v>144</v>
      </c>
      <c r="C394" s="1099">
        <v>1.0138239338410342</v>
      </c>
      <c r="D394" s="1099">
        <v>1.0104098727061142</v>
      </c>
      <c r="E394" s="1099">
        <v>1.02052183293589</v>
      </c>
      <c r="F394" s="1099">
        <v>0.98928055197361253</v>
      </c>
      <c r="G394" s="1099">
        <v>0.997039119868532</v>
      </c>
      <c r="H394" s="1099">
        <v>0.98934220384696014</v>
      </c>
      <c r="I394" s="1099">
        <v>0.99920550165866295</v>
      </c>
      <c r="K394">
        <v>1.7162883363476937</v>
      </c>
      <c r="L394">
        <v>0</v>
      </c>
      <c r="M394">
        <v>1.2784685493039171E-3</v>
      </c>
      <c r="N394">
        <v>0.12511634328937055</v>
      </c>
      <c r="O394">
        <v>0.12559368283925415</v>
      </c>
      <c r="P394">
        <v>1.8441066971889075E-2</v>
      </c>
      <c r="Q394">
        <v>9.017575282283133E-4</v>
      </c>
      <c r="R394">
        <v>1.2751297888284432E-3</v>
      </c>
      <c r="S394">
        <v>0.10505302259157873</v>
      </c>
      <c r="T394">
        <v>1.0194055664871826</v>
      </c>
      <c r="U394">
        <v>0</v>
      </c>
      <c r="V394">
        <v>0.20710222921256072</v>
      </c>
      <c r="W394">
        <v>8.1204478757208792E-2</v>
      </c>
      <c r="X394">
        <v>3.0003044492126596E-2</v>
      </c>
      <c r="Y394">
        <v>3.4704829387691058E-3</v>
      </c>
    </row>
    <row r="395" spans="1:25" x14ac:dyDescent="0.25">
      <c r="A395" s="1095"/>
      <c r="B395" s="1454">
        <v>145</v>
      </c>
      <c r="C395" s="1099">
        <v>0.98935558180407313</v>
      </c>
      <c r="D395" s="1099">
        <v>1.0306970959090309</v>
      </c>
      <c r="E395" s="1099">
        <v>1.0045598589938014</v>
      </c>
      <c r="F395" s="1099">
        <v>0.95552311268969925</v>
      </c>
      <c r="G395" s="1099">
        <v>0.95576192191664577</v>
      </c>
      <c r="H395" s="1099">
        <v>1.0289817445974345</v>
      </c>
      <c r="I395" s="1099">
        <v>1.0169762050123903</v>
      </c>
      <c r="K395">
        <v>1.6889651064616196</v>
      </c>
      <c r="L395">
        <v>0</v>
      </c>
      <c r="M395">
        <v>1.3852112195057017E-3</v>
      </c>
      <c r="N395">
        <v>0.12919621895636985</v>
      </c>
      <c r="O395">
        <v>0.12330413033768535</v>
      </c>
      <c r="P395">
        <v>1.7799578837095712E-2</v>
      </c>
      <c r="Q395">
        <v>9.0179314816505208E-4</v>
      </c>
      <c r="R395">
        <v>1.3817024952391278E-3</v>
      </c>
      <c r="S395">
        <v>0.11063610774018913</v>
      </c>
      <c r="T395">
        <v>0.9850678808774429</v>
      </c>
      <c r="U395">
        <v>0</v>
      </c>
      <c r="V395">
        <v>0.20475371332346842</v>
      </c>
      <c r="W395">
        <v>8.4643839641539764E-2</v>
      </c>
      <c r="X395">
        <v>2.8904813609991555E-2</v>
      </c>
      <c r="Y395">
        <v>3.7605387139357628E-3</v>
      </c>
    </row>
    <row r="396" spans="1:25" x14ac:dyDescent="0.25">
      <c r="A396" s="1095"/>
      <c r="B396" s="1454">
        <v>146</v>
      </c>
      <c r="C396" s="1099">
        <v>0.97297246230944956</v>
      </c>
      <c r="D396" s="1099">
        <v>0.98683987465881795</v>
      </c>
      <c r="E396" s="1099">
        <v>1.0223486311886594</v>
      </c>
      <c r="F396" s="1099">
        <v>1.0039497336501473</v>
      </c>
      <c r="G396" s="1099">
        <v>0.99740433350232383</v>
      </c>
      <c r="H396" s="1099">
        <v>0.99841837627802854</v>
      </c>
      <c r="I396" s="1099">
        <v>1.0273439556748933</v>
      </c>
      <c r="K396">
        <v>1.7655778603209407</v>
      </c>
      <c r="L396">
        <v>0</v>
      </c>
      <c r="M396">
        <v>1.35503036488088E-3</v>
      </c>
      <c r="N396">
        <v>0.13334571732416156</v>
      </c>
      <c r="O396">
        <v>0.12992441532459995</v>
      </c>
      <c r="P396">
        <v>1.8877867674786986E-2</v>
      </c>
      <c r="Q396">
        <v>9.5031017533648513E-4</v>
      </c>
      <c r="R396">
        <v>1.3515317469143823E-3</v>
      </c>
      <c r="S396">
        <v>0.11471580176730242</v>
      </c>
      <c r="T396">
        <v>1.0344680923237033</v>
      </c>
      <c r="U396">
        <v>0</v>
      </c>
      <c r="V396">
        <v>0.21209108163522039</v>
      </c>
      <c r="W396">
        <v>8.6453259672253133E-2</v>
      </c>
      <c r="X396">
        <v>3.1076389158761653E-2</v>
      </c>
      <c r="Y396">
        <v>3.6784238827803186E-3</v>
      </c>
    </row>
    <row r="397" spans="1:25" x14ac:dyDescent="0.25">
      <c r="A397" s="1095"/>
      <c r="B397" s="1454">
        <v>147</v>
      </c>
      <c r="C397" s="1099">
        <v>1.0222920329987402</v>
      </c>
      <c r="D397" s="1099">
        <v>0.9554419808199146</v>
      </c>
      <c r="E397" s="1099">
        <v>0.98440946818120534</v>
      </c>
      <c r="F397" s="1099">
        <v>0.95789077133769929</v>
      </c>
      <c r="G397" s="1099">
        <v>1.0231006773834193</v>
      </c>
      <c r="H397" s="1099">
        <v>0.97976255891507547</v>
      </c>
      <c r="I397" s="1099">
        <v>0.96543279981411978</v>
      </c>
      <c r="K397">
        <v>1.6783857679642791</v>
      </c>
      <c r="L397">
        <v>0</v>
      </c>
      <c r="M397">
        <v>1.3955058428002025E-3</v>
      </c>
      <c r="N397">
        <v>0.12245589071014525</v>
      </c>
      <c r="O397">
        <v>0.12512794533197905</v>
      </c>
      <c r="P397">
        <v>1.7513032165670697E-2</v>
      </c>
      <c r="Q397">
        <v>8.8095754854323766E-4</v>
      </c>
      <c r="R397">
        <v>1.3918563342150238E-3</v>
      </c>
      <c r="S397">
        <v>0.10334512105750675</v>
      </c>
      <c r="T397">
        <v>0.98808570641968185</v>
      </c>
      <c r="U397">
        <v>0</v>
      </c>
      <c r="V397">
        <v>0.20756978183248023</v>
      </c>
      <c r="W397">
        <v>8.1198732205487303E-2</v>
      </c>
      <c r="X397">
        <v>2.8424076084953523E-2</v>
      </c>
      <c r="Y397">
        <v>3.788174116416034E-3</v>
      </c>
    </row>
    <row r="398" spans="1:25" x14ac:dyDescent="0.25">
      <c r="A398" s="1095"/>
      <c r="B398" s="1454">
        <v>148</v>
      </c>
      <c r="C398" s="1099">
        <v>0.96058703552530555</v>
      </c>
      <c r="D398" s="1099">
        <v>1.0075297728807362</v>
      </c>
      <c r="E398" s="1099">
        <v>1.0014871934868077</v>
      </c>
      <c r="F398" s="1099">
        <v>0.95846691795660766</v>
      </c>
      <c r="G398" s="1099">
        <v>0.97081962815910083</v>
      </c>
      <c r="H398" s="1099">
        <v>0.96357861874847606</v>
      </c>
      <c r="I398" s="1099">
        <v>0.97473493323651583</v>
      </c>
      <c r="K398">
        <v>1.6887326110948315</v>
      </c>
      <c r="L398">
        <v>0</v>
      </c>
      <c r="M398">
        <v>1.3594353809503596E-3</v>
      </c>
      <c r="N398">
        <v>0.12559981918490182</v>
      </c>
      <c r="O398">
        <v>0.12602189945157177</v>
      </c>
      <c r="P398">
        <v>1.77936293711385E-2</v>
      </c>
      <c r="Q398">
        <v>9.3430904772793795E-4</v>
      </c>
      <c r="R398">
        <v>1.3557652333488371E-3</v>
      </c>
      <c r="S398">
        <v>0.10599838029274646</v>
      </c>
      <c r="T398">
        <v>0.98818999095972371</v>
      </c>
      <c r="U398">
        <v>0</v>
      </c>
      <c r="V398">
        <v>0.20881047031936673</v>
      </c>
      <c r="W398">
        <v>8.2437686426496806E-2</v>
      </c>
      <c r="X398">
        <v>2.9260150151470179E-2</v>
      </c>
      <c r="Y398">
        <v>3.6899460372864755E-3</v>
      </c>
    </row>
    <row r="399" spans="1:25" x14ac:dyDescent="0.25">
      <c r="A399" s="1095"/>
      <c r="B399" s="1454">
        <v>149</v>
      </c>
      <c r="C399" s="1099">
        <v>1.02344338543058</v>
      </c>
      <c r="D399" s="1099">
        <v>0.96242318738045973</v>
      </c>
      <c r="E399" s="1099">
        <v>0.99704915135440453</v>
      </c>
      <c r="F399" s="1099">
        <v>1.0000008882029539</v>
      </c>
      <c r="G399" s="1099">
        <v>1.0222173565495762</v>
      </c>
      <c r="H399" s="1099">
        <v>1.0270006813526305</v>
      </c>
      <c r="I399" s="1099">
        <v>0.99295592095577045</v>
      </c>
      <c r="K399">
        <v>1.7458643941942347</v>
      </c>
      <c r="L399">
        <v>0</v>
      </c>
      <c r="M399">
        <v>1.422963893540216E-3</v>
      </c>
      <c r="N399">
        <v>0.12974568078411172</v>
      </c>
      <c r="O399">
        <v>0.12804353615488939</v>
      </c>
      <c r="P399">
        <v>1.8372960525428493E-2</v>
      </c>
      <c r="Q399">
        <v>8.8903946711843898E-4</v>
      </c>
      <c r="R399">
        <v>1.4194230172707395E-3</v>
      </c>
      <c r="S399">
        <v>0.10926879852582222</v>
      </c>
      <c r="T399">
        <v>1.0311439997376419</v>
      </c>
      <c r="U399">
        <v>0</v>
      </c>
      <c r="V399">
        <v>0.20947836829334734</v>
      </c>
      <c r="W399">
        <v>8.5383883536994581E-2</v>
      </c>
      <c r="X399">
        <v>2.9678466504810805E-2</v>
      </c>
      <c r="Y399">
        <v>3.863201540339064E-3</v>
      </c>
    </row>
    <row r="400" spans="1:25" x14ac:dyDescent="0.25">
      <c r="A400" s="1095"/>
      <c r="B400" s="1454">
        <v>150</v>
      </c>
      <c r="C400" s="1099">
        <v>1.0332319827664169</v>
      </c>
      <c r="D400" s="1099">
        <v>0.99325319077761354</v>
      </c>
      <c r="E400" s="1099">
        <v>0.99710480849473526</v>
      </c>
      <c r="F400" s="1099">
        <v>0.99813281683253885</v>
      </c>
      <c r="G400" s="1099">
        <v>1.0333796979577754</v>
      </c>
      <c r="H400" s="1099">
        <v>0.97225570542864836</v>
      </c>
      <c r="I400" s="1099">
        <v>1.0006962022709736</v>
      </c>
      <c r="K400">
        <v>1.7166596832948797</v>
      </c>
      <c r="L400">
        <v>0</v>
      </c>
      <c r="M400">
        <v>1.3104102456573989E-3</v>
      </c>
      <c r="N400">
        <v>0.11948466654578849</v>
      </c>
      <c r="O400">
        <v>0.12597528484531664</v>
      </c>
      <c r="P400">
        <v>1.8248474858316144E-2</v>
      </c>
      <c r="Q400">
        <v>8.6963010827567926E-4</v>
      </c>
      <c r="R400">
        <v>1.3069472730127412E-3</v>
      </c>
      <c r="S400">
        <v>0.10328598354971347</v>
      </c>
      <c r="T400">
        <v>1.029216094602724</v>
      </c>
      <c r="U400">
        <v>0</v>
      </c>
      <c r="V400">
        <v>0.20819018788227708</v>
      </c>
      <c r="W400">
        <v>7.8628641331690674E-2</v>
      </c>
      <c r="X400">
        <v>2.9207102901332469E-2</v>
      </c>
      <c r="Y400">
        <v>3.5570796420879226E-3</v>
      </c>
    </row>
    <row r="401" spans="1:25" x14ac:dyDescent="0.25">
      <c r="A401" s="1095"/>
      <c r="B401" s="1454">
        <v>151</v>
      </c>
      <c r="C401" s="1099">
        <v>0.9621447898988259</v>
      </c>
      <c r="D401" s="1099">
        <v>0.98894802306978258</v>
      </c>
      <c r="E401" s="1099">
        <v>0.98122848804790541</v>
      </c>
      <c r="F401" s="1099">
        <v>0.99879140100713615</v>
      </c>
      <c r="G401" s="1099">
        <v>0.97022192154845144</v>
      </c>
      <c r="H401" s="1099">
        <v>0.98801839349862963</v>
      </c>
      <c r="I401" s="1099">
        <v>1.0217983738048548</v>
      </c>
      <c r="K401">
        <v>1.7514060051427411</v>
      </c>
      <c r="L401">
        <v>0</v>
      </c>
      <c r="M401">
        <v>1.4728410665455116E-3</v>
      </c>
      <c r="N401">
        <v>0.1280045637429571</v>
      </c>
      <c r="O401">
        <v>0.12985172636579773</v>
      </c>
      <c r="P401">
        <v>1.8236686342749282E-2</v>
      </c>
      <c r="Q401">
        <v>9.2014514050067873E-4</v>
      </c>
      <c r="R401">
        <v>1.4689912576957621E-3</v>
      </c>
      <c r="S401">
        <v>0.11427323599993192</v>
      </c>
      <c r="T401">
        <v>1.0303716936400749</v>
      </c>
      <c r="U401">
        <v>0</v>
      </c>
      <c r="V401">
        <v>0.21129432609001694</v>
      </c>
      <c r="W401">
        <v>8.5040798779977625E-2</v>
      </c>
      <c r="X401">
        <v>2.941856889897582E-2</v>
      </c>
      <c r="Y401">
        <v>3.9981099506099108E-3</v>
      </c>
    </row>
    <row r="402" spans="1:25" x14ac:dyDescent="0.25">
      <c r="A402" s="1095"/>
      <c r="B402" s="1454">
        <v>152</v>
      </c>
      <c r="C402" s="1099">
        <v>1.0056943866457404</v>
      </c>
      <c r="D402" s="1099">
        <v>0.9908869879625628</v>
      </c>
      <c r="E402" s="1099">
        <v>1.0009253436436736</v>
      </c>
      <c r="F402" s="1099">
        <v>1.0335486198386428</v>
      </c>
      <c r="G402" s="1099">
        <v>0.97363509946086313</v>
      </c>
      <c r="H402" s="1099">
        <v>0.99404747050621856</v>
      </c>
      <c r="I402" s="1099">
        <v>1.019166126527816</v>
      </c>
      <c r="K402">
        <v>1.7780873725029338</v>
      </c>
      <c r="L402">
        <v>0</v>
      </c>
      <c r="M402">
        <v>1.3685820416891406E-3</v>
      </c>
      <c r="N402">
        <v>0.12624541453773441</v>
      </c>
      <c r="O402">
        <v>0.13016229951418204</v>
      </c>
      <c r="P402">
        <v>1.8904561093286296E-2</v>
      </c>
      <c r="Q402">
        <v>8.9784615717556238E-4</v>
      </c>
      <c r="R402">
        <v>1.3650489576058184E-3</v>
      </c>
      <c r="S402">
        <v>0.10984914610891219</v>
      </c>
      <c r="T402">
        <v>1.0656172973989673</v>
      </c>
      <c r="U402">
        <v>0</v>
      </c>
      <c r="V402">
        <v>0.20947249112149349</v>
      </c>
      <c r="W402">
        <v>8.2889072617752871E-2</v>
      </c>
      <c r="X402">
        <v>3.0337563763176107E-2</v>
      </c>
      <c r="Y402">
        <v>3.7152132743351E-3</v>
      </c>
    </row>
    <row r="403" spans="1:25" x14ac:dyDescent="0.25">
      <c r="A403" s="1095"/>
      <c r="B403" s="1454">
        <v>153</v>
      </c>
      <c r="C403" s="1099">
        <v>1.0228758812100087</v>
      </c>
      <c r="D403" s="1099">
        <v>1.0389816076382026</v>
      </c>
      <c r="E403" s="1099">
        <v>1.0392017244257148</v>
      </c>
      <c r="F403" s="1099">
        <v>0.96664872014868142</v>
      </c>
      <c r="G403" s="1099">
        <v>1.0206897655432163</v>
      </c>
      <c r="H403" s="1099">
        <v>0.96640013802969837</v>
      </c>
      <c r="I403" s="1099">
        <v>1.006094853349448</v>
      </c>
      <c r="K403">
        <v>1.675956581177676</v>
      </c>
      <c r="L403">
        <v>0</v>
      </c>
      <c r="M403">
        <v>1.1696662750473627E-3</v>
      </c>
      <c r="N403">
        <v>0.12108979736605856</v>
      </c>
      <c r="O403">
        <v>0.1222681477500444</v>
      </c>
      <c r="P403">
        <v>1.8286469411314257E-2</v>
      </c>
      <c r="Q403">
        <v>9.0087442834984395E-4</v>
      </c>
      <c r="R403">
        <v>1.1665186982929639E-3</v>
      </c>
      <c r="S403">
        <v>0.10145778794094251</v>
      </c>
      <c r="T403">
        <v>0.99556375683201426</v>
      </c>
      <c r="U403">
        <v>0</v>
      </c>
      <c r="V403">
        <v>0.20557859014082511</v>
      </c>
      <c r="W403">
        <v>7.774344418220501E-2</v>
      </c>
      <c r="X403">
        <v>2.9895981348706177E-2</v>
      </c>
      <c r="Y403">
        <v>3.174879353967903E-3</v>
      </c>
    </row>
    <row r="404" spans="1:25" x14ac:dyDescent="0.25">
      <c r="A404" s="1095"/>
      <c r="B404" s="1454">
        <v>154</v>
      </c>
      <c r="C404" s="1099">
        <v>1.015894424090434</v>
      </c>
      <c r="D404" s="1099">
        <v>1.0207811133764495</v>
      </c>
      <c r="E404" s="1099">
        <v>1.0247296908886978</v>
      </c>
      <c r="F404" s="1099">
        <v>1.003544637256609</v>
      </c>
      <c r="G404" s="1099">
        <v>0.99350727678657025</v>
      </c>
      <c r="H404" s="1099">
        <v>1.0073311948383918</v>
      </c>
      <c r="I404" s="1099">
        <v>0.97764396383714924</v>
      </c>
      <c r="K404">
        <v>1.7332217493253901</v>
      </c>
      <c r="L404">
        <v>0</v>
      </c>
      <c r="M404">
        <v>1.2817572347283721E-3</v>
      </c>
      <c r="N404">
        <v>0.1270461193066075</v>
      </c>
      <c r="O404">
        <v>0.12611791356205188</v>
      </c>
      <c r="P404">
        <v>1.8676478924529376E-2</v>
      </c>
      <c r="Q404">
        <v>9.0012287499559708E-4</v>
      </c>
      <c r="R404">
        <v>1.2784677990406591E-3</v>
      </c>
      <c r="S404">
        <v>0.10322534389314568</v>
      </c>
      <c r="T404">
        <v>1.0339813170402117</v>
      </c>
      <c r="U404">
        <v>0</v>
      </c>
      <c r="V404">
        <v>0.20721274723740968</v>
      </c>
      <c r="W404">
        <v>8.2254637506658207E-2</v>
      </c>
      <c r="X404">
        <v>3.0330790513277431E-2</v>
      </c>
      <c r="Y404">
        <v>3.4795679021919872E-3</v>
      </c>
    </row>
    <row r="405" spans="1:25" x14ac:dyDescent="0.25">
      <c r="A405" s="1095"/>
      <c r="B405" s="1454">
        <v>155</v>
      </c>
      <c r="C405" s="1099">
        <v>0.99057350765596264</v>
      </c>
      <c r="D405" s="1099">
        <v>0.99839398108031219</v>
      </c>
      <c r="E405" s="1099">
        <v>1.0155958064205419</v>
      </c>
      <c r="F405" s="1099">
        <v>1.0012257872699397</v>
      </c>
      <c r="G405" s="1099">
        <v>0.99887233731664837</v>
      </c>
      <c r="H405" s="1099">
        <v>0.98271630647779906</v>
      </c>
      <c r="I405" s="1099">
        <v>1.0400228534778193</v>
      </c>
      <c r="K405">
        <v>1.7462815087184709</v>
      </c>
      <c r="L405">
        <v>0</v>
      </c>
      <c r="M405">
        <v>1.321202825553539E-3</v>
      </c>
      <c r="N405">
        <v>0.12738917391411941</v>
      </c>
      <c r="O405">
        <v>0.12821579559662935</v>
      </c>
      <c r="P405">
        <v>1.8686221751597419E-2</v>
      </c>
      <c r="Q405">
        <v>9.2267118705739097E-4</v>
      </c>
      <c r="R405">
        <v>1.3177339453817429E-3</v>
      </c>
      <c r="S405">
        <v>0.11218125483292769</v>
      </c>
      <c r="T405">
        <v>1.0318585232245781</v>
      </c>
      <c r="U405">
        <v>0</v>
      </c>
      <c r="V405">
        <v>0.21010761728218322</v>
      </c>
      <c r="W405">
        <v>8.2918608538589331E-2</v>
      </c>
      <c r="X405">
        <v>3.041867386251006E-2</v>
      </c>
      <c r="Y405">
        <v>3.5864374084507537E-3</v>
      </c>
    </row>
    <row r="406" spans="1:25" x14ac:dyDescent="0.25">
      <c r="A406" s="1095"/>
      <c r="B406" s="1454">
        <v>156</v>
      </c>
      <c r="C406" s="1099">
        <v>1.0040896590426971</v>
      </c>
      <c r="D406" s="1099">
        <v>0.99110718345277937</v>
      </c>
      <c r="E406" s="1099">
        <v>0.99109131239795434</v>
      </c>
      <c r="F406" s="1099">
        <v>0.98853819574319368</v>
      </c>
      <c r="G406" s="1099">
        <v>0.97979213951987787</v>
      </c>
      <c r="H406" s="1099">
        <v>0.98637416977900139</v>
      </c>
      <c r="I406" s="1099">
        <v>0.95963466958696686</v>
      </c>
      <c r="K406">
        <v>1.7139102514369815</v>
      </c>
      <c r="L406">
        <v>0</v>
      </c>
      <c r="M406">
        <v>1.3824969591824724E-3</v>
      </c>
      <c r="N406">
        <v>0.12379088090057519</v>
      </c>
      <c r="O406">
        <v>0.12678587291055063</v>
      </c>
      <c r="P406">
        <v>1.8018933168106155E-2</v>
      </c>
      <c r="Q406">
        <v>8.9006017122644744E-4</v>
      </c>
      <c r="R406">
        <v>1.3788856682271783E-3</v>
      </c>
      <c r="S406">
        <v>0.10278626896193335</v>
      </c>
      <c r="T406">
        <v>1.0195004422587879</v>
      </c>
      <c r="U406">
        <v>0</v>
      </c>
      <c r="V406">
        <v>0.20752397507458251</v>
      </c>
      <c r="W406">
        <v>8.1755449960112733E-2</v>
      </c>
      <c r="X406">
        <v>2.9109107082682793E-2</v>
      </c>
      <c r="Y406">
        <v>3.7528722393760116E-3</v>
      </c>
    </row>
    <row r="407" spans="1:25" x14ac:dyDescent="0.25">
      <c r="A407" s="1095"/>
      <c r="B407" s="1454">
        <v>157</v>
      </c>
      <c r="C407" s="1099">
        <v>1.0183457521894315</v>
      </c>
      <c r="D407" s="1099">
        <v>1.0009278661198815</v>
      </c>
      <c r="E407" s="1099">
        <v>1.0315806900488265</v>
      </c>
      <c r="F407" s="1099">
        <v>1.0241433822968216</v>
      </c>
      <c r="G407" s="1099">
        <v>0.97897242335207368</v>
      </c>
      <c r="H407" s="1099">
        <v>0.99855658054427687</v>
      </c>
      <c r="I407" s="1099">
        <v>1.0091727837536779</v>
      </c>
      <c r="K407">
        <v>1.7639920187134346</v>
      </c>
      <c r="L407">
        <v>0</v>
      </c>
      <c r="M407">
        <v>1.2665777722104712E-3</v>
      </c>
      <c r="N407">
        <v>0.12816063746506701</v>
      </c>
      <c r="O407">
        <v>0.1284610553986236</v>
      </c>
      <c r="P407">
        <v>1.9128502684429234E-2</v>
      </c>
      <c r="Q407">
        <v>9.1139400464536639E-4</v>
      </c>
      <c r="R407">
        <v>1.263317240820568E-3</v>
      </c>
      <c r="S407">
        <v>0.10713376523164936</v>
      </c>
      <c r="T407">
        <v>1.0550020820893662</v>
      </c>
      <c r="U407">
        <v>0</v>
      </c>
      <c r="V407">
        <v>0.20797666811205687</v>
      </c>
      <c r="W407">
        <v>8.264641581766427E-2</v>
      </c>
      <c r="X407">
        <v>3.1136425364225818E-2</v>
      </c>
      <c r="Y407">
        <v>3.4383330770970731E-3</v>
      </c>
    </row>
    <row r="408" spans="1:25" x14ac:dyDescent="0.25">
      <c r="A408" s="1095"/>
      <c r="B408" s="1454">
        <v>158</v>
      </c>
      <c r="C408" s="1099">
        <v>0.98533947179857551</v>
      </c>
      <c r="D408" s="1099">
        <v>1.0041466138333865</v>
      </c>
      <c r="E408" s="1099">
        <v>0.99753567193764536</v>
      </c>
      <c r="F408" s="1099">
        <v>1.0122789769096499</v>
      </c>
      <c r="G408" s="1099">
        <v>0.97812177216312546</v>
      </c>
      <c r="H408" s="1099">
        <v>0.98081179096771665</v>
      </c>
      <c r="I408" s="1099">
        <v>1.0103656907406975</v>
      </c>
      <c r="K408">
        <v>1.7525451295494681</v>
      </c>
      <c r="L408">
        <v>0</v>
      </c>
      <c r="M408">
        <v>1.3723615726565651E-3</v>
      </c>
      <c r="N408">
        <v>0.12529780739077445</v>
      </c>
      <c r="O408">
        <v>0.12899231472238396</v>
      </c>
      <c r="P408">
        <v>1.8554536969118216E-2</v>
      </c>
      <c r="Q408">
        <v>9.0833479333165092E-4</v>
      </c>
      <c r="R408">
        <v>1.3687493195629482E-3</v>
      </c>
      <c r="S408">
        <v>0.10904108042822939</v>
      </c>
      <c r="T408">
        <v>1.043789785940324</v>
      </c>
      <c r="U408">
        <v>0</v>
      </c>
      <c r="V408">
        <v>0.20990657808172283</v>
      </c>
      <c r="W408">
        <v>8.2432907134606492E-2</v>
      </c>
      <c r="X408">
        <v>2.9900111902311583E-2</v>
      </c>
      <c r="Y408">
        <v>3.725284439758416E-3</v>
      </c>
    </row>
    <row r="409" spans="1:25" x14ac:dyDescent="0.25">
      <c r="A409" s="1095"/>
      <c r="B409" s="1454">
        <v>159</v>
      </c>
      <c r="C409" s="1099">
        <v>1.0039677376770764</v>
      </c>
      <c r="D409" s="1099">
        <v>1.0124994827394729</v>
      </c>
      <c r="E409" s="1099">
        <v>1.0091051341401602</v>
      </c>
      <c r="F409" s="1099">
        <v>0.98126322633743202</v>
      </c>
      <c r="G409" s="1099">
        <v>0.97574203644832946</v>
      </c>
      <c r="H409" s="1099">
        <v>0.99052357405174551</v>
      </c>
      <c r="I409" s="1099">
        <v>1.0028301142975649</v>
      </c>
      <c r="K409">
        <v>1.7080012963758997</v>
      </c>
      <c r="L409">
        <v>0</v>
      </c>
      <c r="M409">
        <v>1.3200066229679659E-3</v>
      </c>
      <c r="N409">
        <v>0.12480608627943091</v>
      </c>
      <c r="O409">
        <v>0.12534177429432863</v>
      </c>
      <c r="P409">
        <v>1.8184806520042195E-2</v>
      </c>
      <c r="Q409">
        <v>8.9923518301984469E-4</v>
      </c>
      <c r="R409">
        <v>1.3165569540899008E-3</v>
      </c>
      <c r="S409">
        <v>0.10629216026102375</v>
      </c>
      <c r="T409">
        <v>1.0114721991766573</v>
      </c>
      <c r="U409">
        <v>0</v>
      </c>
      <c r="V409">
        <v>0.20637370252563456</v>
      </c>
      <c r="W409">
        <v>8.1548202501728381E-2</v>
      </c>
      <c r="X409">
        <v>2.9503345276762436E-2</v>
      </c>
      <c r="Y409">
        <v>3.5832340261494353E-3</v>
      </c>
    </row>
    <row r="410" spans="1:25" x14ac:dyDescent="0.25">
      <c r="A410" s="1095"/>
      <c r="B410" s="1454">
        <v>160</v>
      </c>
      <c r="C410" s="1099">
        <v>1.0016927857676308</v>
      </c>
      <c r="D410" s="1099">
        <v>0.99222129064055375</v>
      </c>
      <c r="E410" s="1099">
        <v>0.99263881928526176</v>
      </c>
      <c r="F410" s="1099">
        <v>1.013290017515089</v>
      </c>
      <c r="G410" s="1099">
        <v>1.0122981196180723</v>
      </c>
      <c r="H410" s="1099">
        <v>0.96990382977664602</v>
      </c>
      <c r="I410" s="1099">
        <v>1.0051752672742884</v>
      </c>
      <c r="K410">
        <v>1.7469003162404271</v>
      </c>
      <c r="L410">
        <v>0</v>
      </c>
      <c r="M410">
        <v>1.3600622720587108E-3</v>
      </c>
      <c r="N410">
        <v>0.12234821996581102</v>
      </c>
      <c r="O410">
        <v>0.12874466443428886</v>
      </c>
      <c r="P410">
        <v>1.8481527064687451E-2</v>
      </c>
      <c r="Q410">
        <v>8.93227299524404E-4</v>
      </c>
      <c r="R410">
        <v>1.3564555477753773E-3</v>
      </c>
      <c r="S410">
        <v>0.10682392556649521</v>
      </c>
      <c r="T410">
        <v>1.0449805278155633</v>
      </c>
      <c r="U410">
        <v>0</v>
      </c>
      <c r="V410">
        <v>0.21056119186203848</v>
      </c>
      <c r="W410">
        <v>8.0727907462701892E-2</v>
      </c>
      <c r="X410">
        <v>2.9650906648006528E-2</v>
      </c>
      <c r="Y410">
        <v>3.6918248455934288E-3</v>
      </c>
    </row>
    <row r="411" spans="1:25" x14ac:dyDescent="0.25">
      <c r="A411" s="1095"/>
      <c r="B411" s="1454">
        <v>161</v>
      </c>
      <c r="C411" s="1099">
        <v>0.99245360972580021</v>
      </c>
      <c r="D411" s="1099">
        <v>1.0196230142893079</v>
      </c>
      <c r="E411" s="1099">
        <v>0.98267336827645912</v>
      </c>
      <c r="F411" s="1099">
        <v>0.98112393569061973</v>
      </c>
      <c r="G411" s="1099">
        <v>0.98894622811146415</v>
      </c>
      <c r="H411" s="1099">
        <v>0.99187048879966233</v>
      </c>
      <c r="I411" s="1099">
        <v>1.0224791006414164</v>
      </c>
      <c r="K411">
        <v>1.7096681693600742</v>
      </c>
      <c r="L411">
        <v>0</v>
      </c>
      <c r="M411">
        <v>1.4052730342669175E-3</v>
      </c>
      <c r="N411">
        <v>0.12266701013901694</v>
      </c>
      <c r="O411">
        <v>0.12549396368423571</v>
      </c>
      <c r="P411">
        <v>1.7893026637519537E-2</v>
      </c>
      <c r="Q411">
        <v>8.8254526434620117E-4</v>
      </c>
      <c r="R411">
        <v>1.4015971234022943E-3</v>
      </c>
      <c r="S411">
        <v>0.10913963843920478</v>
      </c>
      <c r="T411">
        <v>1.012102704934706</v>
      </c>
      <c r="U411">
        <v>0</v>
      </c>
      <c r="V411">
        <v>0.20768987742769529</v>
      </c>
      <c r="W411">
        <v>8.1423795178009128E-2</v>
      </c>
      <c r="X411">
        <v>2.8564598232669762E-2</v>
      </c>
      <c r="Y411">
        <v>3.8146853335334903E-3</v>
      </c>
    </row>
    <row r="412" spans="1:25" x14ac:dyDescent="0.25">
      <c r="A412" s="1095"/>
      <c r="B412" s="1454">
        <v>162</v>
      </c>
      <c r="C412" s="1099">
        <v>1.0143558392327832</v>
      </c>
      <c r="D412" s="1099">
        <v>0.98644092864605415</v>
      </c>
      <c r="E412" s="1099">
        <v>0.99582435362501032</v>
      </c>
      <c r="F412" s="1099">
        <v>0.99663876189999334</v>
      </c>
      <c r="G412" s="1099">
        <v>0.97957519889261813</v>
      </c>
      <c r="H412" s="1099">
        <v>0.98833095503773105</v>
      </c>
      <c r="I412" s="1099">
        <v>0.98898229543280736</v>
      </c>
      <c r="K412">
        <v>1.7251281651494634</v>
      </c>
      <c r="L412">
        <v>0</v>
      </c>
      <c r="M412">
        <v>1.3637484905142624E-3</v>
      </c>
      <c r="N412">
        <v>0.1238730937491189</v>
      </c>
      <c r="O412">
        <v>0.12711158844371728</v>
      </c>
      <c r="P412">
        <v>1.822654100379089E-2</v>
      </c>
      <c r="Q412">
        <v>8.8707426494768961E-4</v>
      </c>
      <c r="R412">
        <v>1.360201949403869E-3</v>
      </c>
      <c r="S412">
        <v>0.10541248664016832</v>
      </c>
      <c r="T412">
        <v>1.0277135830585591</v>
      </c>
      <c r="U412">
        <v>0</v>
      </c>
      <c r="V412">
        <v>0.20723750494808535</v>
      </c>
      <c r="W412">
        <v>8.1578744264563949E-2</v>
      </c>
      <c r="X412">
        <v>2.938907400179348E-2</v>
      </c>
      <c r="Y412">
        <v>3.7020213158252169E-3</v>
      </c>
    </row>
    <row r="413" spans="1:25" x14ac:dyDescent="0.25">
      <c r="A413" s="1095"/>
      <c r="B413" s="1454">
        <v>163</v>
      </c>
      <c r="C413" s="1099">
        <v>0.97131001015328877</v>
      </c>
      <c r="D413" s="1099">
        <v>0.9985995736469504</v>
      </c>
      <c r="E413" s="1099">
        <v>1.0021672209031434</v>
      </c>
      <c r="F413" s="1099">
        <v>1.0340846999484248</v>
      </c>
      <c r="G413" s="1099">
        <v>0.9982707135125507</v>
      </c>
      <c r="H413" s="1099">
        <v>0.97823620705324565</v>
      </c>
      <c r="I413" s="1099">
        <v>0.98574482886895753</v>
      </c>
      <c r="K413">
        <v>1.7854363685767876</v>
      </c>
      <c r="L413">
        <v>0</v>
      </c>
      <c r="M413">
        <v>1.3806558137489106E-3</v>
      </c>
      <c r="N413">
        <v>0.12783106224431964</v>
      </c>
      <c r="O413">
        <v>0.13168501910073782</v>
      </c>
      <c r="P413">
        <v>1.8960282779245066E-2</v>
      </c>
      <c r="Q413">
        <v>9.2794432419425249E-4</v>
      </c>
      <c r="R413">
        <v>1.3770183706447582E-3</v>
      </c>
      <c r="S413">
        <v>0.10816185368332104</v>
      </c>
      <c r="T413">
        <v>1.0661318944350231</v>
      </c>
      <c r="U413">
        <v>0</v>
      </c>
      <c r="V413">
        <v>0.21344207407110727</v>
      </c>
      <c r="W413">
        <v>8.3868312041704141E-2</v>
      </c>
      <c r="X413">
        <v>3.0683773269327752E-2</v>
      </c>
      <c r="Y413">
        <v>3.7477900709111463E-3</v>
      </c>
    </row>
    <row r="414" spans="1:25" x14ac:dyDescent="0.25">
      <c r="A414" s="1095"/>
      <c r="B414" s="1454">
        <v>164</v>
      </c>
      <c r="C414" s="1099">
        <v>0.99361225224035044</v>
      </c>
      <c r="D414" s="1099">
        <v>0.99960835701898498</v>
      </c>
      <c r="E414" s="1099">
        <v>0.97906320780480027</v>
      </c>
      <c r="F414" s="1099">
        <v>1.0348247958716659</v>
      </c>
      <c r="G414" s="1099">
        <v>1.0377732268444282</v>
      </c>
      <c r="H414" s="1099">
        <v>1.0059022177898649</v>
      </c>
      <c r="I414" s="1099">
        <v>0.99609826826336834</v>
      </c>
      <c r="K414">
        <v>1.7828357057853461</v>
      </c>
      <c r="L414">
        <v>0</v>
      </c>
      <c r="M414">
        <v>1.4578029922180779E-3</v>
      </c>
      <c r="N414">
        <v>0.1258773711695001</v>
      </c>
      <c r="O414">
        <v>0.130393129013849</v>
      </c>
      <c r="P414">
        <v>1.866076626945622E-2</v>
      </c>
      <c r="Q414">
        <v>8.8518060835813997E-4</v>
      </c>
      <c r="R414">
        <v>1.4540744022810692E-3</v>
      </c>
      <c r="S414">
        <v>0.10881262731412761</v>
      </c>
      <c r="T414">
        <v>1.0676123470450019</v>
      </c>
      <c r="U414">
        <v>0</v>
      </c>
      <c r="V414">
        <v>0.21333627554903917</v>
      </c>
      <c r="W414">
        <v>8.3736979810420761E-2</v>
      </c>
      <c r="X414">
        <v>2.9567246408019159E-2</v>
      </c>
      <c r="Y414">
        <v>3.9575111875111823E-3</v>
      </c>
    </row>
    <row r="415" spans="1:25" x14ac:dyDescent="0.25">
      <c r="A415" s="1095"/>
      <c r="B415" s="1454">
        <v>165</v>
      </c>
      <c r="C415" s="1099">
        <v>0.98948041513690965</v>
      </c>
      <c r="D415" s="1099">
        <v>1.0106262006546247</v>
      </c>
      <c r="E415" s="1099">
        <v>0.99877977166642928</v>
      </c>
      <c r="F415" s="1099">
        <v>0.97135762447696083</v>
      </c>
      <c r="G415" s="1099">
        <v>0.99470508718630213</v>
      </c>
      <c r="H415" s="1099">
        <v>0.9718622498309506</v>
      </c>
      <c r="I415" s="1099">
        <v>1.0132110311759548</v>
      </c>
      <c r="K415">
        <v>1.697833822416742</v>
      </c>
      <c r="L415">
        <v>0</v>
      </c>
      <c r="M415">
        <v>1.3412012673922208E-3</v>
      </c>
      <c r="N415">
        <v>0.12290958707094812</v>
      </c>
      <c r="O415">
        <v>0.12536650403273683</v>
      </c>
      <c r="P415">
        <v>1.7950969655679168E-2</v>
      </c>
      <c r="Q415">
        <v>9.0337485819007508E-4</v>
      </c>
      <c r="R415">
        <v>1.3376226189128048E-3</v>
      </c>
      <c r="S415">
        <v>0.10760097640676367</v>
      </c>
      <c r="T415">
        <v>1.0015586195878854</v>
      </c>
      <c r="U415">
        <v>0</v>
      </c>
      <c r="V415">
        <v>0.20801978541706234</v>
      </c>
      <c r="W415">
        <v>8.0801850876383696E-2</v>
      </c>
      <c r="X415">
        <v>2.9085165338066991E-2</v>
      </c>
      <c r="Y415">
        <v>3.6405678215028375E-3</v>
      </c>
    </row>
    <row r="416" spans="1:25" x14ac:dyDescent="0.25">
      <c r="A416" s="1095"/>
      <c r="B416" s="1454">
        <v>166</v>
      </c>
      <c r="C416" s="1099">
        <v>1.0405971660657412</v>
      </c>
      <c r="D416" s="1099">
        <v>0.98860142636109594</v>
      </c>
      <c r="E416" s="1099">
        <v>0.99603886576434031</v>
      </c>
      <c r="F416" s="1099">
        <v>0.98684273823521118</v>
      </c>
      <c r="G416" s="1099">
        <v>0.97143854689148224</v>
      </c>
      <c r="H416" s="1099">
        <v>1.0048406269582484</v>
      </c>
      <c r="I416" s="1099">
        <v>1.0107300298772639</v>
      </c>
      <c r="K416">
        <v>1.708026167369828</v>
      </c>
      <c r="L416">
        <v>0</v>
      </c>
      <c r="M416">
        <v>1.3509394948168442E-3</v>
      </c>
      <c r="N416">
        <v>0.1227947229722104</v>
      </c>
      <c r="O416">
        <v>0.12497477129668121</v>
      </c>
      <c r="P416">
        <v>1.8059384995980254E-2</v>
      </c>
      <c r="Q416">
        <v>8.6414060973491057E-4</v>
      </c>
      <c r="R416">
        <v>1.347486948524191E-3</v>
      </c>
      <c r="S416">
        <v>0.10608855575923688</v>
      </c>
      <c r="T416">
        <v>1.0176058045345253</v>
      </c>
      <c r="U416">
        <v>0</v>
      </c>
      <c r="V416">
        <v>0.20416313423844454</v>
      </c>
      <c r="W416">
        <v>8.0858221948258424E-2</v>
      </c>
      <c r="X416">
        <v>2.8953468286116887E-2</v>
      </c>
      <c r="Y416">
        <v>3.6674152749296479E-3</v>
      </c>
    </row>
    <row r="417" spans="1:25" x14ac:dyDescent="0.25">
      <c r="A417" s="1095"/>
      <c r="B417" s="1454">
        <v>167</v>
      </c>
      <c r="C417" s="1099">
        <v>1.005234332587676</v>
      </c>
      <c r="D417" s="1099">
        <v>0.97372527301161094</v>
      </c>
      <c r="E417" s="1099">
        <v>0.98170232092991749</v>
      </c>
      <c r="F417" s="1099">
        <v>0.99834689214182237</v>
      </c>
      <c r="G417" s="1099">
        <v>1.0278694840732117</v>
      </c>
      <c r="H417" s="1099">
        <v>0.98912432218160629</v>
      </c>
      <c r="I417" s="1099">
        <v>1.0141270528091728</v>
      </c>
      <c r="K417">
        <v>1.7377485160259298</v>
      </c>
      <c r="L417">
        <v>0</v>
      </c>
      <c r="M417">
        <v>1.4280943818277892E-3</v>
      </c>
      <c r="N417">
        <v>0.12429618812803507</v>
      </c>
      <c r="O417">
        <v>0.12824596008787206</v>
      </c>
      <c r="P417">
        <v>1.8171523656102709E-2</v>
      </c>
      <c r="Q417">
        <v>8.8662453581225451E-4</v>
      </c>
      <c r="R417">
        <v>1.4243902922476891E-3</v>
      </c>
      <c r="S417">
        <v>0.10994017257941543</v>
      </c>
      <c r="T417">
        <v>1.0298988061336891</v>
      </c>
      <c r="U417">
        <v>0</v>
      </c>
      <c r="V417">
        <v>0.2107721856533025</v>
      </c>
      <c r="W417">
        <v>8.2553515974146327E-2</v>
      </c>
      <c r="X417">
        <v>2.9110522541770843E-2</v>
      </c>
      <c r="Y417">
        <v>3.8767208253645651E-3</v>
      </c>
    </row>
    <row r="418" spans="1:25" x14ac:dyDescent="0.25">
      <c r="A418" s="1095"/>
      <c r="B418" s="1454">
        <v>168</v>
      </c>
      <c r="C418" s="1099">
        <v>1.0341746908524605</v>
      </c>
      <c r="D418" s="1099">
        <v>1.0218790051618749</v>
      </c>
      <c r="E418" s="1099">
        <v>1.0134636049320613</v>
      </c>
      <c r="F418" s="1099">
        <v>0.99976662671666783</v>
      </c>
      <c r="G418" s="1099">
        <v>0.99938823743132488</v>
      </c>
      <c r="H418" s="1099">
        <v>1.0457301994791777</v>
      </c>
      <c r="I418" s="1099">
        <v>1.0354774452781177</v>
      </c>
      <c r="K418">
        <v>1.7356846782115272</v>
      </c>
      <c r="L418">
        <v>0</v>
      </c>
      <c r="M418">
        <v>1.3387120101184208E-3</v>
      </c>
      <c r="N418">
        <v>0.12826946379199683</v>
      </c>
      <c r="O418">
        <v>0.12483448473997599</v>
      </c>
      <c r="P418">
        <v>1.8547781715128515E-2</v>
      </c>
      <c r="Q418">
        <v>8.7367127576873165E-4</v>
      </c>
      <c r="R418">
        <v>1.3354055126196921E-3</v>
      </c>
      <c r="S418">
        <v>0.11004465943607226</v>
      </c>
      <c r="T418">
        <v>1.0304171686092432</v>
      </c>
      <c r="U418">
        <v>0</v>
      </c>
      <c r="V418">
        <v>0.20576774463088146</v>
      </c>
      <c r="W418">
        <v>8.3596262533857962E-2</v>
      </c>
      <c r="X418">
        <v>2.9702214387058477E-2</v>
      </c>
      <c r="Y418">
        <v>3.6345335890418779E-3</v>
      </c>
    </row>
    <row r="419" spans="1:25" x14ac:dyDescent="0.25">
      <c r="A419" s="1095"/>
      <c r="B419" s="1454">
        <v>169</v>
      </c>
      <c r="C419" s="1099">
        <v>1.0135201569113061</v>
      </c>
      <c r="D419" s="1099">
        <v>0.98851107703706054</v>
      </c>
      <c r="E419" s="1099">
        <v>1.0304265992537085</v>
      </c>
      <c r="F419" s="1099">
        <v>0.95913790673412136</v>
      </c>
      <c r="G419" s="1099">
        <v>1.0183328629158441</v>
      </c>
      <c r="H419" s="1099">
        <v>0.98983336572414393</v>
      </c>
      <c r="I419" s="1099">
        <v>0.98569958716217354</v>
      </c>
      <c r="K419">
        <v>1.6871562326723974</v>
      </c>
      <c r="L419">
        <v>0</v>
      </c>
      <c r="M419">
        <v>1.2661436762436771E-3</v>
      </c>
      <c r="N419">
        <v>0.12766764847575826</v>
      </c>
      <c r="O419">
        <v>0.12432761429635783</v>
      </c>
      <c r="P419">
        <v>1.8138184337822827E-2</v>
      </c>
      <c r="Q419">
        <v>9.1923455956232844E-4</v>
      </c>
      <c r="R419">
        <v>1.2628432933651805E-3</v>
      </c>
      <c r="S419">
        <v>0.10494113255031126</v>
      </c>
      <c r="T419">
        <v>0.98806980087708496</v>
      </c>
      <c r="U419">
        <v>0</v>
      </c>
      <c r="V419">
        <v>0.20724997101459938</v>
      </c>
      <c r="W419">
        <v>8.2383632746619515E-2</v>
      </c>
      <c r="X419">
        <v>3.0025271048797701E-2</v>
      </c>
      <c r="Y419">
        <v>3.4370431483602454E-3</v>
      </c>
    </row>
    <row r="420" spans="1:25" x14ac:dyDescent="0.25">
      <c r="A420" s="1095"/>
      <c r="B420" s="1454">
        <v>170</v>
      </c>
      <c r="C420" s="1099">
        <v>0.99651768645027505</v>
      </c>
      <c r="D420" s="1099">
        <v>0.99361607759591031</v>
      </c>
      <c r="E420" s="1099">
        <v>0.9897690953521725</v>
      </c>
      <c r="F420" s="1099">
        <v>1.006024199090908</v>
      </c>
      <c r="G420" s="1099">
        <v>0.97689317430910294</v>
      </c>
      <c r="H420" s="1099">
        <v>0.99096238544345361</v>
      </c>
      <c r="I420" s="1099">
        <v>0.9639042889292182</v>
      </c>
      <c r="K420">
        <v>1.7392278810909396</v>
      </c>
      <c r="L420">
        <v>0</v>
      </c>
      <c r="M420">
        <v>1.4024886300230044E-3</v>
      </c>
      <c r="N420">
        <v>0.12508160950417874</v>
      </c>
      <c r="O420">
        <v>0.12838446888556315</v>
      </c>
      <c r="P420">
        <v>1.8283291310350652E-2</v>
      </c>
      <c r="Q420">
        <v>8.9468311895810201E-4</v>
      </c>
      <c r="R420">
        <v>1.3988436082968934E-3</v>
      </c>
      <c r="S420">
        <v>0.10423466626029392</v>
      </c>
      <c r="T420">
        <v>1.0375740505872586</v>
      </c>
      <c r="U420">
        <v>0</v>
      </c>
      <c r="V420">
        <v>0.20885600434940227</v>
      </c>
      <c r="W420">
        <v>8.2673324735840506E-2</v>
      </c>
      <c r="X420">
        <v>2.9442236187704612E-2</v>
      </c>
      <c r="Y420">
        <v>3.8071911731126003E-3</v>
      </c>
    </row>
    <row r="421" spans="1:25" x14ac:dyDescent="0.25">
      <c r="A421" s="1095"/>
      <c r="B421" s="1454">
        <v>171</v>
      </c>
      <c r="C421" s="1099">
        <v>0.97318906154352891</v>
      </c>
      <c r="D421" s="1099">
        <v>0.97791922323185876</v>
      </c>
      <c r="E421" s="1099">
        <v>0.99346831518798462</v>
      </c>
      <c r="F421" s="1099">
        <v>0.97352099730511754</v>
      </c>
      <c r="G421" s="1099">
        <v>1.0042121905482329</v>
      </c>
      <c r="H421" s="1099">
        <v>0.97104328270962181</v>
      </c>
      <c r="I421" s="1099">
        <v>1.0024037736895868</v>
      </c>
      <c r="K421">
        <v>1.7150830399478962</v>
      </c>
      <c r="L421">
        <v>0</v>
      </c>
      <c r="M421">
        <v>1.4025999486308393E-3</v>
      </c>
      <c r="N421">
        <v>0.12649085210343217</v>
      </c>
      <c r="O421">
        <v>0.12785099486187809</v>
      </c>
      <c r="P421">
        <v>1.7988863878023838E-2</v>
      </c>
      <c r="Q421">
        <v>9.2554263375233036E-4</v>
      </c>
      <c r="R421">
        <v>1.3988723766040463E-3</v>
      </c>
      <c r="S421">
        <v>0.11029386174959487</v>
      </c>
      <c r="T421">
        <v>1.0039435642537027</v>
      </c>
      <c r="U421">
        <v>0</v>
      </c>
      <c r="V421">
        <v>0.21097882552596361</v>
      </c>
      <c r="W421">
        <v>8.341993937176341E-2</v>
      </c>
      <c r="X421">
        <v>2.9387053670849199E-2</v>
      </c>
      <c r="Y421">
        <v>3.8072694709612009E-3</v>
      </c>
    </row>
    <row r="422" spans="1:25" x14ac:dyDescent="0.25">
      <c r="A422" s="1095"/>
      <c r="B422" s="1454">
        <v>172</v>
      </c>
      <c r="C422" s="1099">
        <v>0.98674093021834919</v>
      </c>
      <c r="D422" s="1099">
        <v>0.98055144807698458</v>
      </c>
      <c r="E422" s="1099">
        <v>0.99971161140287734</v>
      </c>
      <c r="F422" s="1099">
        <v>1.0125914060768908</v>
      </c>
      <c r="G422" s="1099">
        <v>1.0300740274862823</v>
      </c>
      <c r="H422" s="1099">
        <v>1.0181391948933955</v>
      </c>
      <c r="I422" s="1099">
        <v>1.0031752501627422</v>
      </c>
      <c r="K422">
        <v>1.7720494249512428</v>
      </c>
      <c r="L422">
        <v>0</v>
      </c>
      <c r="M422">
        <v>1.4363198073012156E-3</v>
      </c>
      <c r="N422">
        <v>0.13201659108479583</v>
      </c>
      <c r="O422">
        <v>0.13005512506447928</v>
      </c>
      <c r="P422">
        <v>1.8676978030969724E-2</v>
      </c>
      <c r="Q422">
        <v>9.1778273195616594E-4</v>
      </c>
      <c r="R422">
        <v>1.4326946086576872E-3</v>
      </c>
      <c r="S422">
        <v>0.11240778018946986</v>
      </c>
      <c r="T422">
        <v>1.0440463518530883</v>
      </c>
      <c r="U422">
        <v>0</v>
      </c>
      <c r="V422">
        <v>0.21304584116427444</v>
      </c>
      <c r="W422">
        <v>8.6740793969146149E-2</v>
      </c>
      <c r="X422">
        <v>3.0246483624591525E-2</v>
      </c>
      <c r="Y422">
        <v>3.8993224371154092E-3</v>
      </c>
    </row>
    <row r="423" spans="1:25" x14ac:dyDescent="0.25">
      <c r="A423" s="1095"/>
      <c r="B423" s="1454">
        <v>173</v>
      </c>
      <c r="C423" s="1099">
        <v>0.97807066197525361</v>
      </c>
      <c r="D423" s="1099">
        <v>0.99570114846438118</v>
      </c>
      <c r="E423" s="1099">
        <v>0.98381195691772727</v>
      </c>
      <c r="F423" s="1099">
        <v>1.002383934591363</v>
      </c>
      <c r="G423" s="1099">
        <v>0.96367656248775158</v>
      </c>
      <c r="H423" s="1099">
        <v>1.0247264637226674</v>
      </c>
      <c r="I423" s="1099">
        <v>1.010130545214458</v>
      </c>
      <c r="K423">
        <v>1.7558568134240407</v>
      </c>
      <c r="L423">
        <v>0</v>
      </c>
      <c r="M423">
        <v>1.4913056734263911E-3</v>
      </c>
      <c r="N423">
        <v>0.13063863558125927</v>
      </c>
      <c r="O423">
        <v>0.1289644784420956</v>
      </c>
      <c r="P423">
        <v>1.8286517668164855E-2</v>
      </c>
      <c r="Q423">
        <v>9.0514573896078839E-4</v>
      </c>
      <c r="R423">
        <v>1.4875489762238979E-3</v>
      </c>
      <c r="S423">
        <v>0.11344205517882414</v>
      </c>
      <c r="T423">
        <v>1.0339994855844226</v>
      </c>
      <c r="U423">
        <v>0</v>
      </c>
      <c r="V423">
        <v>0.20954513592189708</v>
      </c>
      <c r="W423">
        <v>8.6655749498237622E-2</v>
      </c>
      <c r="X423">
        <v>2.9374748564485978E-2</v>
      </c>
      <c r="Y423">
        <v>4.0486179428932288E-3</v>
      </c>
    </row>
    <row r="424" spans="1:25" x14ac:dyDescent="0.25">
      <c r="A424" s="1095"/>
      <c r="B424" s="1454">
        <v>174</v>
      </c>
      <c r="C424" s="1099">
        <v>1.0361260734994548</v>
      </c>
      <c r="D424" s="1099">
        <v>0.96185725369320307</v>
      </c>
      <c r="E424" s="1099">
        <v>0.99332094142406968</v>
      </c>
      <c r="F424" s="1099">
        <v>1.0134334807718768</v>
      </c>
      <c r="G424" s="1099">
        <v>0.99280074737366764</v>
      </c>
      <c r="H424" s="1099">
        <v>1.0025760799383145</v>
      </c>
      <c r="I424" s="1099">
        <v>1.0032623266055647</v>
      </c>
      <c r="K424">
        <v>1.7489744874850146</v>
      </c>
      <c r="L424">
        <v>0</v>
      </c>
      <c r="M424">
        <v>1.3863136921643791E-3</v>
      </c>
      <c r="N424">
        <v>0.12498077833861689</v>
      </c>
      <c r="O424">
        <v>0.12844284781606788</v>
      </c>
      <c r="P424">
        <v>1.8464262700833504E-2</v>
      </c>
      <c r="Q424">
        <v>8.7496643887390491E-4</v>
      </c>
      <c r="R424">
        <v>1.3827881961325709E-3</v>
      </c>
      <c r="S424">
        <v>0.10754518881967057</v>
      </c>
      <c r="T424">
        <v>1.0451077835043645</v>
      </c>
      <c r="U424">
        <v>0</v>
      </c>
      <c r="V424">
        <v>0.20774413624310054</v>
      </c>
      <c r="W424">
        <v>8.2431312695682699E-2</v>
      </c>
      <c r="X424">
        <v>2.962324278996754E-2</v>
      </c>
      <c r="Y424">
        <v>3.7634936338665124E-3</v>
      </c>
    </row>
    <row r="425" spans="1:25" x14ac:dyDescent="0.25">
      <c r="A425" s="1095"/>
      <c r="B425" s="1454">
        <v>175</v>
      </c>
      <c r="C425" s="1099">
        <v>0.99265124355368295</v>
      </c>
      <c r="D425" s="1099">
        <v>1.0114270365299041</v>
      </c>
      <c r="E425" s="1099">
        <v>1.0350996359699736</v>
      </c>
      <c r="F425" s="1099">
        <v>0.9859523645182906</v>
      </c>
      <c r="G425" s="1099">
        <v>0.96556535139826283</v>
      </c>
      <c r="H425" s="1099">
        <v>1.0206728263342089</v>
      </c>
      <c r="I425" s="1099">
        <v>0.99488578076028822</v>
      </c>
      <c r="K425">
        <v>1.7309845093316034</v>
      </c>
      <c r="L425">
        <v>0</v>
      </c>
      <c r="M425">
        <v>1.3033648562147118E-3</v>
      </c>
      <c r="N425">
        <v>0.13329410812872564</v>
      </c>
      <c r="O425">
        <v>0.12643159870558185</v>
      </c>
      <c r="P425">
        <v>1.8637965951275048E-2</v>
      </c>
      <c r="Q425">
        <v>9.3443427245806429E-4</v>
      </c>
      <c r="R425">
        <v>1.3000582071373179E-3</v>
      </c>
      <c r="S425">
        <v>0.10882521213689549</v>
      </c>
      <c r="T425">
        <v>1.0155606085584121</v>
      </c>
      <c r="U425">
        <v>0</v>
      </c>
      <c r="V425">
        <v>0.20718790829585798</v>
      </c>
      <c r="W425">
        <v>8.5781872491107816E-2</v>
      </c>
      <c r="X425">
        <v>3.0795777564608669E-2</v>
      </c>
      <c r="Y425">
        <v>3.5383298757549753E-3</v>
      </c>
    </row>
    <row r="426" spans="1:25" x14ac:dyDescent="0.25">
      <c r="A426" s="1095"/>
      <c r="B426" s="1454">
        <v>176</v>
      </c>
      <c r="C426" s="1099">
        <v>0.99137840696963364</v>
      </c>
      <c r="D426" s="1099">
        <v>1.0126994327058763</v>
      </c>
      <c r="E426" s="1099">
        <v>0.99732043792188918</v>
      </c>
      <c r="F426" s="1099">
        <v>0.96719340759368799</v>
      </c>
      <c r="G426" s="1099">
        <v>0.9534922561356225</v>
      </c>
      <c r="H426" s="1099">
        <v>1.0235686022540487</v>
      </c>
      <c r="I426" s="1099">
        <v>0.96740639497087799</v>
      </c>
      <c r="K426">
        <v>1.6987435138515685</v>
      </c>
      <c r="L426">
        <v>0</v>
      </c>
      <c r="M426">
        <v>1.4121216205928806E-3</v>
      </c>
      <c r="N426">
        <v>0.12885666131988738</v>
      </c>
      <c r="O426">
        <v>0.12484972890387629</v>
      </c>
      <c r="P426">
        <v>1.7816857277391664E-2</v>
      </c>
      <c r="Q426">
        <v>8.9954304796254088E-4</v>
      </c>
      <c r="R426">
        <v>1.4085419337161536E-3</v>
      </c>
      <c r="S426">
        <v>0.1058802606158834</v>
      </c>
      <c r="T426">
        <v>0.99730697106906563</v>
      </c>
      <c r="U426">
        <v>0</v>
      </c>
      <c r="V426">
        <v>0.2055789914236151</v>
      </c>
      <c r="W426">
        <v>8.4785129704056772E-2</v>
      </c>
      <c r="X426">
        <v>2.893936335885338E-2</v>
      </c>
      <c r="Y426">
        <v>3.8335868178517103E-3</v>
      </c>
    </row>
    <row r="427" spans="1:25" x14ac:dyDescent="0.25">
      <c r="A427" s="1095"/>
      <c r="B427" s="1454">
        <v>177</v>
      </c>
      <c r="C427" s="1099">
        <v>1.010870136850609</v>
      </c>
      <c r="D427" s="1099">
        <v>0.99825282486010136</v>
      </c>
      <c r="E427" s="1099">
        <v>0.9723940685052701</v>
      </c>
      <c r="F427" s="1099">
        <v>1.0236174412256014</v>
      </c>
      <c r="G427" s="1099">
        <v>1.0013845441422484</v>
      </c>
      <c r="H427" s="1099">
        <v>1.0336458532476209</v>
      </c>
      <c r="I427" s="1099">
        <v>1.0088954045795122</v>
      </c>
      <c r="K427">
        <v>1.7681326534619708</v>
      </c>
      <c r="L427">
        <v>0</v>
      </c>
      <c r="M427">
        <v>1.4947728725847162E-3</v>
      </c>
      <c r="N427">
        <v>0.12649941902619066</v>
      </c>
      <c r="O427">
        <v>0.12868519743198389</v>
      </c>
      <c r="P427">
        <v>1.8384957076025742E-2</v>
      </c>
      <c r="Q427">
        <v>8.6446419245221628E-4</v>
      </c>
      <c r="R427">
        <v>1.4910550650719316E-3</v>
      </c>
      <c r="S427">
        <v>0.11038315454978921</v>
      </c>
      <c r="T427">
        <v>1.0562577801962445</v>
      </c>
      <c r="U427">
        <v>0</v>
      </c>
      <c r="V427">
        <v>0.20955958672946151</v>
      </c>
      <c r="W427">
        <v>8.4491494421134281E-2</v>
      </c>
      <c r="X427">
        <v>2.8952157285245941E-2</v>
      </c>
      <c r="Y427">
        <v>4.0581603609556993E-3</v>
      </c>
    </row>
    <row r="428" spans="1:25" x14ac:dyDescent="0.25">
      <c r="A428" s="1095"/>
      <c r="B428" s="1454">
        <v>178</v>
      </c>
      <c r="C428" s="1099">
        <v>0.99843999627644076</v>
      </c>
      <c r="D428" s="1099">
        <v>0.98440796606413217</v>
      </c>
      <c r="E428" s="1099">
        <v>0.98511223091444633</v>
      </c>
      <c r="F428" s="1099">
        <v>0.98478042781730624</v>
      </c>
      <c r="G428" s="1099">
        <v>1.0380542585878947</v>
      </c>
      <c r="H428" s="1099">
        <v>1.0243694880840526</v>
      </c>
      <c r="I428" s="1099">
        <v>1.0004395446146466</v>
      </c>
      <c r="K428">
        <v>1.7308658420048164</v>
      </c>
      <c r="L428">
        <v>0</v>
      </c>
      <c r="M428">
        <v>1.4664925033235437E-3</v>
      </c>
      <c r="N428">
        <v>0.12897187016965944</v>
      </c>
      <c r="O428">
        <v>0.1270701090088803</v>
      </c>
      <c r="P428">
        <v>1.8040798305715259E-2</v>
      </c>
      <c r="Q428">
        <v>8.9194626552409003E-4</v>
      </c>
      <c r="R428">
        <v>1.4628055512085482E-3</v>
      </c>
      <c r="S428">
        <v>0.11082791764280818</v>
      </c>
      <c r="T428">
        <v>1.0158020995540311</v>
      </c>
      <c r="U428">
        <v>0</v>
      </c>
      <c r="V428">
        <v>0.21080478736590691</v>
      </c>
      <c r="W428">
        <v>8.5483238636089393E-2</v>
      </c>
      <c r="X428">
        <v>2.8995487511646878E-2</v>
      </c>
      <c r="Y428">
        <v>3.9812744966693106E-3</v>
      </c>
    </row>
    <row r="429" spans="1:25" x14ac:dyDescent="0.25">
      <c r="A429" s="1095"/>
      <c r="B429" s="1454">
        <v>179</v>
      </c>
      <c r="C429" s="1099">
        <v>1.004127974122857</v>
      </c>
      <c r="D429" s="1099">
        <v>1.0434412983715651</v>
      </c>
      <c r="E429" s="1099">
        <v>0.97996530077384558</v>
      </c>
      <c r="F429" s="1099">
        <v>0.98710459095347869</v>
      </c>
      <c r="G429" s="1099">
        <v>0.99357929172349135</v>
      </c>
      <c r="H429" s="1099">
        <v>0.99797260801223697</v>
      </c>
      <c r="I429" s="1099">
        <v>0.98732905958915962</v>
      </c>
      <c r="K429">
        <v>1.7032569282274024</v>
      </c>
      <c r="L429">
        <v>0</v>
      </c>
      <c r="M429">
        <v>1.3884182079040369E-3</v>
      </c>
      <c r="N429">
        <v>0.12020788308915598</v>
      </c>
      <c r="O429">
        <v>0.12430775780176037</v>
      </c>
      <c r="P429">
        <v>1.7845134629673742E-2</v>
      </c>
      <c r="Q429">
        <v>8.6181722281839456E-4</v>
      </c>
      <c r="R429">
        <v>1.3847982193616014E-3</v>
      </c>
      <c r="S429">
        <v>0.10319004254048988</v>
      </c>
      <c r="T429">
        <v>1.0183531525579477</v>
      </c>
      <c r="U429">
        <v>0</v>
      </c>
      <c r="V429">
        <v>0.20656198321631772</v>
      </c>
      <c r="W429">
        <v>7.9921922852978472E-2</v>
      </c>
      <c r="X429">
        <v>2.8241890050310803E-2</v>
      </c>
      <c r="Y429">
        <v>3.7689642544919532E-3</v>
      </c>
    </row>
    <row r="430" spans="1:25" x14ac:dyDescent="0.25">
      <c r="A430" s="1095"/>
      <c r="B430" s="1454">
        <v>180</v>
      </c>
      <c r="C430" s="1099">
        <v>1.0186160205855617</v>
      </c>
      <c r="D430" s="1099">
        <v>1.0263482872821805</v>
      </c>
      <c r="E430" s="1099">
        <v>0.99926282033846214</v>
      </c>
      <c r="F430" s="1099">
        <v>0.97637373496925006</v>
      </c>
      <c r="G430" s="1099">
        <v>0.98567386875668694</v>
      </c>
      <c r="H430" s="1099">
        <v>0.98615385311392079</v>
      </c>
      <c r="I430" s="1099">
        <v>1.0023059928019908</v>
      </c>
      <c r="K430">
        <v>1.689611495665565</v>
      </c>
      <c r="L430">
        <v>0</v>
      </c>
      <c r="M430">
        <v>1.312496251456261E-3</v>
      </c>
      <c r="N430">
        <v>0.12045935273299063</v>
      </c>
      <c r="O430">
        <v>0.12359731286054487</v>
      </c>
      <c r="P430">
        <v>1.793127414758405E-2</v>
      </c>
      <c r="Q430">
        <v>8.7257072098547545E-4</v>
      </c>
      <c r="R430">
        <v>1.3090448222908564E-3</v>
      </c>
      <c r="S430">
        <v>0.10357312345943789</v>
      </c>
      <c r="T430">
        <v>1.0067166546022039</v>
      </c>
      <c r="U430">
        <v>0</v>
      </c>
      <c r="V430">
        <v>0.20497381960105598</v>
      </c>
      <c r="W430">
        <v>7.91682952541264E-2</v>
      </c>
      <c r="X430">
        <v>2.8759755236035602E-2</v>
      </c>
      <c r="Y430">
        <v>3.5627884797660172E-3</v>
      </c>
    </row>
    <row r="431" spans="1:25" x14ac:dyDescent="0.25">
      <c r="A431" s="1095"/>
      <c r="B431" s="1454">
        <v>181</v>
      </c>
      <c r="C431" s="1099">
        <v>0.99236545472493642</v>
      </c>
      <c r="D431" s="1099">
        <v>1.0259010185624922</v>
      </c>
      <c r="E431" s="1099">
        <v>1.0061387749182413</v>
      </c>
      <c r="F431" s="1099">
        <v>1.0320410146210461</v>
      </c>
      <c r="G431" s="1099">
        <v>0.99183569408853478</v>
      </c>
      <c r="H431" s="1099">
        <v>0.98596117173341447</v>
      </c>
      <c r="I431" s="1099">
        <v>1.0136940701216508</v>
      </c>
      <c r="K431">
        <v>1.7713780833371524</v>
      </c>
      <c r="L431">
        <v>0</v>
      </c>
      <c r="M431">
        <v>1.331597824386702E-3</v>
      </c>
      <c r="N431">
        <v>0.12477812233782597</v>
      </c>
      <c r="O431">
        <v>0.12914863396309795</v>
      </c>
      <c r="P431">
        <v>1.8937639060219082E-2</v>
      </c>
      <c r="Q431">
        <v>9.0220840498974339E-4</v>
      </c>
      <c r="R431">
        <v>1.3281046787794279E-3</v>
      </c>
      <c r="S431">
        <v>0.10772489952647049</v>
      </c>
      <c r="T431">
        <v>1.0639035348092734</v>
      </c>
      <c r="U431">
        <v>0</v>
      </c>
      <c r="V431">
        <v>0.21036615729195546</v>
      </c>
      <c r="W431">
        <v>8.1672935147253392E-2</v>
      </c>
      <c r="X431">
        <v>3.033278281562397E-2</v>
      </c>
      <c r="Y431">
        <v>3.6146631260479075E-3</v>
      </c>
    </row>
    <row r="432" spans="1:25" x14ac:dyDescent="0.25">
      <c r="A432" s="1095"/>
      <c r="B432" s="1454">
        <v>182</v>
      </c>
      <c r="C432" s="1099">
        <v>0.9967289503006963</v>
      </c>
      <c r="D432" s="1099">
        <v>1.0322692268788616</v>
      </c>
      <c r="E432" s="1099">
        <v>1.0165882051881363</v>
      </c>
      <c r="F432" s="1099">
        <v>0.99793415901038007</v>
      </c>
      <c r="G432" s="1099">
        <v>0.96716217084271738</v>
      </c>
      <c r="H432" s="1099">
        <v>1.0077534437025053</v>
      </c>
      <c r="I432" s="1099">
        <v>1.0391778804925609</v>
      </c>
      <c r="K432">
        <v>1.7358720203917226</v>
      </c>
      <c r="L432">
        <v>0</v>
      </c>
      <c r="M432">
        <v>1.317892059779941E-3</v>
      </c>
      <c r="N432">
        <v>0.1274574071767765</v>
      </c>
      <c r="O432">
        <v>0.12612749955958319</v>
      </c>
      <c r="P432">
        <v>1.8590843402158521E-2</v>
      </c>
      <c r="Q432">
        <v>9.057393454706043E-4</v>
      </c>
      <c r="R432">
        <v>1.3144973214699914E-3</v>
      </c>
      <c r="S432">
        <v>0.11093251252532343</v>
      </c>
      <c r="T432">
        <v>1.0284372199212291</v>
      </c>
      <c r="U432">
        <v>0</v>
      </c>
      <c r="V432">
        <v>0.2068844107541635</v>
      </c>
      <c r="W432">
        <v>8.2914719044805935E-2</v>
      </c>
      <c r="X432">
        <v>3.0047435015404481E-2</v>
      </c>
      <c r="Y432">
        <v>3.5776283851157538E-3</v>
      </c>
    </row>
    <row r="433" spans="1:25" x14ac:dyDescent="0.25">
      <c r="A433" s="1095"/>
      <c r="B433" s="1454">
        <v>183</v>
      </c>
      <c r="C433" s="1099">
        <v>0.97926937399118708</v>
      </c>
      <c r="D433" s="1099">
        <v>0.98397545660389318</v>
      </c>
      <c r="E433" s="1099">
        <v>0.9899250319846904</v>
      </c>
      <c r="F433" s="1099">
        <v>0.98074472318595707</v>
      </c>
      <c r="G433" s="1099">
        <v>1.008328505554722</v>
      </c>
      <c r="H433" s="1099">
        <v>1.0046625470731427</v>
      </c>
      <c r="I433" s="1099">
        <v>1.0171567786391729</v>
      </c>
      <c r="K433">
        <v>1.730482539257622</v>
      </c>
      <c r="L433">
        <v>0</v>
      </c>
      <c r="M433">
        <v>1.4493104087295E-3</v>
      </c>
      <c r="N433">
        <v>0.12932234093811329</v>
      </c>
      <c r="O433">
        <v>0.12779734105935847</v>
      </c>
      <c r="P433">
        <v>1.808245202235868E-2</v>
      </c>
      <c r="Q433">
        <v>9.141477942471724E-4</v>
      </c>
      <c r="R433">
        <v>1.4455878938417412E-3</v>
      </c>
      <c r="S433">
        <v>0.11333438697644954</v>
      </c>
      <c r="T433">
        <v>1.0114971943468716</v>
      </c>
      <c r="U433">
        <v>0</v>
      </c>
      <c r="V433">
        <v>0.21083101693003994</v>
      </c>
      <c r="W433">
        <v>8.5468272300834675E-2</v>
      </c>
      <c r="X433">
        <v>2.9304695695118864E-2</v>
      </c>
      <c r="Y433">
        <v>3.9344137091160865E-3</v>
      </c>
    </row>
    <row r="434" spans="1:25" x14ac:dyDescent="0.25">
      <c r="A434" s="1095"/>
      <c r="B434" s="1454">
        <v>184</v>
      </c>
      <c r="C434" s="1099">
        <v>0.9939234176656061</v>
      </c>
      <c r="D434" s="1099">
        <v>0.99358448697134372</v>
      </c>
      <c r="E434" s="1099">
        <v>0.99838888134540671</v>
      </c>
      <c r="F434" s="1099">
        <v>1.0069101956708304</v>
      </c>
      <c r="G434" s="1099">
        <v>1.0291355619093125</v>
      </c>
      <c r="H434" s="1099">
        <v>1.0341337248081117</v>
      </c>
      <c r="I434" s="1099">
        <v>1.0304493780543154</v>
      </c>
      <c r="K434">
        <v>1.7654371530957054</v>
      </c>
      <c r="L434">
        <v>0</v>
      </c>
      <c r="M434">
        <v>1.4412532027861841E-3</v>
      </c>
      <c r="N434">
        <v>0.13194605505126847</v>
      </c>
      <c r="O434">
        <v>0.12862508879343248</v>
      </c>
      <c r="P434">
        <v>1.8594176962328752E-2</v>
      </c>
      <c r="Q434">
        <v>9.0510807009821256E-4</v>
      </c>
      <c r="R434">
        <v>1.4376633248581205E-3</v>
      </c>
      <c r="S434">
        <v>0.11486850796521822</v>
      </c>
      <c r="T434">
        <v>1.0382282914804222</v>
      </c>
      <c r="U434">
        <v>0</v>
      </c>
      <c r="V434">
        <v>0.2116775556656047</v>
      </c>
      <c r="W434">
        <v>8.676268217621487E-2</v>
      </c>
      <c r="X434">
        <v>2.9920431164369096E-2</v>
      </c>
      <c r="Y434">
        <v>3.9128456446761344E-3</v>
      </c>
    </row>
    <row r="435" spans="1:25" x14ac:dyDescent="0.25">
      <c r="A435" s="1095"/>
      <c r="B435" s="1454">
        <v>185</v>
      </c>
      <c r="C435" s="1099">
        <v>1.006896464594462</v>
      </c>
      <c r="D435" s="1099">
        <v>0.98811469693416698</v>
      </c>
      <c r="E435" s="1099">
        <v>0.99932482063466455</v>
      </c>
      <c r="F435" s="1099">
        <v>1.0168851832085262</v>
      </c>
      <c r="G435" s="1099">
        <v>1.0027456412167814</v>
      </c>
      <c r="H435" s="1099">
        <v>1.0362275555652702</v>
      </c>
      <c r="I435" s="1099">
        <v>0.96196272215842504</v>
      </c>
      <c r="K435">
        <v>1.7649422790611016</v>
      </c>
      <c r="L435">
        <v>0</v>
      </c>
      <c r="M435">
        <v>1.4302113224160151E-3</v>
      </c>
      <c r="N435">
        <v>0.1313076117916693</v>
      </c>
      <c r="O435">
        <v>0.12897066829204623</v>
      </c>
      <c r="P435">
        <v>1.8609817309508395E-2</v>
      </c>
      <c r="Q435">
        <v>8.9629136363371094E-4</v>
      </c>
      <c r="R435">
        <v>1.4266667507232681E-3</v>
      </c>
      <c r="S435">
        <v>0.10649169219335682</v>
      </c>
      <c r="T435">
        <v>1.0484852079453717</v>
      </c>
      <c r="U435">
        <v>0</v>
      </c>
      <c r="V435">
        <v>0.20999693002136119</v>
      </c>
      <c r="W435">
        <v>8.6294806263701063E-2</v>
      </c>
      <c r="X435">
        <v>3.0009881857243056E-2</v>
      </c>
      <c r="Y435">
        <v>3.882916594900756E-3</v>
      </c>
    </row>
    <row r="436" spans="1:25" x14ac:dyDescent="0.25">
      <c r="A436" s="1095"/>
      <c r="B436" s="1454">
        <v>186</v>
      </c>
      <c r="C436" s="1099">
        <v>1.0089911165934657</v>
      </c>
      <c r="D436" s="1099">
        <v>1.0197861586247789</v>
      </c>
      <c r="E436" s="1099">
        <v>0.97513627407923642</v>
      </c>
      <c r="F436" s="1099">
        <v>0.96040221168483175</v>
      </c>
      <c r="G436" s="1099">
        <v>0.98711858107412587</v>
      </c>
      <c r="H436" s="1099">
        <v>0.99786969766844436</v>
      </c>
      <c r="I436" s="1099">
        <v>1.0259584361178864</v>
      </c>
      <c r="K436">
        <v>1.6778322800174943</v>
      </c>
      <c r="L436">
        <v>0</v>
      </c>
      <c r="M436">
        <v>1.4116361111690598E-3</v>
      </c>
      <c r="N436">
        <v>0.12044571548038889</v>
      </c>
      <c r="O436">
        <v>0.12304765010286976</v>
      </c>
      <c r="P436">
        <v>1.7458851819330757E-2</v>
      </c>
      <c r="Q436">
        <v>8.6119163977170163E-4</v>
      </c>
      <c r="R436">
        <v>1.4079639022286444E-3</v>
      </c>
      <c r="S436">
        <v>0.10807946744665503</v>
      </c>
      <c r="T436">
        <v>0.99094643791874482</v>
      </c>
      <c r="U436">
        <v>0</v>
      </c>
      <c r="V436">
        <v>0.20511059288833208</v>
      </c>
      <c r="W436">
        <v>8.0314348979838135E-2</v>
      </c>
      <c r="X436">
        <v>2.7739682343812945E-2</v>
      </c>
      <c r="Y436">
        <v>3.8320136066907393E-3</v>
      </c>
    </row>
    <row r="437" spans="1:25" x14ac:dyDescent="0.25">
      <c r="A437" s="1095"/>
      <c r="B437" s="1454">
        <v>187</v>
      </c>
      <c r="C437" s="1099">
        <v>1.0135798276795391</v>
      </c>
      <c r="D437" s="1099">
        <v>0.96459698080191691</v>
      </c>
      <c r="E437" s="1099">
        <v>0.97684911375152184</v>
      </c>
      <c r="F437" s="1099">
        <v>1.0136982293863663</v>
      </c>
      <c r="G437" s="1099">
        <v>1.0071782169453984</v>
      </c>
      <c r="H437" s="1099">
        <v>0.97981302123701297</v>
      </c>
      <c r="I437" s="1099">
        <v>1.0208110665847832</v>
      </c>
      <c r="K437">
        <v>1.7516038633734328</v>
      </c>
      <c r="L437">
        <v>0</v>
      </c>
      <c r="M437">
        <v>1.4279684674518463E-3</v>
      </c>
      <c r="N437">
        <v>0.12247164803158705</v>
      </c>
      <c r="O437">
        <v>0.12940300941876892</v>
      </c>
      <c r="P437">
        <v>1.8309500789469711E-2</v>
      </c>
      <c r="Q437">
        <v>8.7816412382746127E-4</v>
      </c>
      <c r="R437">
        <v>1.4242438226506819E-3</v>
      </c>
      <c r="S437">
        <v>0.10986183477114544</v>
      </c>
      <c r="T437">
        <v>1.0458845999562785</v>
      </c>
      <c r="U437">
        <v>0</v>
      </c>
      <c r="V437">
        <v>0.21015164512158038</v>
      </c>
      <c r="W437">
        <v>8.1580572689439856E-2</v>
      </c>
      <c r="X437">
        <v>2.9190290932732343E-2</v>
      </c>
      <c r="Y437">
        <v>3.8763221834052001E-3</v>
      </c>
    </row>
    <row r="438" spans="1:25" x14ac:dyDescent="0.25">
      <c r="A438" s="1095"/>
      <c r="B438" s="1454">
        <v>188</v>
      </c>
      <c r="C438" s="1099">
        <v>0.96092722307879896</v>
      </c>
      <c r="D438" s="1099">
        <v>1.0057636953173095</v>
      </c>
      <c r="E438" s="1099">
        <v>0.99320423521976919</v>
      </c>
      <c r="F438" s="1099">
        <v>0.97696310897909733</v>
      </c>
      <c r="G438" s="1099">
        <v>0.96109205345481197</v>
      </c>
      <c r="H438" s="1099">
        <v>0.98862910074832377</v>
      </c>
      <c r="I438" s="1099">
        <v>1.0227098700875938</v>
      </c>
      <c r="K438">
        <v>1.7224838345500615</v>
      </c>
      <c r="L438">
        <v>0</v>
      </c>
      <c r="M438">
        <v>1.4223904207348683E-3</v>
      </c>
      <c r="N438">
        <v>0.12817734470994191</v>
      </c>
      <c r="O438">
        <v>0.12749704658664474</v>
      </c>
      <c r="P438">
        <v>1.8051309581821957E-2</v>
      </c>
      <c r="Q438">
        <v>9.2663058116502844E-4</v>
      </c>
      <c r="R438">
        <v>1.4186553981779882E-3</v>
      </c>
      <c r="S438">
        <v>0.11325247020700702</v>
      </c>
      <c r="T438">
        <v>1.0075009626976925</v>
      </c>
      <c r="U438">
        <v>0</v>
      </c>
      <c r="V438">
        <v>0.20932639264562911</v>
      </c>
      <c r="W438">
        <v>8.4545509680881439E-2</v>
      </c>
      <c r="X438">
        <v>2.9348790547621934E-2</v>
      </c>
      <c r="Y438">
        <v>3.861112334214161E-3</v>
      </c>
    </row>
    <row r="439" spans="1:25" x14ac:dyDescent="0.25">
      <c r="A439" s="1095"/>
      <c r="B439" s="1454">
        <v>189</v>
      </c>
      <c r="C439" s="1099">
        <v>1.0275703952066941</v>
      </c>
      <c r="D439" s="1099">
        <v>0.99894221844901498</v>
      </c>
      <c r="E439" s="1099">
        <v>0.98704531406556506</v>
      </c>
      <c r="F439" s="1099">
        <v>1.0153300823483375</v>
      </c>
      <c r="G439" s="1099">
        <v>0.97543672276605708</v>
      </c>
      <c r="H439" s="1099">
        <v>0.97991889781527186</v>
      </c>
      <c r="I439" s="1099">
        <v>0.98539884699990699</v>
      </c>
      <c r="K439">
        <v>1.7343548469479273</v>
      </c>
      <c r="L439">
        <v>0</v>
      </c>
      <c r="M439">
        <v>1.3527541768786398E-3</v>
      </c>
      <c r="N439">
        <v>0.11965364768334324</v>
      </c>
      <c r="O439">
        <v>0.12724344696998849</v>
      </c>
      <c r="P439">
        <v>1.8321272403610742E-2</v>
      </c>
      <c r="Q439">
        <v>8.6333609082759959E-4</v>
      </c>
      <c r="R439">
        <v>1.3492069077185574E-3</v>
      </c>
      <c r="S439">
        <v>0.10246991717775321</v>
      </c>
      <c r="T439">
        <v>1.0472549416175396</v>
      </c>
      <c r="U439">
        <v>0</v>
      </c>
      <c r="V439">
        <v>0.20653064455325101</v>
      </c>
      <c r="W439">
        <v>7.9214999138872741E-2</v>
      </c>
      <c r="X439">
        <v>2.913409214502791E-2</v>
      </c>
      <c r="Y439">
        <v>3.6720964368723175E-3</v>
      </c>
    </row>
    <row r="440" spans="1:25" x14ac:dyDescent="0.25">
      <c r="A440" s="1095"/>
      <c r="B440" s="1454">
        <v>190</v>
      </c>
      <c r="C440" s="1099">
        <v>0.98134537887629447</v>
      </c>
      <c r="D440" s="1099">
        <v>0.99968382366744091</v>
      </c>
      <c r="E440" s="1099">
        <v>0.98735832991256633</v>
      </c>
      <c r="F440" s="1099">
        <v>1.0132242752033154</v>
      </c>
      <c r="G440" s="1099">
        <v>0.95927021043431715</v>
      </c>
      <c r="H440" s="1099">
        <v>1.0388524338248235</v>
      </c>
      <c r="I440" s="1099">
        <v>1.0186717804560053</v>
      </c>
      <c r="K440">
        <v>1.7718697821944613</v>
      </c>
      <c r="L440">
        <v>0</v>
      </c>
      <c r="M440">
        <v>1.4941202694522206E-3</v>
      </c>
      <c r="N440">
        <v>0.13230128633865026</v>
      </c>
      <c r="O440">
        <v>0.12944347737473913</v>
      </c>
      <c r="P440">
        <v>1.850376004776761E-2</v>
      </c>
      <c r="Q440">
        <v>9.0402947412621007E-4</v>
      </c>
      <c r="R440">
        <v>1.4904094185293748E-3</v>
      </c>
      <c r="S440">
        <v>0.11486053564133177</v>
      </c>
      <c r="T440">
        <v>1.0450733728483241</v>
      </c>
      <c r="U440">
        <v>0</v>
      </c>
      <c r="V440">
        <v>0.20949946960917637</v>
      </c>
      <c r="W440">
        <v>8.7571729790161645E-2</v>
      </c>
      <c r="X440">
        <v>2.9659428797204304E-2</v>
      </c>
      <c r="Y440">
        <v>4.0564031239041839E-3</v>
      </c>
    </row>
    <row r="441" spans="1:25" x14ac:dyDescent="0.25">
      <c r="A441" s="1095"/>
      <c r="B441" s="1454">
        <v>191</v>
      </c>
      <c r="C441" s="1099">
        <v>1.0129139423636988</v>
      </c>
      <c r="D441" s="1099">
        <v>1.0031087100996068</v>
      </c>
      <c r="E441" s="1099">
        <v>1.0031589253875093</v>
      </c>
      <c r="F441" s="1099">
        <v>0.99612763420325823</v>
      </c>
      <c r="G441" s="1099">
        <v>1.0344532298039202</v>
      </c>
      <c r="H441" s="1099">
        <v>0.99551183961252843</v>
      </c>
      <c r="I441" s="1099">
        <v>1.0004574725521189</v>
      </c>
      <c r="K441">
        <v>1.727757306805912</v>
      </c>
      <c r="L441">
        <v>0</v>
      </c>
      <c r="M441">
        <v>1.3413128925815047E-3</v>
      </c>
      <c r="N441">
        <v>0.12456649468493317</v>
      </c>
      <c r="O441">
        <v>0.12641395413336864</v>
      </c>
      <c r="P441">
        <v>1.8357987375839983E-2</v>
      </c>
      <c r="Q441">
        <v>8.8914071061299354E-4</v>
      </c>
      <c r="R441">
        <v>1.3378382901519784E-3</v>
      </c>
      <c r="S441">
        <v>0.10618309347096819</v>
      </c>
      <c r="T441">
        <v>1.0269692179222774</v>
      </c>
      <c r="U441">
        <v>0</v>
      </c>
      <c r="V441">
        <v>0.209506874911183</v>
      </c>
      <c r="W441">
        <v>8.1678415832664955E-2</v>
      </c>
      <c r="X441">
        <v>2.9554447558971821E-2</v>
      </c>
      <c r="Y441">
        <v>3.6411548075198619E-3</v>
      </c>
    </row>
    <row r="442" spans="1:25" x14ac:dyDescent="0.25">
      <c r="A442" s="1095"/>
      <c r="B442" s="1454">
        <v>192</v>
      </c>
      <c r="C442" s="1099">
        <v>1.0088543716107921</v>
      </c>
      <c r="D442" s="1099">
        <v>0.98324757190228929</v>
      </c>
      <c r="E442" s="1099">
        <v>1.0228358274404359</v>
      </c>
      <c r="F442" s="1099">
        <v>1.0099607413530705</v>
      </c>
      <c r="G442" s="1099">
        <v>0.98753456002391393</v>
      </c>
      <c r="H442" s="1099">
        <v>0.98777187201565453</v>
      </c>
      <c r="I442" s="1099">
        <v>0.97217467546825875</v>
      </c>
      <c r="K442">
        <v>1.7477040920050517</v>
      </c>
      <c r="L442">
        <v>0</v>
      </c>
      <c r="M442">
        <v>1.2990250132347671E-3</v>
      </c>
      <c r="N442">
        <v>0.12802019518707916</v>
      </c>
      <c r="O442">
        <v>0.12866342107673426</v>
      </c>
      <c r="P442">
        <v>1.878423624518805E-2</v>
      </c>
      <c r="Q442">
        <v>9.1830664768661314E-4</v>
      </c>
      <c r="R442">
        <v>1.2956493298894886E-3</v>
      </c>
      <c r="S442">
        <v>0.10445004932683434</v>
      </c>
      <c r="T442">
        <v>1.0406475269726891</v>
      </c>
      <c r="U442">
        <v>0</v>
      </c>
      <c r="V442">
        <v>0.20894982384528701</v>
      </c>
      <c r="W442">
        <v>8.2976908160821192E-2</v>
      </c>
      <c r="X442">
        <v>3.0770669860802652E-2</v>
      </c>
      <c r="Y442">
        <v>3.5263303652723777E-3</v>
      </c>
    </row>
    <row r="443" spans="1:25" x14ac:dyDescent="0.25">
      <c r="A443" s="1095"/>
      <c r="B443" s="1454">
        <v>193</v>
      </c>
      <c r="C443" s="1099">
        <v>0.96898616175734353</v>
      </c>
      <c r="D443" s="1099">
        <v>0.97844044223895943</v>
      </c>
      <c r="E443" s="1099">
        <v>1.0270367912659231</v>
      </c>
      <c r="F443" s="1099">
        <v>0.97626040262100355</v>
      </c>
      <c r="G443" s="1099">
        <v>0.98468010192739519</v>
      </c>
      <c r="H443" s="1099">
        <v>0.99765731834874904</v>
      </c>
      <c r="I443" s="1099">
        <v>0.97988332823181179</v>
      </c>
      <c r="K443">
        <v>1.7306977923600948</v>
      </c>
      <c r="L443">
        <v>0</v>
      </c>
      <c r="M443">
        <v>1.3492155004430585E-3</v>
      </c>
      <c r="N443">
        <v>0.13466329270439881</v>
      </c>
      <c r="O443">
        <v>0.12840548518818243</v>
      </c>
      <c r="P443">
        <v>1.8460587034971818E-2</v>
      </c>
      <c r="Q443">
        <v>9.6209233402486203E-4</v>
      </c>
      <c r="R443">
        <v>1.3457246993070491E-3</v>
      </c>
      <c r="S443">
        <v>0.11019476405050042</v>
      </c>
      <c r="T443">
        <v>1.0058043472339071</v>
      </c>
      <c r="U443">
        <v>0</v>
      </c>
      <c r="V443">
        <v>0.21063822441636762</v>
      </c>
      <c r="W443">
        <v>8.7069233589683381E-2</v>
      </c>
      <c r="X443">
        <v>3.0840637595705378E-2</v>
      </c>
      <c r="Y443">
        <v>3.6626190134858858E-3</v>
      </c>
    </row>
    <row r="444" spans="1:25" x14ac:dyDescent="0.25">
      <c r="A444" s="1095"/>
      <c r="B444" s="1454">
        <v>194</v>
      </c>
      <c r="C444" s="1099">
        <v>0.9773350440971198</v>
      </c>
      <c r="D444" s="1099">
        <v>0.97926110389343546</v>
      </c>
      <c r="E444" s="1099">
        <v>1.0139182020470026</v>
      </c>
      <c r="F444" s="1099">
        <v>0.97459893913666973</v>
      </c>
      <c r="G444" s="1099">
        <v>1.0046981290837325</v>
      </c>
      <c r="H444" s="1099">
        <v>1.0084267239207687</v>
      </c>
      <c r="I444" s="1099">
        <v>1.0122612886728122</v>
      </c>
      <c r="K444">
        <v>1.7299486283287291</v>
      </c>
      <c r="L444">
        <v>0</v>
      </c>
      <c r="M444">
        <v>1.3896904204284632E-3</v>
      </c>
      <c r="N444">
        <v>0.13332496405100516</v>
      </c>
      <c r="O444">
        <v>0.12773417064026746</v>
      </c>
      <c r="P444">
        <v>1.8313683276832724E-2</v>
      </c>
      <c r="Q444">
        <v>9.4081035821914785E-4</v>
      </c>
      <c r="R444">
        <v>1.3861348553661187E-3</v>
      </c>
      <c r="S444">
        <v>0.11361026298848009</v>
      </c>
      <c r="T444">
        <v>1.0044649073289276</v>
      </c>
      <c r="U444">
        <v>0</v>
      </c>
      <c r="V444">
        <v>0.2107108271597794</v>
      </c>
      <c r="W444">
        <v>8.6867830639791241E-2</v>
      </c>
      <c r="X444">
        <v>3.0212125313414422E-2</v>
      </c>
      <c r="Y444">
        <v>3.772602137074308E-3</v>
      </c>
    </row>
    <row r="445" spans="1:25" x14ac:dyDescent="0.25">
      <c r="A445" s="1095"/>
      <c r="B445" s="1454">
        <v>195</v>
      </c>
      <c r="C445" s="1099">
        <v>1.0144845776061839</v>
      </c>
      <c r="D445" s="1099">
        <v>0.97840218805786328</v>
      </c>
      <c r="E445" s="1099">
        <v>0.99914465638161598</v>
      </c>
      <c r="F445" s="1099">
        <v>1.0108661247231376</v>
      </c>
      <c r="G445" s="1099">
        <v>0.98942246566361614</v>
      </c>
      <c r="H445" s="1099">
        <v>0.98747895465181501</v>
      </c>
      <c r="I445" s="1099">
        <v>0.98147773089137291</v>
      </c>
      <c r="K445">
        <v>1.7446379443030744</v>
      </c>
      <c r="L445">
        <v>0</v>
      </c>
      <c r="M445">
        <v>1.3612987430366035E-3</v>
      </c>
      <c r="N445">
        <v>0.12489806358444389</v>
      </c>
      <c r="O445">
        <v>0.12857721595590429</v>
      </c>
      <c r="P445">
        <v>1.8487031700393369E-2</v>
      </c>
      <c r="Q445">
        <v>8.929423044303198E-4</v>
      </c>
      <c r="R445">
        <v>1.3577654358842301E-3</v>
      </c>
      <c r="S445">
        <v>0.10516217081596554</v>
      </c>
      <c r="T445">
        <v>1.0422845234113278</v>
      </c>
      <c r="U445">
        <v>0</v>
      </c>
      <c r="V445">
        <v>0.20870386356501341</v>
      </c>
      <c r="W445">
        <v>8.2091273487920308E-2</v>
      </c>
      <c r="X445">
        <v>2.9849002855608948E-2</v>
      </c>
      <c r="Y445">
        <v>3.6953899292212272E-3</v>
      </c>
    </row>
    <row r="446" spans="1:25" x14ac:dyDescent="0.25">
      <c r="A446" s="1095"/>
      <c r="B446" s="1454">
        <v>196</v>
      </c>
      <c r="C446" s="1099">
        <v>0.9738349540518767</v>
      </c>
      <c r="D446" s="1099">
        <v>0.98583611826673501</v>
      </c>
      <c r="E446" s="1099">
        <v>0.98482991105970541</v>
      </c>
      <c r="F446" s="1099">
        <v>0.98868745305060501</v>
      </c>
      <c r="G446" s="1099">
        <v>1.0481432289978045</v>
      </c>
      <c r="H446" s="1099">
        <v>0.9794355775754211</v>
      </c>
      <c r="I446" s="1099">
        <v>1.0067521424691226</v>
      </c>
      <c r="K446">
        <v>1.734682554409352</v>
      </c>
      <c r="L446">
        <v>0</v>
      </c>
      <c r="M446">
        <v>1.4346353674533979E-3</v>
      </c>
      <c r="N446">
        <v>0.12604721564946608</v>
      </c>
      <c r="O446">
        <v>0.12859507744501539</v>
      </c>
      <c r="P446">
        <v>1.8129182722035696E-2</v>
      </c>
      <c r="Q446">
        <v>9.1368251456756453E-4</v>
      </c>
      <c r="R446">
        <v>1.4308552438760372E-3</v>
      </c>
      <c r="S446">
        <v>0.1108475711705295</v>
      </c>
      <c r="T446">
        <v>1.0198406230741155</v>
      </c>
      <c r="U446">
        <v>0</v>
      </c>
      <c r="V446">
        <v>0.21358515539652043</v>
      </c>
      <c r="W446">
        <v>8.3558949341284605E-2</v>
      </c>
      <c r="X446">
        <v>2.9274560926867157E-2</v>
      </c>
      <c r="Y446">
        <v>3.8943162925261974E-3</v>
      </c>
    </row>
    <row r="447" spans="1:25" x14ac:dyDescent="0.25">
      <c r="A447" s="1095"/>
      <c r="B447" s="1454">
        <v>197</v>
      </c>
      <c r="C447" s="1099">
        <v>1.01230445336205</v>
      </c>
      <c r="D447" s="1099">
        <v>0.99048949074087855</v>
      </c>
      <c r="E447" s="1099">
        <v>0.97179638506961252</v>
      </c>
      <c r="F447" s="1099">
        <v>1.0063025309883038</v>
      </c>
      <c r="G447" s="1099">
        <v>1.0119988056124709</v>
      </c>
      <c r="H447" s="1099">
        <v>0.95932179115849969</v>
      </c>
      <c r="I447" s="1099">
        <v>1.0102501238073152</v>
      </c>
      <c r="K447">
        <v>1.7283621551735191</v>
      </c>
      <c r="L447">
        <v>0</v>
      </c>
      <c r="M447">
        <v>1.3915834329814756E-3</v>
      </c>
      <c r="N447">
        <v>0.11753115765073065</v>
      </c>
      <c r="O447">
        <v>0.12766717795258234</v>
      </c>
      <c r="P447">
        <v>1.8070653638935678E-2</v>
      </c>
      <c r="Q447">
        <v>8.6539489354088019E-4</v>
      </c>
      <c r="R447">
        <v>1.3878546814405724E-3</v>
      </c>
      <c r="S447">
        <v>0.10559310274114748</v>
      </c>
      <c r="T447">
        <v>1.0384091259096566</v>
      </c>
      <c r="U447">
        <v>0</v>
      </c>
      <c r="V447">
        <v>0.20928984504476589</v>
      </c>
      <c r="W447">
        <v>7.8529927276969377E-2</v>
      </c>
      <c r="X447">
        <v>2.8632215880022238E-2</v>
      </c>
      <c r="Y447">
        <v>3.7772829367084585E-3</v>
      </c>
    </row>
    <row r="448" spans="1:25" x14ac:dyDescent="0.25">
      <c r="A448" s="1095"/>
      <c r="B448" s="1454">
        <v>198</v>
      </c>
      <c r="C448" s="1099">
        <v>0.99477480986346567</v>
      </c>
      <c r="D448" s="1099">
        <v>1.0163306305979496</v>
      </c>
      <c r="E448" s="1099">
        <v>1.0009661847347722</v>
      </c>
      <c r="F448" s="1099">
        <v>0.97724603889932826</v>
      </c>
      <c r="G448" s="1099">
        <v>0.99551109929163273</v>
      </c>
      <c r="H448" s="1099">
        <v>1.0218137228377078</v>
      </c>
      <c r="I448" s="1099">
        <v>0.97884707517220793</v>
      </c>
      <c r="K448">
        <v>1.7119665524185006</v>
      </c>
      <c r="L448">
        <v>0</v>
      </c>
      <c r="M448">
        <v>1.3930463797885374E-3</v>
      </c>
      <c r="N448">
        <v>0.12852360899792289</v>
      </c>
      <c r="O448">
        <v>0.12530091328069304</v>
      </c>
      <c r="P448">
        <v>1.8043679573536069E-2</v>
      </c>
      <c r="Q448">
        <v>8.9858093459452932E-4</v>
      </c>
      <c r="R448">
        <v>1.389510853532594E-3</v>
      </c>
      <c r="S448">
        <v>0.10650176277556683</v>
      </c>
      <c r="T448">
        <v>1.0075665893010235</v>
      </c>
      <c r="U448">
        <v>0</v>
      </c>
      <c r="V448">
        <v>0.20775734061919399</v>
      </c>
      <c r="W448">
        <v>8.438282215421862E-2</v>
      </c>
      <c r="X448">
        <v>2.9212999816821898E-2</v>
      </c>
      <c r="Y448">
        <v>3.7817904911859575E-3</v>
      </c>
    </row>
    <row r="449" spans="1:25" x14ac:dyDescent="0.25">
      <c r="A449" s="1095"/>
      <c r="B449" s="1454">
        <v>199</v>
      </c>
      <c r="C449" s="1099">
        <v>1.0265191743755806</v>
      </c>
      <c r="D449" s="1099">
        <v>0.98275468059188675</v>
      </c>
      <c r="E449" s="1099">
        <v>0.98904009252763647</v>
      </c>
      <c r="F449" s="1099">
        <v>1.0041158969359831</v>
      </c>
      <c r="G449" s="1099">
        <v>1.0005020749904643</v>
      </c>
      <c r="H449" s="1099">
        <v>1.011584780268848</v>
      </c>
      <c r="I449" s="1099">
        <v>0.96524521643024752</v>
      </c>
      <c r="K449">
        <v>1.7338199589796386</v>
      </c>
      <c r="L449">
        <v>0</v>
      </c>
      <c r="M449">
        <v>1.4042231663147454E-3</v>
      </c>
      <c r="N449">
        <v>0.12496860119415348</v>
      </c>
      <c r="O449">
        <v>0.12721287235480158</v>
      </c>
      <c r="P449">
        <v>1.8222506476017478E-2</v>
      </c>
      <c r="Q449">
        <v>8.7169884115598695E-4</v>
      </c>
      <c r="R449">
        <v>1.4006637146143969E-3</v>
      </c>
      <c r="S449">
        <v>0.10354338631150702</v>
      </c>
      <c r="T449">
        <v>1.0356278936877923</v>
      </c>
      <c r="U449">
        <v>0</v>
      </c>
      <c r="V449">
        <v>0.20774296339189149</v>
      </c>
      <c r="W449">
        <v>8.2634728430535306E-2</v>
      </c>
      <c r="X449">
        <v>2.9186722840972141E-2</v>
      </c>
      <c r="Y449">
        <v>3.8121449025109565E-3</v>
      </c>
    </row>
    <row r="450" spans="1:25" x14ac:dyDescent="0.25">
      <c r="A450" s="1095"/>
      <c r="B450" s="1454">
        <v>200</v>
      </c>
      <c r="C450" s="1099">
        <v>1.0151529908555283</v>
      </c>
      <c r="D450" s="1099">
        <v>1.0406954486075273</v>
      </c>
      <c r="E450" s="1099">
        <v>1.0402492663394163</v>
      </c>
      <c r="F450" s="1099">
        <v>0.98329043504007707</v>
      </c>
      <c r="G450" s="1099">
        <v>0.98894737979972525</v>
      </c>
      <c r="H450" s="1099">
        <v>1.0022101249517898</v>
      </c>
      <c r="I450" s="1099">
        <v>1.0316004107023109</v>
      </c>
      <c r="K450">
        <v>1.7103867292120216</v>
      </c>
      <c r="L450">
        <v>0</v>
      </c>
      <c r="M450">
        <v>1.2193836331351887E-3</v>
      </c>
      <c r="N450">
        <v>0.12664815497770099</v>
      </c>
      <c r="O450">
        <v>0.12382817117290816</v>
      </c>
      <c r="P450">
        <v>1.8620778154726379E-2</v>
      </c>
      <c r="Q450">
        <v>9.0809491252008068E-4</v>
      </c>
      <c r="R450">
        <v>1.2162211217984721E-3</v>
      </c>
      <c r="S450">
        <v>0.10725588107661825</v>
      </c>
      <c r="T450">
        <v>1.0126738599944158</v>
      </c>
      <c r="U450">
        <v>0</v>
      </c>
      <c r="V450">
        <v>0.20548350413327554</v>
      </c>
      <c r="W450">
        <v>8.126303058650737E-2</v>
      </c>
      <c r="X450">
        <v>3.0398263748334205E-2</v>
      </c>
      <c r="Y450">
        <v>3.3101529663503927E-3</v>
      </c>
    </row>
    <row r="451" spans="1:25" x14ac:dyDescent="0.25">
      <c r="A451" s="1095"/>
      <c r="B451" s="1454">
        <v>201</v>
      </c>
      <c r="C451" s="1099">
        <v>1.0100408979342903</v>
      </c>
      <c r="D451" s="1099">
        <v>0.99693715775784686</v>
      </c>
      <c r="E451" s="1099">
        <v>0.9964784317687625</v>
      </c>
      <c r="F451" s="1099">
        <v>1.0180951783642245</v>
      </c>
      <c r="G451" s="1099">
        <v>1.0050128698651681</v>
      </c>
      <c r="H451" s="1099">
        <v>1.0030294228662908</v>
      </c>
      <c r="I451" s="1099">
        <v>0.96161971447000283</v>
      </c>
      <c r="K451">
        <v>1.7527193389453684</v>
      </c>
      <c r="L451">
        <v>0</v>
      </c>
      <c r="M451">
        <v>1.3814727870548019E-3</v>
      </c>
      <c r="N451">
        <v>0.12573596015774996</v>
      </c>
      <c r="O451">
        <v>0.12847627040096321</v>
      </c>
      <c r="P451">
        <v>1.8540559311304227E-2</v>
      </c>
      <c r="Q451">
        <v>8.877032227169176E-4</v>
      </c>
      <c r="R451">
        <v>1.3779309480786716E-3</v>
      </c>
      <c r="S451">
        <v>0.10334289413575211</v>
      </c>
      <c r="T451">
        <v>1.0498191306203204</v>
      </c>
      <c r="U451">
        <v>0</v>
      </c>
      <c r="V451">
        <v>0.20962970826792021</v>
      </c>
      <c r="W451">
        <v>8.277328457680351E-2</v>
      </c>
      <c r="X451">
        <v>2.9767096284958498E-2</v>
      </c>
      <c r="Y451">
        <v>3.7502738058551896E-3</v>
      </c>
    </row>
    <row r="452" spans="1:25" x14ac:dyDescent="0.25">
      <c r="A452" s="1095"/>
      <c r="B452" s="1454">
        <v>202</v>
      </c>
      <c r="C452" s="1099">
        <v>0.9917733024201637</v>
      </c>
      <c r="D452" s="1099">
        <v>0.96872159222412957</v>
      </c>
      <c r="E452" s="1099">
        <v>0.99103140059158179</v>
      </c>
      <c r="F452" s="1099">
        <v>1.0419799305889601</v>
      </c>
      <c r="G452" s="1099">
        <v>1.0028569794216007</v>
      </c>
      <c r="H452" s="1099">
        <v>0.97922271630797353</v>
      </c>
      <c r="I452" s="1099">
        <v>0.96724503366393744</v>
      </c>
      <c r="K452">
        <v>1.7906890890792684</v>
      </c>
      <c r="L452">
        <v>0</v>
      </c>
      <c r="M452">
        <v>1.4135822610718152E-3</v>
      </c>
      <c r="N452">
        <v>0.12655159162090282</v>
      </c>
      <c r="O452">
        <v>0.13256676106486412</v>
      </c>
      <c r="P452">
        <v>1.8886872449025094E-2</v>
      </c>
      <c r="Q452">
        <v>9.0932891304224136E-4</v>
      </c>
      <c r="R452">
        <v>1.4098921017629846E-3</v>
      </c>
      <c r="S452">
        <v>0.10612837626414523</v>
      </c>
      <c r="T452">
        <v>1.0746179111355609</v>
      </c>
      <c r="U452">
        <v>0</v>
      </c>
      <c r="V452">
        <v>0.21318519158608173</v>
      </c>
      <c r="W452">
        <v>8.3581708704418722E-2</v>
      </c>
      <c r="X452">
        <v>3.0427775970342168E-2</v>
      </c>
      <c r="Y452">
        <v>3.8372615301924071E-3</v>
      </c>
    </row>
    <row r="453" spans="1:25" x14ac:dyDescent="0.25">
      <c r="A453" s="1095"/>
      <c r="B453" s="1454">
        <v>203</v>
      </c>
      <c r="C453" s="1099">
        <v>1.0272063809383916</v>
      </c>
      <c r="D453" s="1099">
        <v>0.99479588712083944</v>
      </c>
      <c r="E453" s="1099">
        <v>0.98302225056230186</v>
      </c>
      <c r="F453" s="1099">
        <v>1.0015602487055009</v>
      </c>
      <c r="G453" s="1099">
        <v>0.98075886331186868</v>
      </c>
      <c r="H453" s="1099">
        <v>1.0252300372188135</v>
      </c>
      <c r="I453" s="1099">
        <v>1.0129071500897942</v>
      </c>
      <c r="K453">
        <v>1.7340410656851013</v>
      </c>
      <c r="L453">
        <v>0</v>
      </c>
      <c r="M453">
        <v>1.4294751179680658E-3</v>
      </c>
      <c r="N453">
        <v>0.124924967516202</v>
      </c>
      <c r="O453">
        <v>0.12640676971607698</v>
      </c>
      <c r="P453">
        <v>1.8155644383044189E-2</v>
      </c>
      <c r="Q453">
        <v>8.61450436015357E-4</v>
      </c>
      <c r="R453">
        <v>1.4258909670341077E-3</v>
      </c>
      <c r="S453">
        <v>0.10869094409432273</v>
      </c>
      <c r="T453">
        <v>1.0331737237859417</v>
      </c>
      <c r="U453">
        <v>0</v>
      </c>
      <c r="V453">
        <v>0.20621986327335146</v>
      </c>
      <c r="W453">
        <v>8.2905152514946762E-2</v>
      </c>
      <c r="X453">
        <v>2.8825328948696018E-2</v>
      </c>
      <c r="Y453">
        <v>3.8808051674358857E-3</v>
      </c>
    </row>
    <row r="454" spans="1:25" x14ac:dyDescent="0.25">
      <c r="A454" s="1095"/>
      <c r="B454" s="1454">
        <v>204</v>
      </c>
      <c r="C454" s="1099">
        <v>0.99415887689116156</v>
      </c>
      <c r="D454" s="1099">
        <v>1.0027180656622814</v>
      </c>
      <c r="E454" s="1099">
        <v>1.0233728435687242</v>
      </c>
      <c r="F454" s="1099">
        <v>1.0171103370761247</v>
      </c>
      <c r="G454" s="1099">
        <v>0.99058260595204706</v>
      </c>
      <c r="H454" s="1099">
        <v>1.0032396183033958</v>
      </c>
      <c r="I454" s="1099">
        <v>0.98177956360929164</v>
      </c>
      <c r="K454">
        <v>1.7632860469256244</v>
      </c>
      <c r="L454">
        <v>0</v>
      </c>
      <c r="M454">
        <v>1.3212003456353162E-3</v>
      </c>
      <c r="N454">
        <v>0.13042044921768714</v>
      </c>
      <c r="O454">
        <v>0.12906855145262447</v>
      </c>
      <c r="P454">
        <v>1.8942203531767524E-2</v>
      </c>
      <c r="Q454">
        <v>9.2510896364466906E-4</v>
      </c>
      <c r="R454">
        <v>1.3178053242179682E-3</v>
      </c>
      <c r="S454">
        <v>0.10677737203754228</v>
      </c>
      <c r="T454">
        <v>1.0479984942329634</v>
      </c>
      <c r="U454">
        <v>0</v>
      </c>
      <c r="V454">
        <v>0.21012216281861534</v>
      </c>
      <c r="W454">
        <v>8.4506154573823308E-2</v>
      </c>
      <c r="X454">
        <v>3.094231344026031E-2</v>
      </c>
      <c r="Y454">
        <v>3.5866316781129333E-3</v>
      </c>
    </row>
    <row r="455" spans="1:25" x14ac:dyDescent="0.25">
      <c r="A455" s="1095"/>
      <c r="B455" s="1454">
        <v>205</v>
      </c>
      <c r="C455" s="1099">
        <v>1.0407972457717025</v>
      </c>
      <c r="D455" s="1099">
        <v>0.99059273345610377</v>
      </c>
      <c r="E455" s="1099">
        <v>0.96451422750357829</v>
      </c>
      <c r="F455" s="1099">
        <v>1.0112839420428921</v>
      </c>
      <c r="G455" s="1099">
        <v>0.96956215374401988</v>
      </c>
      <c r="H455" s="1099">
        <v>1.0210839703963281</v>
      </c>
      <c r="I455" s="1099">
        <v>1.0322524264794455</v>
      </c>
      <c r="K455">
        <v>1.7384667014058419</v>
      </c>
      <c r="L455">
        <v>0</v>
      </c>
      <c r="M455">
        <v>1.4662851968582828E-3</v>
      </c>
      <c r="N455">
        <v>0.12115976003289579</v>
      </c>
      <c r="O455">
        <v>0.12657922318673465</v>
      </c>
      <c r="P455">
        <v>1.8037269697539368E-2</v>
      </c>
      <c r="Q455">
        <v>8.3522961126903034E-4</v>
      </c>
      <c r="R455">
        <v>1.4626037590546558E-3</v>
      </c>
      <c r="S455">
        <v>0.10941977890275584</v>
      </c>
      <c r="T455">
        <v>1.0437754008363056</v>
      </c>
      <c r="U455">
        <v>0</v>
      </c>
      <c r="V455">
        <v>0.20517172951060533</v>
      </c>
      <c r="W455">
        <v>8.1314552420382533E-2</v>
      </c>
      <c r="X455">
        <v>2.8196713360211508E-2</v>
      </c>
      <c r="Y455">
        <v>3.9807252849471805E-3</v>
      </c>
    </row>
    <row r="456" spans="1:25" x14ac:dyDescent="0.25">
      <c r="A456" s="1095"/>
      <c r="B456" s="1454">
        <v>206</v>
      </c>
      <c r="C456" s="1099">
        <v>1.0031572110178153</v>
      </c>
      <c r="D456" s="1099">
        <v>1.0103634924716962</v>
      </c>
      <c r="E456" s="1099">
        <v>1.0209850539780914</v>
      </c>
      <c r="F456" s="1099">
        <v>1.006556132701893</v>
      </c>
      <c r="G456" s="1099">
        <v>1.0157417355013245</v>
      </c>
      <c r="H456" s="1099">
        <v>1.0280430212357792</v>
      </c>
      <c r="I456" s="1099">
        <v>1.0169515331579961</v>
      </c>
      <c r="K456">
        <v>1.7560605788964254</v>
      </c>
      <c r="L456">
        <v>0</v>
      </c>
      <c r="M456">
        <v>1.3421660711967047E-3</v>
      </c>
      <c r="N456">
        <v>0.1315468940763411</v>
      </c>
      <c r="O456">
        <v>0.12744092446767791</v>
      </c>
      <c r="P456">
        <v>1.8811053873403979E-2</v>
      </c>
      <c r="Q456">
        <v>9.1179579018037813E-4</v>
      </c>
      <c r="R456">
        <v>1.3387949982166297E-3</v>
      </c>
      <c r="S456">
        <v>0.11082981757526611</v>
      </c>
      <c r="T456">
        <v>1.0371936401127093</v>
      </c>
      <c r="U456">
        <v>0</v>
      </c>
      <c r="V456">
        <v>0.20979076218525577</v>
      </c>
      <c r="W456">
        <v>8.5354988969766094E-2</v>
      </c>
      <c r="X456">
        <v>3.0540314267311117E-2</v>
      </c>
      <c r="Y456">
        <v>3.6437586514931159E-3</v>
      </c>
    </row>
    <row r="457" spans="1:25" x14ac:dyDescent="0.25">
      <c r="A457" s="1095"/>
      <c r="B457" s="1454">
        <v>207</v>
      </c>
      <c r="C457" s="1099">
        <v>1.0126641221817938</v>
      </c>
      <c r="D457" s="1099">
        <v>1.0091400461641604</v>
      </c>
      <c r="E457" s="1099">
        <v>0.9951520182638468</v>
      </c>
      <c r="F457" s="1099">
        <v>1.0454846428994202</v>
      </c>
      <c r="G457" s="1099">
        <v>0.98476673494565525</v>
      </c>
      <c r="H457" s="1099">
        <v>0.99793680887384184</v>
      </c>
      <c r="I457" s="1099">
        <v>1.0098522634027836</v>
      </c>
      <c r="K457">
        <v>1.7839771753567089</v>
      </c>
      <c r="L457">
        <v>0</v>
      </c>
      <c r="M457">
        <v>1.3680923968444761E-3</v>
      </c>
      <c r="N457">
        <v>0.12401838126728243</v>
      </c>
      <c r="O457">
        <v>0.12980486083061035</v>
      </c>
      <c r="P457">
        <v>1.8957351182893097E-2</v>
      </c>
      <c r="Q457">
        <v>8.7989181920765153E-4</v>
      </c>
      <c r="R457">
        <v>1.3645672028623661E-3</v>
      </c>
      <c r="S457">
        <v>0.10724292505867863</v>
      </c>
      <c r="T457">
        <v>1.0781034502134519</v>
      </c>
      <c r="U457">
        <v>0</v>
      </c>
      <c r="V457">
        <v>0.20946747658093109</v>
      </c>
      <c r="W457">
        <v>8.1707185971704704E-2</v>
      </c>
      <c r="X457">
        <v>3.0085275529198655E-2</v>
      </c>
      <c r="Y457">
        <v>3.7139020967338321E-3</v>
      </c>
    </row>
    <row r="458" spans="1:25" x14ac:dyDescent="0.25">
      <c r="A458" s="1095"/>
      <c r="B458" s="1454">
        <v>208</v>
      </c>
      <c r="C458" s="1099">
        <v>1.0004203441594859</v>
      </c>
      <c r="D458" s="1099">
        <v>1.0206046781502991</v>
      </c>
      <c r="E458" s="1099">
        <v>1.0221827401267869</v>
      </c>
      <c r="F458" s="1099">
        <v>0.97429886401965304</v>
      </c>
      <c r="G458" s="1099">
        <v>1.0009970255831315</v>
      </c>
      <c r="H458" s="1099">
        <v>1.0216169570651517</v>
      </c>
      <c r="I458" s="1099">
        <v>1.0268891842012553</v>
      </c>
      <c r="K458">
        <v>1.7139141708243497</v>
      </c>
      <c r="L458">
        <v>0</v>
      </c>
      <c r="M458">
        <v>1.3222021400585635E-3</v>
      </c>
      <c r="N458">
        <v>0.13005554822674831</v>
      </c>
      <c r="O458">
        <v>0.12468422963463428</v>
      </c>
      <c r="P458">
        <v>1.8332394404626667E-2</v>
      </c>
      <c r="Q458">
        <v>9.1172790704320441E-4</v>
      </c>
      <c r="R458">
        <v>1.3188438348454277E-3</v>
      </c>
      <c r="S458">
        <v>0.1108506713940203</v>
      </c>
      <c r="T458">
        <v>1.0039205848113857</v>
      </c>
      <c r="U458">
        <v>0</v>
      </c>
      <c r="V458">
        <v>0.20732995960192616</v>
      </c>
      <c r="W458">
        <v>8.4328283501670764E-2</v>
      </c>
      <c r="X458">
        <v>2.991467148581E-2</v>
      </c>
      <c r="Y458">
        <v>3.5894581616959412E-3</v>
      </c>
    </row>
    <row r="459" spans="1:25" x14ac:dyDescent="0.25">
      <c r="A459" s="1095"/>
      <c r="B459" s="1454">
        <v>209</v>
      </c>
      <c r="C459" s="1099">
        <v>0.99827607128152196</v>
      </c>
      <c r="D459" s="1099">
        <v>1.0007417131963745</v>
      </c>
      <c r="E459" s="1099">
        <v>0.97513717920142629</v>
      </c>
      <c r="F459" s="1099">
        <v>0.97031915756002884</v>
      </c>
      <c r="G459" s="1099">
        <v>1.0130163226396236</v>
      </c>
      <c r="H459" s="1099">
        <v>1.0039804062630189</v>
      </c>
      <c r="I459" s="1099">
        <v>1.0083657399264165</v>
      </c>
      <c r="K459">
        <v>1.7008271610934402</v>
      </c>
      <c r="L459">
        <v>0</v>
      </c>
      <c r="M459">
        <v>1.4514802988455505E-3</v>
      </c>
      <c r="N459">
        <v>0.12384879208261448</v>
      </c>
      <c r="O459">
        <v>0.12518500638081506</v>
      </c>
      <c r="P459">
        <v>1.7651925959758542E-2</v>
      </c>
      <c r="Q459">
        <v>8.7702453654736525E-4</v>
      </c>
      <c r="R459">
        <v>1.4477405873695372E-3</v>
      </c>
      <c r="S459">
        <v>0.10905064135192684</v>
      </c>
      <c r="T459">
        <v>1.00117875139126</v>
      </c>
      <c r="U459">
        <v>0</v>
      </c>
      <c r="V459">
        <v>0.20832801971854484</v>
      </c>
      <c r="W459">
        <v>8.2583507525316471E-2</v>
      </c>
      <c r="X459">
        <v>2.8186959226868924E-2</v>
      </c>
      <c r="Y459">
        <v>3.940272631263517E-3</v>
      </c>
    </row>
    <row r="460" spans="1:25" x14ac:dyDescent="0.25">
      <c r="A460" s="1095"/>
      <c r="B460" s="1454">
        <v>210</v>
      </c>
      <c r="C460" s="1099">
        <v>0.98918174181414065</v>
      </c>
      <c r="D460" s="1099">
        <v>1.0386344559504823</v>
      </c>
      <c r="E460" s="1099">
        <v>1.0281465183073335</v>
      </c>
      <c r="F460" s="1099">
        <v>1.0240728918531794</v>
      </c>
      <c r="G460" s="1099">
        <v>0.97748705430038019</v>
      </c>
      <c r="H460" s="1099">
        <v>1.0215640230780736</v>
      </c>
      <c r="I460" s="1099">
        <v>1.0240881266167687</v>
      </c>
      <c r="K460">
        <v>1.7742121428437136</v>
      </c>
      <c r="L460">
        <v>0</v>
      </c>
      <c r="M460">
        <v>1.3114175642021263E-3</v>
      </c>
      <c r="N460">
        <v>0.13133563344169391</v>
      </c>
      <c r="O460">
        <v>0.12824263884253467</v>
      </c>
      <c r="P460">
        <v>1.915042981320907E-2</v>
      </c>
      <c r="Q460">
        <v>9.2125387468401968E-4</v>
      </c>
      <c r="R460">
        <v>1.3080864360151246E-3</v>
      </c>
      <c r="S460">
        <v>0.11084738638687922</v>
      </c>
      <c r="T460">
        <v>1.0550309015374233</v>
      </c>
      <c r="U460">
        <v>0</v>
      </c>
      <c r="V460">
        <v>0.20922893419127447</v>
      </c>
      <c r="W460">
        <v>8.4862882036485038E-2</v>
      </c>
      <c r="X460">
        <v>3.1035233779458826E-2</v>
      </c>
      <c r="Y460">
        <v>3.5601800682554274E-3</v>
      </c>
    </row>
    <row r="461" spans="1:25" x14ac:dyDescent="0.25">
      <c r="A461" s="1095"/>
      <c r="B461" s="1454">
        <v>211</v>
      </c>
      <c r="C461" s="1099">
        <v>1.0085438666852795</v>
      </c>
      <c r="D461" s="1099">
        <v>0.99602789929923152</v>
      </c>
      <c r="E461" s="1099">
        <v>0.99274990174756439</v>
      </c>
      <c r="F461" s="1099">
        <v>0.98738674843732366</v>
      </c>
      <c r="G461" s="1099">
        <v>0.98154564550137269</v>
      </c>
      <c r="H461" s="1099">
        <v>0.98846199574722127</v>
      </c>
      <c r="I461" s="1099">
        <v>0.99409206799966754</v>
      </c>
      <c r="K461">
        <v>1.7139091356300595</v>
      </c>
      <c r="L461">
        <v>0</v>
      </c>
      <c r="M461">
        <v>1.3709407359599364E-3</v>
      </c>
      <c r="N461">
        <v>0.12337362335808266</v>
      </c>
      <c r="O461">
        <v>0.12624945537228344</v>
      </c>
      <c r="P461">
        <v>1.805950495611762E-2</v>
      </c>
      <c r="Q461">
        <v>8.8590421871793717E-4</v>
      </c>
      <c r="R461">
        <v>1.3673648179151894E-3</v>
      </c>
      <c r="S461">
        <v>0.10584796055257702</v>
      </c>
      <c r="T461">
        <v>1.0182638530868999</v>
      </c>
      <c r="U461">
        <v>0</v>
      </c>
      <c r="V461">
        <v>0.20703176886191138</v>
      </c>
      <c r="W461">
        <v>8.1399084644715458E-2</v>
      </c>
      <c r="X461">
        <v>2.9080040214122315E-2</v>
      </c>
      <c r="Y461">
        <v>3.7215162826740615E-3</v>
      </c>
    </row>
    <row r="462" spans="1:25" x14ac:dyDescent="0.25">
      <c r="A462" s="1095"/>
      <c r="B462" s="1454">
        <v>212</v>
      </c>
      <c r="C462" s="1099">
        <v>0.99698651649392467</v>
      </c>
      <c r="D462" s="1099">
        <v>0.98724927740775414</v>
      </c>
      <c r="E462" s="1099">
        <v>1.022757085703174</v>
      </c>
      <c r="F462" s="1099">
        <v>0.99042025299789138</v>
      </c>
      <c r="G462" s="1099">
        <v>1.0018693606561162</v>
      </c>
      <c r="H462" s="1099">
        <v>0.98833785463653245</v>
      </c>
      <c r="I462" s="1099">
        <v>1.0316708625564841</v>
      </c>
      <c r="K462">
        <v>1.7354922942849575</v>
      </c>
      <c r="L462">
        <v>0</v>
      </c>
      <c r="M462">
        <v>1.3087605394514203E-3</v>
      </c>
      <c r="N462">
        <v>0.12894803432991003</v>
      </c>
      <c r="O462">
        <v>0.12759903232340022</v>
      </c>
      <c r="P462">
        <v>1.8612489185279829E-2</v>
      </c>
      <c r="Q462">
        <v>9.2765463274992654E-4</v>
      </c>
      <c r="R462">
        <v>1.3053496589666583E-3</v>
      </c>
      <c r="S462">
        <v>0.11172626996919058</v>
      </c>
      <c r="T462">
        <v>1.0205155833437771</v>
      </c>
      <c r="U462">
        <v>0</v>
      </c>
      <c r="V462">
        <v>0.20949662631559882</v>
      </c>
      <c r="W462">
        <v>8.3582133511644119E-2</v>
      </c>
      <c r="X462">
        <v>3.0535150090582715E-2</v>
      </c>
      <c r="Y462">
        <v>3.5527314633078135E-3</v>
      </c>
    </row>
    <row r="463" spans="1:25" x14ac:dyDescent="0.25">
      <c r="A463" s="1095"/>
      <c r="B463" s="1454">
        <v>213</v>
      </c>
      <c r="C463" s="1099">
        <v>1.0005094168494306</v>
      </c>
      <c r="D463" s="1099">
        <v>0.95719021992598752</v>
      </c>
      <c r="E463" s="1099">
        <v>1.0147655486403331</v>
      </c>
      <c r="F463" s="1099">
        <v>0.9992943605213972</v>
      </c>
      <c r="G463" s="1099">
        <v>0.97211844750185028</v>
      </c>
      <c r="H463" s="1099">
        <v>0.96849893941689913</v>
      </c>
      <c r="I463" s="1099">
        <v>1.0121541740737721</v>
      </c>
      <c r="K463">
        <v>1.7425617241706455</v>
      </c>
      <c r="L463">
        <v>0</v>
      </c>
      <c r="M463">
        <v>1.324670972990252E-3</v>
      </c>
      <c r="N463">
        <v>0.12740193427255575</v>
      </c>
      <c r="O463">
        <v>0.12948963792781548</v>
      </c>
      <c r="P463">
        <v>1.8603680782138924E-2</v>
      </c>
      <c r="Q463">
        <v>9.2824608352720347E-4</v>
      </c>
      <c r="R463">
        <v>1.3211721175630695E-3</v>
      </c>
      <c r="S463">
        <v>0.10995723251602409</v>
      </c>
      <c r="T463">
        <v>1.0298922936634829</v>
      </c>
      <c r="U463">
        <v>0</v>
      </c>
      <c r="V463">
        <v>0.2091413175691415</v>
      </c>
      <c r="W463">
        <v>8.296735854322955E-2</v>
      </c>
      <c r="X463">
        <v>3.0587726688421534E-2</v>
      </c>
      <c r="Y463">
        <v>3.5957949797351713E-3</v>
      </c>
    </row>
    <row r="464" spans="1:25" x14ac:dyDescent="0.25">
      <c r="A464" s="1095"/>
      <c r="B464" s="1454">
        <v>214</v>
      </c>
      <c r="C464" s="1099">
        <v>1.0262590362505</v>
      </c>
      <c r="D464" s="1099">
        <v>0.9683872113748746</v>
      </c>
      <c r="E464" s="1099">
        <v>0.99504208596935095</v>
      </c>
      <c r="F464" s="1099">
        <v>1.0078656544741742</v>
      </c>
      <c r="G464" s="1099">
        <v>0.98207900526851666</v>
      </c>
      <c r="H464" s="1099">
        <v>0.96164920180347502</v>
      </c>
      <c r="I464" s="1099">
        <v>0.99715025723400208</v>
      </c>
      <c r="K464">
        <v>1.7320472723002402</v>
      </c>
      <c r="L464">
        <v>0</v>
      </c>
      <c r="M464">
        <v>1.3306707992806008E-3</v>
      </c>
      <c r="N464">
        <v>0.1205761748447681</v>
      </c>
      <c r="O464">
        <v>0.12820814314022141</v>
      </c>
      <c r="P464">
        <v>1.8365571272801674E-2</v>
      </c>
      <c r="Q464">
        <v>8.8256974956102418E-4</v>
      </c>
      <c r="R464">
        <v>1.3271336664794271E-3</v>
      </c>
      <c r="S464">
        <v>0.10454013712597843</v>
      </c>
      <c r="T464">
        <v>1.0393140704635571</v>
      </c>
      <c r="U464">
        <v>0</v>
      </c>
      <c r="V464">
        <v>0.20752695746010968</v>
      </c>
      <c r="W464">
        <v>7.9444563487046121E-2</v>
      </c>
      <c r="X464">
        <v>2.958060153833459E-2</v>
      </c>
      <c r="Y464">
        <v>3.6120203506614236E-3</v>
      </c>
    </row>
    <row r="465" spans="1:25" x14ac:dyDescent="0.25">
      <c r="A465" s="1095"/>
      <c r="B465" s="1454">
        <v>215</v>
      </c>
      <c r="C465" s="1099">
        <v>1.0294481405257017</v>
      </c>
      <c r="D465" s="1099">
        <v>1.0185051559787801</v>
      </c>
      <c r="E465" s="1099">
        <v>1.016894837460196</v>
      </c>
      <c r="F465" s="1099">
        <v>1.0111675520701198</v>
      </c>
      <c r="G465" s="1099">
        <v>0.96994625944254975</v>
      </c>
      <c r="H465" s="1099">
        <v>0.96462850361761754</v>
      </c>
      <c r="I465" s="1099">
        <v>1.0206093275564256</v>
      </c>
      <c r="K465">
        <v>1.7273569155323674</v>
      </c>
      <c r="L465">
        <v>0</v>
      </c>
      <c r="M465">
        <v>1.2348614467057068E-3</v>
      </c>
      <c r="N465">
        <v>0.11952601457859885</v>
      </c>
      <c r="O465">
        <v>0.12607632886733128</v>
      </c>
      <c r="P465">
        <v>1.8662343879646014E-2</v>
      </c>
      <c r="Q465">
        <v>8.8195124863277925E-4</v>
      </c>
      <c r="R465">
        <v>1.231559014906819E-3</v>
      </c>
      <c r="S465">
        <v>0.10365588283964391</v>
      </c>
      <c r="T465">
        <v>1.0420660446506356</v>
      </c>
      <c r="U465">
        <v>0</v>
      </c>
      <c r="V465">
        <v>0.2054110241412038</v>
      </c>
      <c r="W465">
        <v>7.7741135922675633E-2</v>
      </c>
      <c r="X465">
        <v>2.9987594180540592E-2</v>
      </c>
      <c r="Y465">
        <v>3.3518976552562082E-3</v>
      </c>
    </row>
    <row r="466" spans="1:25" x14ac:dyDescent="0.25">
      <c r="A466" s="1095"/>
      <c r="B466" s="1454">
        <v>216</v>
      </c>
      <c r="C466" s="1099">
        <v>0.98007725020432346</v>
      </c>
      <c r="D466" s="1099">
        <v>0.99097691047089653</v>
      </c>
      <c r="E466" s="1099">
        <v>0.99852425806722334</v>
      </c>
      <c r="F466" s="1099">
        <v>0.97596803875893612</v>
      </c>
      <c r="G466" s="1099">
        <v>1.0457279119872385</v>
      </c>
      <c r="H466" s="1099">
        <v>0.9957193915392013</v>
      </c>
      <c r="I466" s="1099">
        <v>1.0381922850877967</v>
      </c>
      <c r="K466">
        <v>1.7253653609221495</v>
      </c>
      <c r="L466">
        <v>0</v>
      </c>
      <c r="M466">
        <v>1.4035211173639608E-3</v>
      </c>
      <c r="N466">
        <v>0.12853072710835858</v>
      </c>
      <c r="O466">
        <v>0.12709454167729123</v>
      </c>
      <c r="P466">
        <v>1.8161145071514138E-2</v>
      </c>
      <c r="Q466">
        <v>9.1898953493901143E-4</v>
      </c>
      <c r="R466">
        <v>1.3998777171795869E-3</v>
      </c>
      <c r="S466">
        <v>0.1144052689914728</v>
      </c>
      <c r="T466">
        <v>1.006319801808051</v>
      </c>
      <c r="U466">
        <v>0</v>
      </c>
      <c r="V466">
        <v>0.21212655618043719</v>
      </c>
      <c r="W466">
        <v>8.4510084780988509E-2</v>
      </c>
      <c r="X466">
        <v>2.9491883492682523E-2</v>
      </c>
      <c r="Y466">
        <v>3.8100056765973896E-3</v>
      </c>
    </row>
    <row r="467" spans="1:25" x14ac:dyDescent="0.25">
      <c r="A467" s="1095"/>
      <c r="B467" s="1454">
        <v>217</v>
      </c>
      <c r="C467" s="1099">
        <v>0.98076071984578461</v>
      </c>
      <c r="D467" s="1099">
        <v>0.97020742324583442</v>
      </c>
      <c r="E467" s="1099">
        <v>0.97583591359617428</v>
      </c>
      <c r="F467" s="1099">
        <v>1.0390293131846768</v>
      </c>
      <c r="G467" s="1099">
        <v>1.0091674012213723</v>
      </c>
      <c r="H467" s="1099">
        <v>1.0011585744725082</v>
      </c>
      <c r="I467" s="1099">
        <v>1.0193766743773673</v>
      </c>
      <c r="K467">
        <v>1.8017087799506528</v>
      </c>
      <c r="L467">
        <v>0</v>
      </c>
      <c r="M467">
        <v>1.5049958295261499E-3</v>
      </c>
      <c r="N467">
        <v>0.12868941587444846</v>
      </c>
      <c r="O467">
        <v>0.13280467421636541</v>
      </c>
      <c r="P467">
        <v>1.8762435297853947E-2</v>
      </c>
      <c r="Q467">
        <v>9.044843981699497E-4</v>
      </c>
      <c r="R467">
        <v>1.5011474169170165E-3</v>
      </c>
      <c r="S467">
        <v>0.11450681559277871</v>
      </c>
      <c r="T467">
        <v>1.0720520204881283</v>
      </c>
      <c r="U467">
        <v>0</v>
      </c>
      <c r="V467">
        <v>0.21420916359787032</v>
      </c>
      <c r="W467">
        <v>8.5774952807108118E-2</v>
      </c>
      <c r="X467">
        <v>2.9923037674803896E-2</v>
      </c>
      <c r="Y467">
        <v>4.0856284157351269E-3</v>
      </c>
    </row>
    <row r="468" spans="1:25" x14ac:dyDescent="0.25">
      <c r="A468" s="1095"/>
      <c r="B468" s="1454">
        <v>218</v>
      </c>
      <c r="C468" s="1099">
        <v>0.98858219893852994</v>
      </c>
      <c r="D468" s="1099">
        <v>0.98370287759018415</v>
      </c>
      <c r="E468" s="1099">
        <v>1.0202377001712239</v>
      </c>
      <c r="F468" s="1099">
        <v>0.99851885465975065</v>
      </c>
      <c r="G468" s="1099">
        <v>1.0109131926022179</v>
      </c>
      <c r="H468" s="1099">
        <v>0.98736173662059079</v>
      </c>
      <c r="I468" s="1099">
        <v>1.0007068355460234</v>
      </c>
      <c r="K468">
        <v>1.7465193036998157</v>
      </c>
      <c r="L468">
        <v>0</v>
      </c>
      <c r="M468">
        <v>1.3283204598936716E-3</v>
      </c>
      <c r="N468">
        <v>0.12988427462324809</v>
      </c>
      <c r="O468">
        <v>0.12881539640144693</v>
      </c>
      <c r="P468">
        <v>1.868674792058965E-2</v>
      </c>
      <c r="Q468">
        <v>9.3447228375646472E-4</v>
      </c>
      <c r="R468">
        <v>1.3248575177493092E-3</v>
      </c>
      <c r="S468">
        <v>0.10946325736670286</v>
      </c>
      <c r="T468">
        <v>1.0289334511163928</v>
      </c>
      <c r="U468">
        <v>0</v>
      </c>
      <c r="V468">
        <v>0.21118228428112321</v>
      </c>
      <c r="W468">
        <v>8.4313027793978493E-2</v>
      </c>
      <c r="X468">
        <v>3.0704029430570462E-2</v>
      </c>
      <c r="Y468">
        <v>3.6058254241502687E-3</v>
      </c>
    </row>
    <row r="469" spans="1:25" x14ac:dyDescent="0.25">
      <c r="A469" s="1095"/>
      <c r="B469" s="1454">
        <v>219</v>
      </c>
      <c r="C469" s="1099">
        <v>0.98237724361735246</v>
      </c>
      <c r="D469" s="1099">
        <v>0.96326053554197633</v>
      </c>
      <c r="E469" s="1099">
        <v>1.0164442357315961</v>
      </c>
      <c r="F469" s="1099">
        <v>1.0021674562059963</v>
      </c>
      <c r="G469" s="1099">
        <v>0.9985035781141276</v>
      </c>
      <c r="H469" s="1099">
        <v>1.0386509616754798</v>
      </c>
      <c r="I469" s="1099">
        <v>1.0201819149645905</v>
      </c>
      <c r="K469">
        <v>1.7762329032528339</v>
      </c>
      <c r="L469">
        <v>0</v>
      </c>
      <c r="M469">
        <v>1.4345454555865114E-3</v>
      </c>
      <c r="N469">
        <v>0.13869390242803964</v>
      </c>
      <c r="O469">
        <v>0.13038459772255542</v>
      </c>
      <c r="P469">
        <v>1.8810369706146055E-2</v>
      </c>
      <c r="Q469">
        <v>9.4462065687550838E-4</v>
      </c>
      <c r="R469">
        <v>1.4310034047427069E-3</v>
      </c>
      <c r="S469">
        <v>0.1175401600430476</v>
      </c>
      <c r="T469">
        <v>1.0328041312573142</v>
      </c>
      <c r="U469">
        <v>0</v>
      </c>
      <c r="V469">
        <v>0.21194659505242161</v>
      </c>
      <c r="W469">
        <v>9.0232004003105548E-2</v>
      </c>
      <c r="X469">
        <v>3.098534489660635E-2</v>
      </c>
      <c r="Y469">
        <v>3.8947195375640567E-3</v>
      </c>
    </row>
    <row r="470" spans="1:25" x14ac:dyDescent="0.25">
      <c r="A470" s="1095"/>
      <c r="B470" s="1454">
        <v>220</v>
      </c>
      <c r="C470" s="1099">
        <v>1.0015748169285676</v>
      </c>
      <c r="D470" s="1099">
        <v>0.99240718442380627</v>
      </c>
      <c r="E470" s="1099">
        <v>0.98860765352864988</v>
      </c>
      <c r="F470" s="1099">
        <v>1.0136424911047577</v>
      </c>
      <c r="G470" s="1099">
        <v>0.98701552490292299</v>
      </c>
      <c r="H470" s="1099">
        <v>0.9926792353323135</v>
      </c>
      <c r="I470" s="1099">
        <v>0.97486452235469612</v>
      </c>
      <c r="K470">
        <v>1.7485836180612073</v>
      </c>
      <c r="L470">
        <v>0</v>
      </c>
      <c r="M470">
        <v>1.4037110983953526E-3</v>
      </c>
      <c r="N470">
        <v>0.12475275526249693</v>
      </c>
      <c r="O470">
        <v>0.12875342230986056</v>
      </c>
      <c r="P470">
        <v>1.8393170772633347E-2</v>
      </c>
      <c r="Q470">
        <v>8.8952128405587105E-4</v>
      </c>
      <c r="R470">
        <v>1.4000739774011255E-3</v>
      </c>
      <c r="S470">
        <v>0.10515517065518515</v>
      </c>
      <c r="T470">
        <v>1.0454666358121323</v>
      </c>
      <c r="U470">
        <v>0</v>
      </c>
      <c r="V470">
        <v>0.20934991503152822</v>
      </c>
      <c r="W470">
        <v>8.2513394439741136E-2</v>
      </c>
      <c r="X470">
        <v>2.9502729782344913E-2</v>
      </c>
      <c r="Y470">
        <v>3.8105398322232529E-3</v>
      </c>
    </row>
    <row r="471" spans="1:25" x14ac:dyDescent="0.25">
      <c r="A471" s="1095"/>
      <c r="B471" s="1454">
        <v>221</v>
      </c>
      <c r="C471" s="1099">
        <v>0.98969499947744832</v>
      </c>
      <c r="D471" s="1099">
        <v>0.9737469004415038</v>
      </c>
      <c r="E471" s="1099">
        <v>1.03067733213033</v>
      </c>
      <c r="F471" s="1099">
        <v>0.98671166421107692</v>
      </c>
      <c r="G471" s="1099">
        <v>1.0014073344676839</v>
      </c>
      <c r="H471" s="1099">
        <v>1.011665283759932</v>
      </c>
      <c r="I471" s="1099">
        <v>1.0036765134209795</v>
      </c>
      <c r="K471">
        <v>1.7434613484135086</v>
      </c>
      <c r="L471">
        <v>0</v>
      </c>
      <c r="M471">
        <v>1.336915749343993E-3</v>
      </c>
      <c r="N471">
        <v>0.13491439679658881</v>
      </c>
      <c r="O471">
        <v>0.1283570138732798</v>
      </c>
      <c r="P471">
        <v>1.8680060632844157E-2</v>
      </c>
      <c r="Q471">
        <v>9.4728928172930246E-4</v>
      </c>
      <c r="R471">
        <v>1.3335172859583416E-3</v>
      </c>
      <c r="S471">
        <v>0.11205119766743887</v>
      </c>
      <c r="T471">
        <v>1.0164681757535088</v>
      </c>
      <c r="U471">
        <v>0</v>
      </c>
      <c r="V471">
        <v>0.21034223364154617</v>
      </c>
      <c r="W471">
        <v>8.704727768967814E-2</v>
      </c>
      <c r="X471">
        <v>3.1027707081754934E-2</v>
      </c>
      <c r="Y471">
        <v>3.6293944585234338E-3</v>
      </c>
    </row>
    <row r="472" spans="1:25" x14ac:dyDescent="0.25">
      <c r="A472" s="1095"/>
      <c r="B472" s="1454">
        <v>222</v>
      </c>
      <c r="C472" s="1099">
        <v>1.0250753065683247</v>
      </c>
      <c r="D472" s="1099">
        <v>1.0090570937322976</v>
      </c>
      <c r="E472" s="1099">
        <v>1.0042735807956693</v>
      </c>
      <c r="F472" s="1099">
        <v>1.0246875246880234</v>
      </c>
      <c r="G472" s="1099">
        <v>0.97320663993730605</v>
      </c>
      <c r="H472" s="1099">
        <v>0.97437846094106484</v>
      </c>
      <c r="I472" s="1099">
        <v>1.0173388192649582</v>
      </c>
      <c r="K472">
        <v>1.7485764019240841</v>
      </c>
      <c r="L472">
        <v>0</v>
      </c>
      <c r="M472">
        <v>1.2940569980981228E-3</v>
      </c>
      <c r="N472">
        <v>0.12057707924831411</v>
      </c>
      <c r="O472">
        <v>0.1276717516296797</v>
      </c>
      <c r="P472">
        <v>1.8724075409460184E-2</v>
      </c>
      <c r="Q472">
        <v>8.7752821803085241E-4</v>
      </c>
      <c r="R472">
        <v>1.2906396432667163E-3</v>
      </c>
      <c r="S472">
        <v>0.1050715250926352</v>
      </c>
      <c r="T472">
        <v>1.0563795377621343</v>
      </c>
      <c r="U472">
        <v>0</v>
      </c>
      <c r="V472">
        <v>0.20685384200707257</v>
      </c>
      <c r="W472">
        <v>7.9010343313436801E-2</v>
      </c>
      <c r="X472">
        <v>2.9901440948423074E-2</v>
      </c>
      <c r="Y472">
        <v>3.5126956497279443E-3</v>
      </c>
    </row>
    <row r="473" spans="1:25" x14ac:dyDescent="0.25">
      <c r="A473" s="1095"/>
      <c r="B473" s="1454">
        <v>223</v>
      </c>
      <c r="C473" s="1099">
        <v>0.98298060862621994</v>
      </c>
      <c r="D473" s="1099">
        <v>0.99197139869999684</v>
      </c>
      <c r="E473" s="1099">
        <v>0.99134065352894596</v>
      </c>
      <c r="F473" s="1099">
        <v>0.97386978594224527</v>
      </c>
      <c r="G473" s="1099">
        <v>1.0003826712131989</v>
      </c>
      <c r="H473" s="1099">
        <v>0.99125504834951872</v>
      </c>
      <c r="I473" s="1099">
        <v>1.0145935653845657</v>
      </c>
      <c r="K473">
        <v>1.7137357752460771</v>
      </c>
      <c r="L473">
        <v>0</v>
      </c>
      <c r="M473">
        <v>1.413260052665699E-3</v>
      </c>
      <c r="N473">
        <v>0.12664141976139212</v>
      </c>
      <c r="O473">
        <v>0.12670692440210957</v>
      </c>
      <c r="P473">
        <v>1.7956658467749294E-2</v>
      </c>
      <c r="Q473">
        <v>9.0909297327503946E-4</v>
      </c>
      <c r="R473">
        <v>1.4095744008925752E-3</v>
      </c>
      <c r="S473">
        <v>0.11107523434615266</v>
      </c>
      <c r="T473">
        <v>1.0043653175844935</v>
      </c>
      <c r="U473">
        <v>0</v>
      </c>
      <c r="V473">
        <v>0.20951913128880606</v>
      </c>
      <c r="W473">
        <v>8.3625556717167676E-2</v>
      </c>
      <c r="X473">
        <v>2.9103728503552091E-2</v>
      </c>
      <c r="Y473">
        <v>3.8363968531532175E-3</v>
      </c>
    </row>
    <row r="474" spans="1:25" x14ac:dyDescent="0.25">
      <c r="A474" s="1095"/>
      <c r="B474" s="1454">
        <v>224</v>
      </c>
      <c r="C474" s="1099">
        <v>0.96537091223869798</v>
      </c>
      <c r="D474" s="1099">
        <v>1.0111568718456394</v>
      </c>
      <c r="E474" s="1099">
        <v>0.99726499242418953</v>
      </c>
      <c r="F474" s="1099">
        <v>1.015139634016472</v>
      </c>
      <c r="G474" s="1099">
        <v>0.97435517064256205</v>
      </c>
      <c r="H474" s="1099">
        <v>0.9791497121838334</v>
      </c>
      <c r="I474" s="1099">
        <v>1.0234042285267879</v>
      </c>
      <c r="K474">
        <v>1.7640661488246512</v>
      </c>
      <c r="L474">
        <v>0</v>
      </c>
      <c r="M474">
        <v>1.3914176449356095E-3</v>
      </c>
      <c r="N474">
        <v>0.12693227893093656</v>
      </c>
      <c r="O474">
        <v>0.12995810329662399</v>
      </c>
      <c r="P474">
        <v>1.8652333178144669E-2</v>
      </c>
      <c r="Q474">
        <v>9.2428734663806817E-4</v>
      </c>
      <c r="R474">
        <v>1.3877388546982214E-3</v>
      </c>
      <c r="S474">
        <v>0.1120217772882996</v>
      </c>
      <c r="T474">
        <v>1.0467476808038816</v>
      </c>
      <c r="U474">
        <v>0</v>
      </c>
      <c r="V474">
        <v>0.21142625227918505</v>
      </c>
      <c r="W474">
        <v>8.35216824252034E-2</v>
      </c>
      <c r="X474">
        <v>3.0108464371476417E-2</v>
      </c>
      <c r="Y474">
        <v>3.776967694498055E-3</v>
      </c>
    </row>
    <row r="475" spans="1:25" x14ac:dyDescent="0.25">
      <c r="A475" s="1095"/>
      <c r="B475" s="1454">
        <v>225</v>
      </c>
      <c r="C475" s="1099">
        <v>1.0166864220901759</v>
      </c>
      <c r="D475" s="1099">
        <v>0.97944015964986308</v>
      </c>
      <c r="E475" s="1099">
        <v>1.009265954163145</v>
      </c>
      <c r="F475" s="1099">
        <v>1.0009229237972084</v>
      </c>
      <c r="G475" s="1099">
        <v>1.0150686305177403</v>
      </c>
      <c r="H475" s="1099">
        <v>0.99462809877137315</v>
      </c>
      <c r="I475" s="1099">
        <v>0.99380932306910597</v>
      </c>
      <c r="K475">
        <v>1.7376730970420553</v>
      </c>
      <c r="L475">
        <v>0</v>
      </c>
      <c r="M475">
        <v>1.3379889731081004E-3</v>
      </c>
      <c r="N475">
        <v>0.12657209024347058</v>
      </c>
      <c r="O475">
        <v>0.12770037786648936</v>
      </c>
      <c r="P475">
        <v>1.8509487588139497E-2</v>
      </c>
      <c r="Q475">
        <v>9.0000484186571216E-4</v>
      </c>
      <c r="R475">
        <v>1.3345380774856441E-3</v>
      </c>
      <c r="S475">
        <v>0.10664882735545567</v>
      </c>
      <c r="T475">
        <v>1.0317323949824029</v>
      </c>
      <c r="U475">
        <v>0</v>
      </c>
      <c r="V475">
        <v>0.2092397703696374</v>
      </c>
      <c r="W475">
        <v>8.2694260711748971E-2</v>
      </c>
      <c r="X475">
        <v>3.0047161261910465E-2</v>
      </c>
      <c r="Y475">
        <v>3.632172716556914E-3</v>
      </c>
    </row>
    <row r="476" spans="1:25" x14ac:dyDescent="0.25">
      <c r="A476" s="1095"/>
      <c r="B476" s="1454">
        <v>226</v>
      </c>
      <c r="C476" s="1099">
        <v>0.99127931063382924</v>
      </c>
      <c r="D476" s="1099">
        <v>0.99278533063861563</v>
      </c>
      <c r="E476" s="1099">
        <v>0.98195692307565718</v>
      </c>
      <c r="F476" s="1099">
        <v>1.040736980991759</v>
      </c>
      <c r="G476" s="1099">
        <v>0.99302209577688005</v>
      </c>
      <c r="H476" s="1099">
        <v>0.98593080475709838</v>
      </c>
      <c r="I476" s="1099">
        <v>0.97347398488456593</v>
      </c>
      <c r="K476">
        <v>1.7830920443095797</v>
      </c>
      <c r="L476">
        <v>0</v>
      </c>
      <c r="M476">
        <v>1.4298796640351654E-3</v>
      </c>
      <c r="N476">
        <v>0.12454602230368449</v>
      </c>
      <c r="O476">
        <v>0.13129918298626961</v>
      </c>
      <c r="P476">
        <v>1.8721284390353247E-2</v>
      </c>
      <c r="Q476">
        <v>8.9239928305759862E-4</v>
      </c>
      <c r="R476">
        <v>1.4261544049545649E-3</v>
      </c>
      <c r="S476">
        <v>0.10569059751116745</v>
      </c>
      <c r="T476">
        <v>1.073620577577034</v>
      </c>
      <c r="U476">
        <v>0</v>
      </c>
      <c r="V476">
        <v>0.21190011693798871</v>
      </c>
      <c r="W476">
        <v>8.2706750317999039E-2</v>
      </c>
      <c r="X476">
        <v>2.9837316102492104E-2</v>
      </c>
      <c r="Y476">
        <v>3.881522158613085E-3</v>
      </c>
    </row>
    <row r="477" spans="1:25" x14ac:dyDescent="0.25">
      <c r="A477" s="1095"/>
      <c r="B477" s="1454">
        <v>227</v>
      </c>
      <c r="C477" s="1099">
        <v>1.0189057146558516</v>
      </c>
      <c r="D477" s="1099">
        <v>0.98451079242694828</v>
      </c>
      <c r="E477" s="1099">
        <v>1.0025126435294964</v>
      </c>
      <c r="F477" s="1099">
        <v>1.0153938087178476</v>
      </c>
      <c r="G477" s="1099">
        <v>0.98889779662978727</v>
      </c>
      <c r="H477" s="1099">
        <v>1.0029720011360506</v>
      </c>
      <c r="I477" s="1099">
        <v>1.0314325866405578</v>
      </c>
      <c r="K477">
        <v>1.7568955399254849</v>
      </c>
      <c r="L477">
        <v>0</v>
      </c>
      <c r="M477">
        <v>1.363068109432804E-3</v>
      </c>
      <c r="N477">
        <v>0.12634429607482195</v>
      </c>
      <c r="O477">
        <v>0.12841742929032088</v>
      </c>
      <c r="P477">
        <v>1.8668139143616688E-2</v>
      </c>
      <c r="Q477">
        <v>8.89957949829662E-4</v>
      </c>
      <c r="R477">
        <v>1.3595833151690104E-3</v>
      </c>
      <c r="S477">
        <v>0.1107794298136021</v>
      </c>
      <c r="T477">
        <v>1.0468513540362552</v>
      </c>
      <c r="U477">
        <v>0</v>
      </c>
      <c r="V477">
        <v>0.20836977936224915</v>
      </c>
      <c r="W477">
        <v>8.2875879137101469E-2</v>
      </c>
      <c r="X477">
        <v>3.0002422314579627E-2</v>
      </c>
      <c r="Y477">
        <v>3.7003375973706531E-3</v>
      </c>
    </row>
    <row r="478" spans="1:25" x14ac:dyDescent="0.25">
      <c r="A478" s="1095"/>
      <c r="B478" s="1454">
        <v>228</v>
      </c>
      <c r="C478" s="1099">
        <v>1.009322826849383</v>
      </c>
      <c r="D478" s="1099">
        <v>0.95901815874050778</v>
      </c>
      <c r="E478" s="1099">
        <v>0.98069899316136744</v>
      </c>
      <c r="F478" s="1099">
        <v>0.99830245549966901</v>
      </c>
      <c r="G478" s="1099">
        <v>1.0132424976055816</v>
      </c>
      <c r="H478" s="1099">
        <v>0.9983001395551806</v>
      </c>
      <c r="I478" s="1099">
        <v>0.99764502429630353</v>
      </c>
      <c r="K478">
        <v>1.7400507252300137</v>
      </c>
      <c r="L478">
        <v>0</v>
      </c>
      <c r="M478">
        <v>1.4519294562896443E-3</v>
      </c>
      <c r="N478">
        <v>0.12599174861691981</v>
      </c>
      <c r="O478">
        <v>0.12873262428650215</v>
      </c>
      <c r="P478">
        <v>1.8142358636169011E-2</v>
      </c>
      <c r="Q478">
        <v>8.8749205026161413E-4</v>
      </c>
      <c r="R478">
        <v>1.4482101346896118E-3</v>
      </c>
      <c r="S478">
        <v>0.10940551941596237</v>
      </c>
      <c r="T478">
        <v>1.0298833022199723</v>
      </c>
      <c r="U478">
        <v>0</v>
      </c>
      <c r="V478">
        <v>0.21018199263395609</v>
      </c>
      <c r="W478">
        <v>8.3730315507426128E-2</v>
      </c>
      <c r="X478">
        <v>2.9157540600159997E-2</v>
      </c>
      <c r="Y478">
        <v>3.941550584282528E-3</v>
      </c>
    </row>
    <row r="479" spans="1:25" x14ac:dyDescent="0.25">
      <c r="A479" s="1095"/>
      <c r="B479" s="1454">
        <v>229</v>
      </c>
      <c r="C479" s="1099">
        <v>0.98611915182944043</v>
      </c>
      <c r="D479" s="1099">
        <v>1.0077232125925926</v>
      </c>
      <c r="E479" s="1099">
        <v>1.0098338854438917</v>
      </c>
      <c r="F479" s="1099">
        <v>1.0048534209010771</v>
      </c>
      <c r="G479" s="1099">
        <v>0.97864884167559318</v>
      </c>
      <c r="H479" s="1099">
        <v>1.0229905969085238</v>
      </c>
      <c r="I479" s="1099">
        <v>1.0321133457487763</v>
      </c>
      <c r="K479">
        <v>1.7590368769217553</v>
      </c>
      <c r="L479">
        <v>0</v>
      </c>
      <c r="M479">
        <v>1.3905012096721025E-3</v>
      </c>
      <c r="N479">
        <v>0.13177234503120192</v>
      </c>
      <c r="O479">
        <v>0.12827808090790879</v>
      </c>
      <c r="P479">
        <v>1.8677529643923507E-2</v>
      </c>
      <c r="Q479">
        <v>9.1793422978796136E-4</v>
      </c>
      <c r="R479">
        <v>1.3869877762245383E-3</v>
      </c>
      <c r="S479">
        <v>0.11410627014048873</v>
      </c>
      <c r="T479">
        <v>1.0357670741292704</v>
      </c>
      <c r="U479">
        <v>0</v>
      </c>
      <c r="V479">
        <v>0.20940820133427016</v>
      </c>
      <c r="W479">
        <v>8.6062943700208366E-2</v>
      </c>
      <c r="X479">
        <v>3.0275087731657189E-2</v>
      </c>
      <c r="Y479">
        <v>3.774923506485642E-3</v>
      </c>
    </row>
    <row r="480" spans="1:25" x14ac:dyDescent="0.25">
      <c r="A480" s="1095"/>
      <c r="B480" s="1454">
        <v>230</v>
      </c>
      <c r="C480" s="1099">
        <v>1.0010291692233009</v>
      </c>
      <c r="D480" s="1099">
        <v>1.0022848371043718</v>
      </c>
      <c r="E480" s="1099">
        <v>1.0287243174308927</v>
      </c>
      <c r="F480" s="1099">
        <v>0.99074539269974471</v>
      </c>
      <c r="G480" s="1099">
        <v>1.0014246112502305</v>
      </c>
      <c r="H480" s="1099">
        <v>1.0129040865930807</v>
      </c>
      <c r="I480" s="1099">
        <v>0.996117297978384</v>
      </c>
      <c r="K480">
        <v>1.7340574227410317</v>
      </c>
      <c r="L480">
        <v>0</v>
      </c>
      <c r="M480">
        <v>1.3081919871376169E-3</v>
      </c>
      <c r="N480">
        <v>0.13123981767555565</v>
      </c>
      <c r="O480">
        <v>0.12674834981003089</v>
      </c>
      <c r="P480">
        <v>1.8635625876108283E-2</v>
      </c>
      <c r="Q480">
        <v>9.2396088622326842E-4</v>
      </c>
      <c r="R480">
        <v>1.3048570583935873E-3</v>
      </c>
      <c r="S480">
        <v>0.10818328929064447</v>
      </c>
      <c r="T480">
        <v>1.020679367834318</v>
      </c>
      <c r="U480">
        <v>0</v>
      </c>
      <c r="V480">
        <v>0.20871365006481049</v>
      </c>
      <c r="W480">
        <v>8.4772498147779887E-2</v>
      </c>
      <c r="X480">
        <v>3.0612807317370257E-2</v>
      </c>
      <c r="Y480">
        <v>3.5513907669336496E-3</v>
      </c>
    </row>
    <row r="481" spans="1:25" x14ac:dyDescent="0.25">
      <c r="A481" s="1095"/>
      <c r="B481" s="1454">
        <v>231</v>
      </c>
      <c r="C481" s="1099">
        <v>0.96187189739105428</v>
      </c>
      <c r="D481" s="1099">
        <v>0.98878235333656406</v>
      </c>
      <c r="E481" s="1099">
        <v>0.98950931720942681</v>
      </c>
      <c r="F481" s="1099">
        <v>1.0233027080885964</v>
      </c>
      <c r="G481" s="1099">
        <v>1.0212715161937855</v>
      </c>
      <c r="H481" s="1099">
        <v>0.97057755828137027</v>
      </c>
      <c r="I481" s="1099">
        <v>0.98771230214883032</v>
      </c>
      <c r="K481">
        <v>1.776431372157721</v>
      </c>
      <c r="L481">
        <v>0</v>
      </c>
      <c r="M481">
        <v>1.4258554667119789E-3</v>
      </c>
      <c r="N481">
        <v>0.12705860450642975</v>
      </c>
      <c r="O481">
        <v>0.13179909269378079</v>
      </c>
      <c r="P481">
        <v>1.8675808605883828E-2</v>
      </c>
      <c r="Q481">
        <v>9.2846718326574219E-4</v>
      </c>
      <c r="R481">
        <v>1.4220697448577159E-3</v>
      </c>
      <c r="S481">
        <v>0.10941345447546864</v>
      </c>
      <c r="T481">
        <v>1.0554024140930385</v>
      </c>
      <c r="U481">
        <v>0</v>
      </c>
      <c r="V481">
        <v>0.21511300531332295</v>
      </c>
      <c r="W481">
        <v>8.3993103583123202E-2</v>
      </c>
      <c r="X481">
        <v>3.0180802364922817E-2</v>
      </c>
      <c r="Y481">
        <v>3.8704050603373002E-3</v>
      </c>
    </row>
    <row r="482" spans="1:25" x14ac:dyDescent="0.25">
      <c r="A482" s="1095"/>
      <c r="B482" s="1454">
        <v>232</v>
      </c>
      <c r="C482" s="1099">
        <v>1.0025516443787854</v>
      </c>
      <c r="D482" s="1099">
        <v>0.99372041365540664</v>
      </c>
      <c r="E482" s="1099">
        <v>1.0187154861058871</v>
      </c>
      <c r="F482" s="1099">
        <v>1.0175823563514985</v>
      </c>
      <c r="G482" s="1099">
        <v>1.0018424447626433</v>
      </c>
      <c r="H482" s="1099">
        <v>0.99490738434728399</v>
      </c>
      <c r="I482" s="1099">
        <v>1.0091418928271234</v>
      </c>
      <c r="K482">
        <v>1.7629270885983952</v>
      </c>
      <c r="L482">
        <v>0</v>
      </c>
      <c r="M482">
        <v>1.3198708172756776E-3</v>
      </c>
      <c r="N482">
        <v>0.12846959259343643</v>
      </c>
      <c r="O482">
        <v>0.12906213039101419</v>
      </c>
      <c r="P482">
        <v>1.8917274163004889E-2</v>
      </c>
      <c r="Q482">
        <v>9.1629219138564754E-4</v>
      </c>
      <c r="R482">
        <v>1.3164591508986391E-3</v>
      </c>
      <c r="S482">
        <v>0.10889708891683747</v>
      </c>
      <c r="T482">
        <v>1.0486227727924711</v>
      </c>
      <c r="U482">
        <v>0</v>
      </c>
      <c r="V482">
        <v>0.21023672691869424</v>
      </c>
      <c r="W482">
        <v>8.3469034655557273E-2</v>
      </c>
      <c r="X482">
        <v>3.075661980426727E-2</v>
      </c>
      <c r="Y482">
        <v>3.5829678381036332E-3</v>
      </c>
    </row>
    <row r="483" spans="1:25" x14ac:dyDescent="0.25">
      <c r="A483" s="1095"/>
      <c r="B483" s="1454">
        <v>233</v>
      </c>
      <c r="C483" s="1099">
        <v>1.020352778045698</v>
      </c>
      <c r="D483" s="1099">
        <v>1.013890213912052</v>
      </c>
      <c r="E483" s="1099">
        <v>1.0207877688190079</v>
      </c>
      <c r="F483" s="1099">
        <v>0.97810096337566921</v>
      </c>
      <c r="G483" s="1099">
        <v>0.96085744173186438</v>
      </c>
      <c r="H483" s="1099">
        <v>1.0035613984069021</v>
      </c>
      <c r="I483" s="1099">
        <v>1.0192463089810113</v>
      </c>
      <c r="K483">
        <v>1.7033422438241952</v>
      </c>
      <c r="L483">
        <v>0</v>
      </c>
      <c r="M483">
        <v>1.2846493219636631E-3</v>
      </c>
      <c r="N483">
        <v>0.12582642864828114</v>
      </c>
      <c r="O483">
        <v>0.12426755493167363</v>
      </c>
      <c r="P483">
        <v>1.8273686771562343E-2</v>
      </c>
      <c r="Q483">
        <v>8.950000579083622E-4</v>
      </c>
      <c r="R483">
        <v>1.2813383173712807E-3</v>
      </c>
      <c r="S483">
        <v>0.10720250028367338</v>
      </c>
      <c r="T483">
        <v>1.0078779703961283</v>
      </c>
      <c r="U483">
        <v>0</v>
      </c>
      <c r="V483">
        <v>0.20413620494117315</v>
      </c>
      <c r="W483">
        <v>8.1652648190706542E-2</v>
      </c>
      <c r="X483">
        <v>2.9726180100858358E-2</v>
      </c>
      <c r="Y483">
        <v>3.4873805068218241E-3</v>
      </c>
    </row>
    <row r="484" spans="1:25" x14ac:dyDescent="0.25">
      <c r="A484" s="1095"/>
      <c r="B484" s="1454">
        <v>234</v>
      </c>
      <c r="C484" s="1099">
        <v>0.99189102836443577</v>
      </c>
      <c r="D484" s="1099">
        <v>0.99837246893435316</v>
      </c>
      <c r="E484" s="1099">
        <v>0.95678936609750753</v>
      </c>
      <c r="F484" s="1099">
        <v>0.97483640139447936</v>
      </c>
      <c r="G484" s="1099">
        <v>1.0436738177139884</v>
      </c>
      <c r="H484" s="1099">
        <v>1.0106334630084917</v>
      </c>
      <c r="I484" s="1099">
        <v>1.0159711033768064</v>
      </c>
      <c r="K484">
        <v>1.7109308550652302</v>
      </c>
      <c r="L484">
        <v>0</v>
      </c>
      <c r="M484">
        <v>1.5291535322211156E-3</v>
      </c>
      <c r="N484">
        <v>0.12342552857203086</v>
      </c>
      <c r="O484">
        <v>0.1258940230212125</v>
      </c>
      <c r="P484">
        <v>1.7531425464144858E-2</v>
      </c>
      <c r="Q484">
        <v>8.665560229982333E-4</v>
      </c>
      <c r="R484">
        <v>1.5252408363010202E-3</v>
      </c>
      <c r="S484">
        <v>0.11117468619198689</v>
      </c>
      <c r="T484">
        <v>1.0063895646014569</v>
      </c>
      <c r="U484">
        <v>0</v>
      </c>
      <c r="V484">
        <v>0.21060876321957639</v>
      </c>
      <c r="W484">
        <v>8.3228483799582531E-2</v>
      </c>
      <c r="X484">
        <v>2.7664534107256371E-2</v>
      </c>
      <c r="Y484">
        <v>4.1512027609048206E-3</v>
      </c>
    </row>
    <row r="485" spans="1:25" x14ac:dyDescent="0.25">
      <c r="A485" s="1095"/>
      <c r="B485" s="1454">
        <v>235</v>
      </c>
      <c r="C485" s="1099">
        <v>1.0071867381982835</v>
      </c>
      <c r="D485" s="1099">
        <v>1.0177439213765873</v>
      </c>
      <c r="E485" s="1099">
        <v>0.99009159726806362</v>
      </c>
      <c r="F485" s="1099">
        <v>1.0262522871231754</v>
      </c>
      <c r="G485" s="1099">
        <v>0.99277548755317824</v>
      </c>
      <c r="H485" s="1099">
        <v>0.98295607545876096</v>
      </c>
      <c r="I485" s="1099">
        <v>1.0080091761109076</v>
      </c>
      <c r="K485">
        <v>1.7558675768852616</v>
      </c>
      <c r="L485">
        <v>0</v>
      </c>
      <c r="M485">
        <v>1.3596314160327402E-3</v>
      </c>
      <c r="N485">
        <v>0.12137444553517687</v>
      </c>
      <c r="O485">
        <v>0.12825093902218496</v>
      </c>
      <c r="P485">
        <v>1.8595029529979466E-2</v>
      </c>
      <c r="Q485">
        <v>8.7704583515448562E-4</v>
      </c>
      <c r="R485">
        <v>1.3560618362042922E-3</v>
      </c>
      <c r="S485">
        <v>0.10588051855345101</v>
      </c>
      <c r="T485">
        <v>1.058426572213198</v>
      </c>
      <c r="U485">
        <v>0</v>
      </c>
      <c r="V485">
        <v>0.20905564520373088</v>
      </c>
      <c r="W485">
        <v>8.0207557580252997E-2</v>
      </c>
      <c r="X485">
        <v>2.9512639699476699E-2</v>
      </c>
      <c r="Y485">
        <v>3.6907532924839188E-3</v>
      </c>
    </row>
    <row r="486" spans="1:25" x14ac:dyDescent="0.25">
      <c r="A486" s="1095"/>
      <c r="B486" s="1454">
        <v>236</v>
      </c>
      <c r="C486" s="1099">
        <v>0.99285411658076972</v>
      </c>
      <c r="D486" s="1099">
        <v>0.98596978760371479</v>
      </c>
      <c r="E486" s="1099">
        <v>1.0035221521349804</v>
      </c>
      <c r="F486" s="1099">
        <v>1.0130568412636627</v>
      </c>
      <c r="G486" s="1099">
        <v>1.004466080966685</v>
      </c>
      <c r="H486" s="1099">
        <v>0.9867108637623131</v>
      </c>
      <c r="I486" s="1099">
        <v>0.98258989886366088</v>
      </c>
      <c r="K486">
        <v>1.7561810162705744</v>
      </c>
      <c r="L486">
        <v>0</v>
      </c>
      <c r="M486">
        <v>1.3688545153872449E-3</v>
      </c>
      <c r="N486">
        <v>0.12726187831989036</v>
      </c>
      <c r="O486">
        <v>0.12953184378402591</v>
      </c>
      <c r="P486">
        <v>1.86338415100499E-2</v>
      </c>
      <c r="Q486">
        <v>9.1372314079470225E-4</v>
      </c>
      <c r="R486">
        <v>1.3652878809445612E-3</v>
      </c>
      <c r="S486">
        <v>0.10690613255006427</v>
      </c>
      <c r="T486">
        <v>1.0444116762171038</v>
      </c>
      <c r="U486">
        <v>0</v>
      </c>
      <c r="V486">
        <v>0.21114971230700197</v>
      </c>
      <c r="W486">
        <v>8.342781737414233E-2</v>
      </c>
      <c r="X486">
        <v>3.0232094157041246E-2</v>
      </c>
      <c r="Y486">
        <v>3.7158635449020998E-3</v>
      </c>
    </row>
    <row r="487" spans="1:25" x14ac:dyDescent="0.25">
      <c r="A487" s="1095"/>
      <c r="B487" s="1454">
        <v>237</v>
      </c>
      <c r="C487" s="1099">
        <v>1.0072770860684566</v>
      </c>
      <c r="D487" s="1099">
        <v>1.0087742284672117</v>
      </c>
      <c r="E487" s="1099">
        <v>0.97511173121495942</v>
      </c>
      <c r="F487" s="1099">
        <v>1.0278708162074839</v>
      </c>
      <c r="G487" s="1099">
        <v>0.98002677857678167</v>
      </c>
      <c r="H487" s="1099">
        <v>0.96633725519460456</v>
      </c>
      <c r="I487" s="1099">
        <v>0.96255778777093171</v>
      </c>
      <c r="K487">
        <v>1.7476131835698825</v>
      </c>
      <c r="L487">
        <v>0</v>
      </c>
      <c r="M487">
        <v>1.386028900352723E-3</v>
      </c>
      <c r="N487">
        <v>0.1182444161242909</v>
      </c>
      <c r="O487">
        <v>0.12871568023336152</v>
      </c>
      <c r="P487">
        <v>1.833782841109495E-2</v>
      </c>
      <c r="Q487">
        <v>8.6638923587263519E-4</v>
      </c>
      <c r="R487">
        <v>1.3823342457152299E-3</v>
      </c>
      <c r="S487">
        <v>0.10053175292220136</v>
      </c>
      <c r="T487">
        <v>1.0605615540984392</v>
      </c>
      <c r="U487">
        <v>0</v>
      </c>
      <c r="V487">
        <v>0.20873814752796657</v>
      </c>
      <c r="W487">
        <v>7.8847674632161149E-2</v>
      </c>
      <c r="X487">
        <v>2.9011176908654974E-2</v>
      </c>
      <c r="Y487">
        <v>3.7622581304752253E-3</v>
      </c>
    </row>
    <row r="488" spans="1:25" x14ac:dyDescent="0.25">
      <c r="A488" s="1095"/>
      <c r="B488" s="1454">
        <v>238</v>
      </c>
      <c r="C488" s="1099">
        <v>0.99920717352727029</v>
      </c>
      <c r="D488" s="1099">
        <v>0.96576302794768176</v>
      </c>
      <c r="E488" s="1099">
        <v>1.015923354895184</v>
      </c>
      <c r="F488" s="1099">
        <v>1.006139199672184</v>
      </c>
      <c r="G488" s="1099">
        <v>0.99417452089527114</v>
      </c>
      <c r="H488" s="1099">
        <v>0.98124364886529636</v>
      </c>
      <c r="I488" s="1099">
        <v>0.9575997243702149</v>
      </c>
      <c r="K488">
        <v>1.747988340686383</v>
      </c>
      <c r="L488">
        <v>0</v>
      </c>
      <c r="M488">
        <v>1.3342859232407342E-3</v>
      </c>
      <c r="N488">
        <v>0.12877986323835905</v>
      </c>
      <c r="O488">
        <v>0.12967958508328586</v>
      </c>
      <c r="P488">
        <v>1.8658633410978714E-2</v>
      </c>
      <c r="Q488">
        <v>9.2725019516836499E-4</v>
      </c>
      <c r="R488">
        <v>1.3308033743245566E-3</v>
      </c>
      <c r="S488">
        <v>0.10450074133181925</v>
      </c>
      <c r="T488">
        <v>1.0369126200287735</v>
      </c>
      <c r="U488">
        <v>0</v>
      </c>
      <c r="V488">
        <v>0.21041290630563805</v>
      </c>
      <c r="W488">
        <v>8.3807703533072223E-2</v>
      </c>
      <c r="X488">
        <v>3.0690512022504939E-2</v>
      </c>
      <c r="Y488">
        <v>3.6220080856970002E-3</v>
      </c>
    </row>
    <row r="489" spans="1:25" x14ac:dyDescent="0.25">
      <c r="A489" s="1095"/>
      <c r="B489" s="1454">
        <v>239</v>
      </c>
      <c r="C489" s="1099">
        <v>0.97275018935741631</v>
      </c>
      <c r="D489" s="1099">
        <v>1.0135428089912748</v>
      </c>
      <c r="E489" s="1099">
        <v>1.028172541825612</v>
      </c>
      <c r="F489" s="1099">
        <v>0.98386520964565782</v>
      </c>
      <c r="G489" s="1099">
        <v>1.0169071302274728</v>
      </c>
      <c r="H489" s="1099">
        <v>0.98212358071049921</v>
      </c>
      <c r="I489" s="1099">
        <v>1.0039850033247602</v>
      </c>
      <c r="K489">
        <v>1.7280693736572612</v>
      </c>
      <c r="L489">
        <v>0</v>
      </c>
      <c r="M489">
        <v>1.2943636032351638E-3</v>
      </c>
      <c r="N489">
        <v>0.12962456263895636</v>
      </c>
      <c r="O489">
        <v>0.12718395692200021</v>
      </c>
      <c r="P489">
        <v>1.8576049806885223E-2</v>
      </c>
      <c r="Q489">
        <v>9.4604956587743391E-4</v>
      </c>
      <c r="R489">
        <v>1.2909430935815897E-3</v>
      </c>
      <c r="S489">
        <v>0.10902358431255732</v>
      </c>
      <c r="T489">
        <v>1.0136069901068696</v>
      </c>
      <c r="U489">
        <v>0</v>
      </c>
      <c r="V489">
        <v>0.21120258260874838</v>
      </c>
      <c r="W489">
        <v>8.375600185658176E-2</v>
      </c>
      <c r="X489">
        <v>3.0639494806983591E-2</v>
      </c>
      <c r="Y489">
        <v>3.51352154145266E-3</v>
      </c>
    </row>
    <row r="490" spans="1:25" x14ac:dyDescent="0.25">
      <c r="A490" s="1095"/>
      <c r="B490" s="1454">
        <v>240</v>
      </c>
      <c r="C490" s="1099">
        <v>1.0112691820184434</v>
      </c>
      <c r="D490" s="1099">
        <v>1.0398113274677034</v>
      </c>
      <c r="E490" s="1099">
        <v>0.96597652320243543</v>
      </c>
      <c r="F490" s="1099">
        <v>0.99934020690486813</v>
      </c>
      <c r="G490" s="1099">
        <v>1.0428219028949397</v>
      </c>
      <c r="H490" s="1099">
        <v>1.0117588889329554</v>
      </c>
      <c r="I490" s="1099">
        <v>1.0312236253139053</v>
      </c>
      <c r="K490">
        <v>1.7245187305501506</v>
      </c>
      <c r="L490">
        <v>0</v>
      </c>
      <c r="M490">
        <v>1.4438762094250268E-3</v>
      </c>
      <c r="N490">
        <v>0.11983107124068304</v>
      </c>
      <c r="O490">
        <v>0.12496671161255921</v>
      </c>
      <c r="P490">
        <v>1.7929732128334569E-2</v>
      </c>
      <c r="Q490">
        <v>8.444078971459666E-4</v>
      </c>
      <c r="R490">
        <v>1.4401712538264265E-3</v>
      </c>
      <c r="S490">
        <v>0.10829348958165483</v>
      </c>
      <c r="T490">
        <v>1.0314029667298761</v>
      </c>
      <c r="U490">
        <v>0</v>
      </c>
      <c r="V490">
        <v>0.20904988869456326</v>
      </c>
      <c r="W490">
        <v>8.035100761093901E-2</v>
      </c>
      <c r="X490">
        <v>2.7933488609404124E-2</v>
      </c>
      <c r="Y490">
        <v>3.9196714005893E-3</v>
      </c>
    </row>
    <row r="491" spans="1:25" x14ac:dyDescent="0.25">
      <c r="A491" s="1095"/>
      <c r="B491" s="1454">
        <v>241</v>
      </c>
      <c r="C491" s="1099">
        <v>0.97910992679260356</v>
      </c>
      <c r="D491" s="1099">
        <v>1.0008977193559383</v>
      </c>
      <c r="E491" s="1099">
        <v>1.0210806284233007</v>
      </c>
      <c r="F491" s="1099">
        <v>0.97196137953256656</v>
      </c>
      <c r="G491" s="1099">
        <v>1.0237716743683716</v>
      </c>
      <c r="H491" s="1099">
        <v>1.0204884322190835</v>
      </c>
      <c r="I491" s="1099">
        <v>0.97831328144584195</v>
      </c>
      <c r="K491">
        <v>1.7215767119875731</v>
      </c>
      <c r="L491">
        <v>0</v>
      </c>
      <c r="M491">
        <v>1.3653400087154156E-3</v>
      </c>
      <c r="N491">
        <v>0.13385314887067362</v>
      </c>
      <c r="O491">
        <v>0.12647116727890106</v>
      </c>
      <c r="P491">
        <v>1.8305528982835002E-2</v>
      </c>
      <c r="Q491">
        <v>9.3780569037379524E-4</v>
      </c>
      <c r="R491">
        <v>1.3618738016586143E-3</v>
      </c>
      <c r="S491">
        <v>0.10898289127912901</v>
      </c>
      <c r="T491">
        <v>1.0015431899869363</v>
      </c>
      <c r="U491">
        <v>0</v>
      </c>
      <c r="V491">
        <v>0.21070184426757713</v>
      </c>
      <c r="W491">
        <v>8.6846563869216228E-2</v>
      </c>
      <c r="X491">
        <v>3.0231466422449962E-2</v>
      </c>
      <c r="Y491">
        <v>3.7065715465366871E-3</v>
      </c>
    </row>
    <row r="492" spans="1:25" x14ac:dyDescent="0.25">
      <c r="A492" s="1095"/>
      <c r="B492" s="1454">
        <v>242</v>
      </c>
      <c r="C492" s="1099">
        <v>0.98538866894624977</v>
      </c>
      <c r="D492" s="1099">
        <v>0.99813177123542818</v>
      </c>
      <c r="E492" s="1099">
        <v>1.0043558572005833</v>
      </c>
      <c r="F492" s="1099">
        <v>1.0222564768004192</v>
      </c>
      <c r="G492" s="1099">
        <v>1.0033700768135272</v>
      </c>
      <c r="H492" s="1099">
        <v>0.97578203771360217</v>
      </c>
      <c r="I492" s="1099">
        <v>1.0303968805882482</v>
      </c>
      <c r="K492">
        <v>1.7695096781685615</v>
      </c>
      <c r="L492">
        <v>0</v>
      </c>
      <c r="M492">
        <v>1.3520028282696312E-3</v>
      </c>
      <c r="N492">
        <v>0.12600768440426208</v>
      </c>
      <c r="O492">
        <v>0.13005689973533935</v>
      </c>
      <c r="P492">
        <v>1.8844787140508648E-2</v>
      </c>
      <c r="Q492">
        <v>9.1693258133319108E-4</v>
      </c>
      <c r="R492">
        <v>1.3484329347890247E-3</v>
      </c>
      <c r="S492">
        <v>0.11131669068832868</v>
      </c>
      <c r="T492">
        <v>1.0538708118256199</v>
      </c>
      <c r="U492">
        <v>0</v>
      </c>
      <c r="V492">
        <v>0.2118492392447969</v>
      </c>
      <c r="W492">
        <v>8.2564823130522158E-2</v>
      </c>
      <c r="X492">
        <v>3.041538937363417E-2</v>
      </c>
      <c r="Y492">
        <v>3.6699899376982374E-3</v>
      </c>
    </row>
    <row r="493" spans="1:25" x14ac:dyDescent="0.25">
      <c r="A493" s="1095"/>
      <c r="B493" s="1454">
        <v>243</v>
      </c>
      <c r="C493" s="1099">
        <v>0.97217490717007327</v>
      </c>
      <c r="D493" s="1099">
        <v>1.0006405137590724</v>
      </c>
      <c r="E493" s="1099">
        <v>1.0157283802602066</v>
      </c>
      <c r="F493" s="1099">
        <v>0.99474516245066946</v>
      </c>
      <c r="G493" s="1099">
        <v>0.97971615462860606</v>
      </c>
      <c r="H493" s="1099">
        <v>1.0299833889665977</v>
      </c>
      <c r="I493" s="1099">
        <v>1.028122382449288</v>
      </c>
      <c r="K493">
        <v>1.7581361945609233</v>
      </c>
      <c r="L493">
        <v>0</v>
      </c>
      <c r="M493">
        <v>1.4056696065561855E-3</v>
      </c>
      <c r="N493">
        <v>0.13560311842356373</v>
      </c>
      <c r="O493">
        <v>0.1285879575139586</v>
      </c>
      <c r="P493">
        <v>1.8654569212094893E-2</v>
      </c>
      <c r="Q493">
        <v>9.3941612199143127E-4</v>
      </c>
      <c r="R493">
        <v>1.4021392267500943E-3</v>
      </c>
      <c r="S493">
        <v>0.11616579797745492</v>
      </c>
      <c r="T493">
        <v>1.0251757631989138</v>
      </c>
      <c r="U493">
        <v>0</v>
      </c>
      <c r="V493">
        <v>0.2103773992403607</v>
      </c>
      <c r="W493">
        <v>8.8258259973655717E-2</v>
      </c>
      <c r="X493">
        <v>3.0561282518591602E-2</v>
      </c>
      <c r="Y493">
        <v>3.8161607601418812E-3</v>
      </c>
    </row>
    <row r="494" spans="1:25" x14ac:dyDescent="0.25">
      <c r="A494" s="1095"/>
      <c r="B494" s="1454">
        <v>244</v>
      </c>
      <c r="C494" s="1099">
        <v>1.0072235357003436</v>
      </c>
      <c r="D494" s="1099">
        <v>0.97104583542429102</v>
      </c>
      <c r="E494" s="1099">
        <v>1.0117468632942024</v>
      </c>
      <c r="F494" s="1099">
        <v>1.0151051962527831</v>
      </c>
      <c r="G494" s="1099">
        <v>1.0181042575839678</v>
      </c>
      <c r="H494" s="1099">
        <v>0.98142144403335341</v>
      </c>
      <c r="I494" s="1099">
        <v>0.99370943677206447</v>
      </c>
      <c r="K494">
        <v>1.758293610857858</v>
      </c>
      <c r="L494">
        <v>0</v>
      </c>
      <c r="M494">
        <v>1.3331251415809075E-3</v>
      </c>
      <c r="N494">
        <v>0.12705632206088482</v>
      </c>
      <c r="O494">
        <v>0.1296783317432304</v>
      </c>
      <c r="P494">
        <v>1.8779628075355763E-2</v>
      </c>
      <c r="Q494">
        <v>9.1392834888288715E-4</v>
      </c>
      <c r="R494">
        <v>1.3296477813605288E-3</v>
      </c>
      <c r="S494">
        <v>0.10732245396416541</v>
      </c>
      <c r="T494">
        <v>1.0462771352045441</v>
      </c>
      <c r="U494">
        <v>0</v>
      </c>
      <c r="V494">
        <v>0.21118586176930965</v>
      </c>
      <c r="W494">
        <v>8.2889325550538337E-2</v>
      </c>
      <c r="X494">
        <v>3.0575238558575909E-2</v>
      </c>
      <c r="Y494">
        <v>3.6188629425900338E-3</v>
      </c>
    </row>
    <row r="495" spans="1:25" x14ac:dyDescent="0.25">
      <c r="A495" s="1095"/>
      <c r="B495" s="1454">
        <v>245</v>
      </c>
      <c r="C495" s="1099">
        <v>0.98185097323997106</v>
      </c>
      <c r="D495" s="1099">
        <v>1.0261621885991783</v>
      </c>
      <c r="E495" s="1099">
        <v>0.98362082351362645</v>
      </c>
      <c r="F495" s="1099">
        <v>1.0091665358265081</v>
      </c>
      <c r="G495" s="1099">
        <v>0.95827923917203028</v>
      </c>
      <c r="H495" s="1099">
        <v>0.99704558170552804</v>
      </c>
      <c r="I495" s="1099">
        <v>0.9871723725428776</v>
      </c>
      <c r="K495">
        <v>1.7430610831714315</v>
      </c>
      <c r="L495">
        <v>0</v>
      </c>
      <c r="M495">
        <v>1.4219107529282135E-3</v>
      </c>
      <c r="N495">
        <v>0.124477368856879</v>
      </c>
      <c r="O495">
        <v>0.12788836349332547</v>
      </c>
      <c r="P495">
        <v>1.8269875522457093E-2</v>
      </c>
      <c r="Q495">
        <v>8.9067969888165493E-4</v>
      </c>
      <c r="R495">
        <v>1.4182118937837982E-3</v>
      </c>
      <c r="S495">
        <v>0.10655451631381271</v>
      </c>
      <c r="T495">
        <v>1.0410018400929388</v>
      </c>
      <c r="U495">
        <v>0</v>
      </c>
      <c r="V495">
        <v>0.20839619402406628</v>
      </c>
      <c r="W495">
        <v>8.2578334933914199E-2</v>
      </c>
      <c r="X495">
        <v>2.9147703832846369E-2</v>
      </c>
      <c r="Y495">
        <v>3.8599052614543589E-3</v>
      </c>
    </row>
    <row r="496" spans="1:25" x14ac:dyDescent="0.25">
      <c r="A496" s="1095"/>
      <c r="B496" s="1454">
        <v>246</v>
      </c>
      <c r="C496" s="1099">
        <v>0.997954512803231</v>
      </c>
      <c r="D496" s="1099">
        <v>0.97879211741312988</v>
      </c>
      <c r="E496" s="1099">
        <v>0.99870967117973675</v>
      </c>
      <c r="F496" s="1099">
        <v>1.031145406045102</v>
      </c>
      <c r="G496" s="1099">
        <v>1.037502842793415</v>
      </c>
      <c r="H496" s="1099">
        <v>1.0001262954627266</v>
      </c>
      <c r="I496" s="1099">
        <v>1.0130372456132224</v>
      </c>
      <c r="K496">
        <v>1.7860009889978485</v>
      </c>
      <c r="L496">
        <v>0</v>
      </c>
      <c r="M496">
        <v>1.4030037935211406E-3</v>
      </c>
      <c r="N496">
        <v>0.12855972115475273</v>
      </c>
      <c r="O496">
        <v>0.13095248853783828</v>
      </c>
      <c r="P496">
        <v>1.8913978275538437E-2</v>
      </c>
      <c r="Q496">
        <v>9.0717882783809334E-4</v>
      </c>
      <c r="R496">
        <v>1.3994092920013325E-3</v>
      </c>
      <c r="S496">
        <v>0.11124949410368153</v>
      </c>
      <c r="T496">
        <v>1.0632074462602374</v>
      </c>
      <c r="U496">
        <v>0</v>
      </c>
      <c r="V496">
        <v>0.21346185705334147</v>
      </c>
      <c r="W496">
        <v>8.4519823896818821E-2</v>
      </c>
      <c r="X496">
        <v>3.042386461164226E-2</v>
      </c>
      <c r="Y496">
        <v>3.8087307776785003E-3</v>
      </c>
    </row>
    <row r="497" spans="1:25" x14ac:dyDescent="0.25">
      <c r="A497" s="1095"/>
      <c r="B497" s="1454">
        <v>247</v>
      </c>
      <c r="C497" s="1099">
        <v>1.010383169636716</v>
      </c>
      <c r="D497" s="1099">
        <v>0.99432746376693293</v>
      </c>
      <c r="E497" s="1099">
        <v>1.0169899414953634</v>
      </c>
      <c r="F497" s="1099">
        <v>0.99934881625384253</v>
      </c>
      <c r="G497" s="1099">
        <v>1.0407701517672243</v>
      </c>
      <c r="H497" s="1099">
        <v>1.010887848587541</v>
      </c>
      <c r="I497" s="1099">
        <v>1.0064954991991266</v>
      </c>
      <c r="K497">
        <v>1.7429919763081292</v>
      </c>
      <c r="L497">
        <v>0</v>
      </c>
      <c r="M497">
        <v>1.333753147262624E-3</v>
      </c>
      <c r="N497">
        <v>0.12915163390991424</v>
      </c>
      <c r="O497">
        <v>0.12724111656244164</v>
      </c>
      <c r="P497">
        <v>1.8636377455694436E-2</v>
      </c>
      <c r="Q497">
        <v>9.0735849099651377E-4</v>
      </c>
      <c r="R497">
        <v>1.3303565829044291E-3</v>
      </c>
      <c r="S497">
        <v>0.10877918138445834</v>
      </c>
      <c r="T497">
        <v>1.0298833833392722</v>
      </c>
      <c r="U497">
        <v>0</v>
      </c>
      <c r="V497">
        <v>0.2104904297814196</v>
      </c>
      <c r="W497">
        <v>8.3997067714830245E-2</v>
      </c>
      <c r="X497">
        <v>3.028803216672192E-2</v>
      </c>
      <c r="Y497">
        <v>3.6207920667361646E-3</v>
      </c>
    </row>
    <row r="498" spans="1:25" x14ac:dyDescent="0.25">
      <c r="A498" s="1095"/>
      <c r="B498" s="1454">
        <v>248</v>
      </c>
      <c r="C498" s="1099">
        <v>0.99038390478551763</v>
      </c>
      <c r="D498" s="1099">
        <v>1.0218559039923341</v>
      </c>
      <c r="E498" s="1099">
        <v>1.0115597896394599</v>
      </c>
      <c r="F498" s="1099">
        <v>1.0117980987273316</v>
      </c>
      <c r="G498" s="1099">
        <v>0.98932815709923072</v>
      </c>
      <c r="H498" s="1099">
        <v>1.0183469069427766</v>
      </c>
      <c r="I498" s="1099">
        <v>0.98230017064761344</v>
      </c>
      <c r="K498">
        <v>1.7554640434441784</v>
      </c>
      <c r="L498">
        <v>0</v>
      </c>
      <c r="M498">
        <v>1.3633655528741829E-3</v>
      </c>
      <c r="N498">
        <v>0.12987367060656677</v>
      </c>
      <c r="O498">
        <v>0.12794433178724116</v>
      </c>
      <c r="P498">
        <v>1.870204980538066E-2</v>
      </c>
      <c r="Q498">
        <v>9.1052265105658536E-4</v>
      </c>
      <c r="R498">
        <v>1.3598991356701146E-3</v>
      </c>
      <c r="S498">
        <v>0.1069570815535489</v>
      </c>
      <c r="T498">
        <v>1.0428740442485545</v>
      </c>
      <c r="U498">
        <v>0</v>
      </c>
      <c r="V498">
        <v>0.20950447753952672</v>
      </c>
      <c r="W498">
        <v>8.4736649400348446E-2</v>
      </c>
      <c r="X498">
        <v>3.0263485112495346E-2</v>
      </c>
      <c r="Y498">
        <v>3.7011971566644586E-3</v>
      </c>
    </row>
    <row r="499" spans="1:25" x14ac:dyDescent="0.25">
      <c r="A499" s="1095"/>
      <c r="B499" s="1454">
        <v>249</v>
      </c>
      <c r="C499" s="1099">
        <v>0.99122879672071973</v>
      </c>
      <c r="D499" s="1099">
        <v>1.0078367009880695</v>
      </c>
      <c r="E499" s="1099">
        <v>1.010144965187024</v>
      </c>
      <c r="F499" s="1099">
        <v>0.9638732024788137</v>
      </c>
      <c r="G499" s="1099">
        <v>0.99910487021196115</v>
      </c>
      <c r="H499" s="1099">
        <v>1.0139967060990085</v>
      </c>
      <c r="I499" s="1099">
        <v>1.0228241327840886</v>
      </c>
      <c r="K499">
        <v>1.7040484636032525</v>
      </c>
      <c r="L499">
        <v>0</v>
      </c>
      <c r="M499">
        <v>1.365783917893156E-3</v>
      </c>
      <c r="N499">
        <v>0.12954760839579629</v>
      </c>
      <c r="O499">
        <v>0.12486589519104963</v>
      </c>
      <c r="P499">
        <v>1.8044791109684762E-2</v>
      </c>
      <c r="Q499">
        <v>9.1345428065409844E-4</v>
      </c>
      <c r="R499">
        <v>1.3622910112291908E-3</v>
      </c>
      <c r="S499">
        <v>0.11160991129359672</v>
      </c>
      <c r="T499">
        <v>0.99351730193465526</v>
      </c>
      <c r="U499">
        <v>0</v>
      </c>
      <c r="V499">
        <v>0.20780022436529269</v>
      </c>
      <c r="W499">
        <v>8.4594408021785056E-2</v>
      </c>
      <c r="X499">
        <v>2.9450654863947576E-2</v>
      </c>
      <c r="Y499">
        <v>3.7077070534546988E-3</v>
      </c>
    </row>
    <row r="500" spans="1:25" x14ac:dyDescent="0.25">
      <c r="A500" s="1095"/>
      <c r="B500" s="1454">
        <v>250</v>
      </c>
      <c r="C500" s="1099">
        <v>0.98484541774843959</v>
      </c>
      <c r="D500" s="1099">
        <v>0.97269017206161534</v>
      </c>
      <c r="E500" s="1099">
        <v>0.95657043486456428</v>
      </c>
      <c r="F500" s="1099">
        <v>1.0019578674019669</v>
      </c>
      <c r="G500" s="1099">
        <v>0.99371939567765621</v>
      </c>
      <c r="H500" s="1099">
        <v>1.0314641391198023</v>
      </c>
      <c r="I500" s="1099">
        <v>1.0067902683039933</v>
      </c>
      <c r="K500">
        <v>1.7570102350100878</v>
      </c>
      <c r="L500">
        <v>0</v>
      </c>
      <c r="M500">
        <v>1.5996970520794026E-3</v>
      </c>
      <c r="N500">
        <v>0.12904264410755434</v>
      </c>
      <c r="O500">
        <v>0.12954104366009125</v>
      </c>
      <c r="P500">
        <v>1.7945953994872074E-2</v>
      </c>
      <c r="Q500">
        <v>8.8169600062953132E-4</v>
      </c>
      <c r="R500">
        <v>1.5957132745115915E-3</v>
      </c>
      <c r="S500">
        <v>0.11439801060994098</v>
      </c>
      <c r="T500">
        <v>1.0343956941069397</v>
      </c>
      <c r="U500">
        <v>0</v>
      </c>
      <c r="V500">
        <v>0.21101699767206852</v>
      </c>
      <c r="W500">
        <v>8.702794446966973E-2</v>
      </c>
      <c r="X500">
        <v>2.8421228659410012E-2</v>
      </c>
      <c r="Y500">
        <v>4.3430055064809818E-3</v>
      </c>
    </row>
    <row r="501" spans="1:25" x14ac:dyDescent="0.25">
      <c r="A501" s="1095"/>
      <c r="B501" s="1454">
        <v>251</v>
      </c>
      <c r="C501" s="1099">
        <v>0.99157710235904861</v>
      </c>
      <c r="D501" s="1099">
        <v>1.0253646925316771</v>
      </c>
      <c r="E501" s="1099">
        <v>1.0018377334731241</v>
      </c>
      <c r="F501" s="1099">
        <v>0.9937996162067424</v>
      </c>
      <c r="G501" s="1099">
        <v>1.0073071409235113</v>
      </c>
      <c r="H501" s="1099">
        <v>1.0471856783669802</v>
      </c>
      <c r="I501" s="1099">
        <v>0.98791006950344629</v>
      </c>
      <c r="K501">
        <v>1.7400224064609549</v>
      </c>
      <c r="L501">
        <v>0</v>
      </c>
      <c r="M501">
        <v>1.423919367378213E-3</v>
      </c>
      <c r="N501">
        <v>0.13172628051276727</v>
      </c>
      <c r="O501">
        <v>0.12632358695870202</v>
      </c>
      <c r="P501">
        <v>1.8343001140424878E-2</v>
      </c>
      <c r="Q501">
        <v>8.9910476404140498E-4</v>
      </c>
      <c r="R501">
        <v>1.4203913582093322E-3</v>
      </c>
      <c r="S501">
        <v>0.10907023705278052</v>
      </c>
      <c r="T501">
        <v>1.0246080549225536</v>
      </c>
      <c r="U501">
        <v>0</v>
      </c>
      <c r="V501">
        <v>0.20920311681768028</v>
      </c>
      <c r="W501">
        <v>8.644081378899271E-2</v>
      </c>
      <c r="X501">
        <v>2.9545901467018656E-2</v>
      </c>
      <c r="Y501">
        <v>3.8658370451604097E-3</v>
      </c>
    </row>
    <row r="502" spans="1:25" x14ac:dyDescent="0.25">
      <c r="A502" s="1095"/>
      <c r="B502" s="1454">
        <v>252</v>
      </c>
      <c r="C502" s="1099">
        <v>1.0137056862106955</v>
      </c>
      <c r="D502" s="1099">
        <v>1.000448750342924</v>
      </c>
      <c r="E502" s="1099">
        <v>0.99190297931711391</v>
      </c>
      <c r="F502" s="1099">
        <v>0.97980900666752313</v>
      </c>
      <c r="G502" s="1099">
        <v>1.0131228302830515</v>
      </c>
      <c r="H502" s="1099">
        <v>0.9971125472499085</v>
      </c>
      <c r="I502" s="1099">
        <v>1.02296219498151</v>
      </c>
      <c r="K502">
        <v>1.7081991793917386</v>
      </c>
      <c r="L502">
        <v>0</v>
      </c>
      <c r="M502">
        <v>1.3743916760798683E-3</v>
      </c>
      <c r="N502">
        <v>0.12337038583019906</v>
      </c>
      <c r="O502">
        <v>0.12520971409368728</v>
      </c>
      <c r="P502">
        <v>1.798834738497096E-2</v>
      </c>
      <c r="Q502">
        <v>8.790577920128734E-4</v>
      </c>
      <c r="R502">
        <v>1.3708340264491233E-3</v>
      </c>
      <c r="S502">
        <v>0.1086621492350941</v>
      </c>
      <c r="T502">
        <v>1.0104740014389417</v>
      </c>
      <c r="U502">
        <v>0</v>
      </c>
      <c r="V502">
        <v>0.20760376416513485</v>
      </c>
      <c r="W502">
        <v>8.1438180520834222E-2</v>
      </c>
      <c r="X502">
        <v>2.8846178255814422E-2</v>
      </c>
      <c r="Y502">
        <v>3.7309583246791442E-3</v>
      </c>
    </row>
    <row r="503" spans="1:25" x14ac:dyDescent="0.25">
      <c r="A503" s="1095"/>
      <c r="B503" s="1454">
        <v>253</v>
      </c>
      <c r="C503" s="1099">
        <v>1.0040518825289892</v>
      </c>
      <c r="D503" s="1099">
        <v>0.99529709245545717</v>
      </c>
      <c r="E503" s="1099">
        <v>0.97837380756450387</v>
      </c>
      <c r="F503" s="1099">
        <v>0.97334652284374568</v>
      </c>
      <c r="G503" s="1099">
        <v>1.0119080036936881</v>
      </c>
      <c r="H503" s="1099">
        <v>0.95653401327157583</v>
      </c>
      <c r="I503" s="1099">
        <v>0.98121298808813617</v>
      </c>
      <c r="K503">
        <v>1.6876835924716982</v>
      </c>
      <c r="L503">
        <v>0</v>
      </c>
      <c r="M503">
        <v>1.3711855560825461E-3</v>
      </c>
      <c r="N503">
        <v>0.11813466045645901</v>
      </c>
      <c r="O503">
        <v>0.12538000068696706</v>
      </c>
      <c r="P503">
        <v>1.7647730073926646E-2</v>
      </c>
      <c r="Q503">
        <v>8.768585878712327E-4</v>
      </c>
      <c r="R503">
        <v>1.3674840775285456E-3</v>
      </c>
      <c r="S503">
        <v>0.10267586054703884</v>
      </c>
      <c r="T503">
        <v>1.0042065605700163</v>
      </c>
      <c r="U503">
        <v>0</v>
      </c>
      <c r="V503">
        <v>0.20811865616337988</v>
      </c>
      <c r="W503">
        <v>7.8619076103604232E-2</v>
      </c>
      <c r="X503">
        <v>2.8306049892960691E-2</v>
      </c>
      <c r="Y503">
        <v>3.7218408680276972E-3</v>
      </c>
    </row>
    <row r="504" spans="1:25" x14ac:dyDescent="0.25">
      <c r="A504" s="1095"/>
      <c r="B504" s="1454">
        <v>254</v>
      </c>
      <c r="C504" s="1099">
        <v>0.99946402924667077</v>
      </c>
      <c r="D504" s="1099">
        <v>1.0056778526197063</v>
      </c>
      <c r="E504" s="1099">
        <v>1.0238821233877378</v>
      </c>
      <c r="F504" s="1099">
        <v>0.99395280997201907</v>
      </c>
      <c r="G504" s="1099">
        <v>1.0245944631971637</v>
      </c>
      <c r="H504" s="1099">
        <v>1.0014492124659427</v>
      </c>
      <c r="I504" s="1099">
        <v>0.99833771236670898</v>
      </c>
      <c r="K504">
        <v>1.734936216665212</v>
      </c>
      <c r="L504">
        <v>0</v>
      </c>
      <c r="M504">
        <v>1.3061511003008555E-3</v>
      </c>
      <c r="N504">
        <v>0.12913177913258872</v>
      </c>
      <c r="O504">
        <v>0.12689944478490739</v>
      </c>
      <c r="P504">
        <v>1.8627452046861621E-2</v>
      </c>
      <c r="Q504">
        <v>9.1959363189375522E-4</v>
      </c>
      <c r="R504">
        <v>1.3027816529149769E-3</v>
      </c>
      <c r="S504">
        <v>0.10757345119360705</v>
      </c>
      <c r="T504">
        <v>1.0241230136810304</v>
      </c>
      <c r="U504">
        <v>0</v>
      </c>
      <c r="V504">
        <v>0.21001945182559489</v>
      </c>
      <c r="W504">
        <v>8.3646302944944059E-2</v>
      </c>
      <c r="X504">
        <v>3.0453354673792343E-2</v>
      </c>
      <c r="Y504">
        <v>3.545742197378104E-3</v>
      </c>
    </row>
    <row r="505" spans="1:25" x14ac:dyDescent="0.25">
      <c r="A505" s="1095"/>
      <c r="B505" s="1454">
        <v>255</v>
      </c>
      <c r="C505" s="1099">
        <v>0.99779470906385692</v>
      </c>
      <c r="D505" s="1099">
        <v>0.98318959190369948</v>
      </c>
      <c r="E505" s="1099">
        <v>0.96761532029151887</v>
      </c>
      <c r="F505" s="1099">
        <v>0.97373570108188956</v>
      </c>
      <c r="G505" s="1099">
        <v>1.0098864234788756</v>
      </c>
      <c r="H505" s="1099">
        <v>1.0011713559266373</v>
      </c>
      <c r="I505" s="1099">
        <v>1.0086816703772883</v>
      </c>
      <c r="K505">
        <v>1.7078836295862831</v>
      </c>
      <c r="L505">
        <v>0</v>
      </c>
      <c r="M505">
        <v>1.4865132180424837E-3</v>
      </c>
      <c r="N505">
        <v>0.12398240330096694</v>
      </c>
      <c r="O505">
        <v>0.12623812789809885</v>
      </c>
      <c r="P505">
        <v>1.7622593438798594E-2</v>
      </c>
      <c r="Q505">
        <v>8.767099099539499E-4</v>
      </c>
      <c r="R505">
        <v>1.4826861433724229E-3</v>
      </c>
      <c r="S505">
        <v>0.11013958813346539</v>
      </c>
      <c r="T505">
        <v>1.0049279466709791</v>
      </c>
      <c r="U505">
        <v>0</v>
      </c>
      <c r="V505">
        <v>0.20890075209069228</v>
      </c>
      <c r="W505">
        <v>8.3051533371464342E-2</v>
      </c>
      <c r="X505">
        <v>2.8112418931628014E-2</v>
      </c>
      <c r="Y505">
        <v>4.0353829149039301E-3</v>
      </c>
    </row>
    <row r="506" spans="1:25" x14ac:dyDescent="0.25">
      <c r="A506" s="1095"/>
      <c r="B506" s="1454">
        <v>256</v>
      </c>
      <c r="C506" s="1099">
        <v>0.98288478192666273</v>
      </c>
      <c r="D506" s="1099">
        <v>0.9763243408714013</v>
      </c>
      <c r="E506" s="1099">
        <v>1.0095964807334064</v>
      </c>
      <c r="F506" s="1099">
        <v>0.98304725564800644</v>
      </c>
      <c r="G506" s="1099">
        <v>0.95540468009728363</v>
      </c>
      <c r="H506" s="1099">
        <v>0.97032217456131531</v>
      </c>
      <c r="I506" s="1099">
        <v>1.015548197296783</v>
      </c>
      <c r="K506">
        <v>1.7243824397397856</v>
      </c>
      <c r="L506">
        <v>0</v>
      </c>
      <c r="M506">
        <v>1.34571293201933E-3</v>
      </c>
      <c r="N506">
        <v>0.1274202910885282</v>
      </c>
      <c r="O506">
        <v>0.12822504593173648</v>
      </c>
      <c r="P506">
        <v>1.8306596777894219E-2</v>
      </c>
      <c r="Q506">
        <v>9.3246139109533189E-4</v>
      </c>
      <c r="R506">
        <v>1.3421412600856926E-3</v>
      </c>
      <c r="S506">
        <v>0.11085007031141993</v>
      </c>
      <c r="T506">
        <v>1.0132969268696181</v>
      </c>
      <c r="U506">
        <v>0</v>
      </c>
      <c r="V506">
        <v>0.20837213434869958</v>
      </c>
      <c r="W506">
        <v>8.3232190804990641E-2</v>
      </c>
      <c r="X506">
        <v>3.009742781453131E-2</v>
      </c>
      <c r="Y506">
        <v>3.6528660732057755E-3</v>
      </c>
    </row>
    <row r="507" spans="1:25" x14ac:dyDescent="0.25">
      <c r="A507" s="1095"/>
      <c r="B507" s="1454">
        <v>257</v>
      </c>
      <c r="C507" s="1099">
        <v>1.0230638312744316</v>
      </c>
      <c r="D507" s="1099">
        <v>0.99348727617314636</v>
      </c>
      <c r="E507" s="1099">
        <v>0.99664517652754148</v>
      </c>
      <c r="F507" s="1099">
        <v>0.98978492097080484</v>
      </c>
      <c r="G507" s="1099">
        <v>0.98858678948689449</v>
      </c>
      <c r="H507" s="1099">
        <v>0.99009648607070699</v>
      </c>
      <c r="I507" s="1099">
        <v>1.0079652002364847</v>
      </c>
      <c r="K507">
        <v>1.7142248688039379</v>
      </c>
      <c r="L507">
        <v>0</v>
      </c>
      <c r="M507">
        <v>1.3467507397276017E-3</v>
      </c>
      <c r="N507">
        <v>0.12263314024285396</v>
      </c>
      <c r="O507">
        <v>0.12583892645736836</v>
      </c>
      <c r="P507">
        <v>1.8140357186732632E-2</v>
      </c>
      <c r="Q507">
        <v>8.7777141461150936E-4</v>
      </c>
      <c r="R507">
        <v>1.3432503443860189E-3</v>
      </c>
      <c r="S507">
        <v>0.10618504695710576</v>
      </c>
      <c r="T507">
        <v>1.0206217995741611</v>
      </c>
      <c r="U507">
        <v>0</v>
      </c>
      <c r="V507">
        <v>0.20639862668441886</v>
      </c>
      <c r="W507">
        <v>8.0722644013150713E-2</v>
      </c>
      <c r="X507">
        <v>2.9154172033815873E-2</v>
      </c>
      <c r="Y507">
        <v>3.6558846350617227E-3</v>
      </c>
    </row>
    <row r="508" spans="1:25" x14ac:dyDescent="0.25">
      <c r="A508" s="1095"/>
      <c r="B508" s="1454">
        <v>258</v>
      </c>
      <c r="C508" s="1099">
        <v>1.007452425921457</v>
      </c>
      <c r="D508" s="1099">
        <v>1.003461106067101</v>
      </c>
      <c r="E508" s="1099">
        <v>1.0280629658047031</v>
      </c>
      <c r="F508" s="1099">
        <v>0.99341656791585231</v>
      </c>
      <c r="G508" s="1099">
        <v>0.99895677414364337</v>
      </c>
      <c r="H508" s="1099">
        <v>1.0286107303640992</v>
      </c>
      <c r="I508" s="1099">
        <v>1.0146799179836692</v>
      </c>
      <c r="K508">
        <v>1.7404324981142867</v>
      </c>
      <c r="L508">
        <v>0</v>
      </c>
      <c r="M508">
        <v>1.3219343357809476E-3</v>
      </c>
      <c r="N508">
        <v>0.13235965137344571</v>
      </c>
      <c r="O508">
        <v>0.12657241680795617</v>
      </c>
      <c r="P508">
        <v>1.869089351167369E-2</v>
      </c>
      <c r="Q508">
        <v>9.1701973035642457E-4</v>
      </c>
      <c r="R508">
        <v>1.3186176574431427E-3</v>
      </c>
      <c r="S508">
        <v>0.11057472019237645</v>
      </c>
      <c r="T508">
        <v>1.0234502266476355</v>
      </c>
      <c r="U508">
        <v>0</v>
      </c>
      <c r="V508">
        <v>0.20816327747961716</v>
      </c>
      <c r="W508">
        <v>8.5528708282031934E-2</v>
      </c>
      <c r="X508">
        <v>3.0590058186162301E-2</v>
      </c>
      <c r="Y508">
        <v>3.5888425813662824E-3</v>
      </c>
    </row>
    <row r="509" spans="1:25" x14ac:dyDescent="0.25">
      <c r="A509" s="1095"/>
      <c r="B509" s="1454">
        <v>259</v>
      </c>
      <c r="C509" s="1099">
        <v>1.0170334687791001</v>
      </c>
      <c r="D509" s="1099">
        <v>0.9694451122177713</v>
      </c>
      <c r="E509" s="1099">
        <v>1.0104742989924718</v>
      </c>
      <c r="F509" s="1099">
        <v>0.98686013477779089</v>
      </c>
      <c r="G509" s="1099">
        <v>1.0058993982887903</v>
      </c>
      <c r="H509" s="1099">
        <v>1.0315895578244991</v>
      </c>
      <c r="I509" s="1099">
        <v>0.99470887022686794</v>
      </c>
      <c r="K509">
        <v>1.7337416298096278</v>
      </c>
      <c r="L509">
        <v>0</v>
      </c>
      <c r="M509">
        <v>1.3904471069700597E-3</v>
      </c>
      <c r="N509">
        <v>0.13202774982173543</v>
      </c>
      <c r="O509">
        <v>0.12708363861815095</v>
      </c>
      <c r="P509">
        <v>1.8358392321499509E-2</v>
      </c>
      <c r="Q509">
        <v>9.0452325982565368E-4</v>
      </c>
      <c r="R509">
        <v>1.3869918904407602E-3</v>
      </c>
      <c r="S509">
        <v>0.10987882568956898</v>
      </c>
      <c r="T509">
        <v>1.0172016397267301</v>
      </c>
      <c r="U509">
        <v>0</v>
      </c>
      <c r="V509">
        <v>0.20834307339149427</v>
      </c>
      <c r="W509">
        <v>8.6197199859973511E-2</v>
      </c>
      <c r="X509">
        <v>2.9975107633151164E-2</v>
      </c>
      <c r="Y509">
        <v>3.7749347040259471E-3</v>
      </c>
    </row>
    <row r="510" spans="1:25" x14ac:dyDescent="0.25">
      <c r="A510" s="1095"/>
      <c r="B510" s="1454">
        <v>260</v>
      </c>
      <c r="C510" s="1099">
        <v>0.99745827628865802</v>
      </c>
      <c r="D510" s="1099">
        <v>0.96972934500824703</v>
      </c>
      <c r="E510" s="1099">
        <v>1.0271821410209758</v>
      </c>
      <c r="F510" s="1099">
        <v>1.0304912312831067</v>
      </c>
      <c r="G510" s="1099">
        <v>1.0019514342991709</v>
      </c>
      <c r="H510" s="1099">
        <v>1.0270082824227491</v>
      </c>
      <c r="I510" s="1099">
        <v>1.005890312112145</v>
      </c>
      <c r="K510">
        <v>1.7986549319181073</v>
      </c>
      <c r="L510">
        <v>0</v>
      </c>
      <c r="M510">
        <v>1.3659613945769143E-3</v>
      </c>
      <c r="N510">
        <v>0.13640763936974337</v>
      </c>
      <c r="O510">
        <v>0.13148984537960029</v>
      </c>
      <c r="P510">
        <v>1.9301577302910686E-2</v>
      </c>
      <c r="Q510">
        <v>9.3811838377234771E-4</v>
      </c>
      <c r="R510">
        <v>1.3625591149307151E-3</v>
      </c>
      <c r="S510">
        <v>0.11313658895149002</v>
      </c>
      <c r="T510">
        <v>1.0616719965892321</v>
      </c>
      <c r="U510">
        <v>0</v>
      </c>
      <c r="V510">
        <v>0.2121237583855165</v>
      </c>
      <c r="W510">
        <v>8.8189617713581581E-2</v>
      </c>
      <c r="X510">
        <v>3.1690755378554154E-2</v>
      </c>
      <c r="Y510">
        <v>3.7084367433498854E-3</v>
      </c>
    </row>
    <row r="511" spans="1:25" x14ac:dyDescent="0.25">
      <c r="A511" s="1095"/>
      <c r="B511" s="1454">
        <v>261</v>
      </c>
      <c r="C511" s="1099">
        <v>1.0081830210172706</v>
      </c>
      <c r="D511" s="1099">
        <v>1.017827423819442</v>
      </c>
      <c r="E511" s="1099">
        <v>1.0253603504834101</v>
      </c>
      <c r="F511" s="1099">
        <v>0.99560369910743085</v>
      </c>
      <c r="G511" s="1099">
        <v>0.98628518417204514</v>
      </c>
      <c r="H511" s="1099">
        <v>0.99570770980876155</v>
      </c>
      <c r="I511" s="1099">
        <v>1.0083726360637892</v>
      </c>
      <c r="K511">
        <v>1.7275248325044046</v>
      </c>
      <c r="L511">
        <v>0</v>
      </c>
      <c r="M511">
        <v>1.2755265702616835E-3</v>
      </c>
      <c r="N511">
        <v>0.1266651758801971</v>
      </c>
      <c r="O511">
        <v>0.12604280293294742</v>
      </c>
      <c r="P511">
        <v>1.8617264011305281E-2</v>
      </c>
      <c r="Q511">
        <v>9.0864576930734084E-4</v>
      </c>
      <c r="R511">
        <v>1.2722124849832549E-3</v>
      </c>
      <c r="S511">
        <v>0.1065837378275485</v>
      </c>
      <c r="T511">
        <v>1.0257813378262994</v>
      </c>
      <c r="U511">
        <v>0</v>
      </c>
      <c r="V511">
        <v>0.20717282298692441</v>
      </c>
      <c r="W511">
        <v>8.1977866630198945E-2</v>
      </c>
      <c r="X511">
        <v>3.0315949725559194E-2</v>
      </c>
      <c r="Y511">
        <v>3.4625429993914575E-3</v>
      </c>
    </row>
    <row r="512" spans="1:25" x14ac:dyDescent="0.25">
      <c r="A512" s="1095"/>
      <c r="B512" s="1454">
        <v>262</v>
      </c>
      <c r="C512" s="1099">
        <v>0.98046094133964168</v>
      </c>
      <c r="D512" s="1099">
        <v>1.0130554718090434</v>
      </c>
      <c r="E512" s="1099">
        <v>0.97346787821225578</v>
      </c>
      <c r="F512" s="1099">
        <v>0.99131832862810965</v>
      </c>
      <c r="G512" s="1099">
        <v>1.0111922774333124</v>
      </c>
      <c r="H512" s="1099">
        <v>0.99822180546452544</v>
      </c>
      <c r="I512" s="1099">
        <v>0.99956349586189419</v>
      </c>
      <c r="K512">
        <v>1.7280904503603114</v>
      </c>
      <c r="L512">
        <v>0</v>
      </c>
      <c r="M512">
        <v>1.4644510424719562E-3</v>
      </c>
      <c r="N512">
        <v>0.12432327026877832</v>
      </c>
      <c r="O512">
        <v>0.1271527992361772</v>
      </c>
      <c r="P512">
        <v>1.7946180024648081E-2</v>
      </c>
      <c r="Q512">
        <v>8.8704483138309304E-4</v>
      </c>
      <c r="R512">
        <v>1.460648871156532E-3</v>
      </c>
      <c r="S512">
        <v>0.10885359306698821</v>
      </c>
      <c r="T512">
        <v>1.022896233169998</v>
      </c>
      <c r="U512">
        <v>0</v>
      </c>
      <c r="V512">
        <v>0.21049953008073821</v>
      </c>
      <c r="W512">
        <v>8.2983874883115538E-2</v>
      </c>
      <c r="X512">
        <v>2.8576322245282074E-2</v>
      </c>
      <c r="Y512">
        <v>3.9754047245171096E-3</v>
      </c>
    </row>
    <row r="513" spans="1:25" x14ac:dyDescent="0.25">
      <c r="A513" s="1095"/>
      <c r="B513" s="1454">
        <v>263</v>
      </c>
      <c r="C513" s="1099">
        <v>0.96304695047913635</v>
      </c>
      <c r="D513" s="1099">
        <v>0.99614872876025595</v>
      </c>
      <c r="E513" s="1099">
        <v>1.0208071984478004</v>
      </c>
      <c r="F513" s="1099">
        <v>1.0111849268982369</v>
      </c>
      <c r="G513" s="1099">
        <v>1.0342105290485266</v>
      </c>
      <c r="H513" s="1099">
        <v>1.0017816495628382</v>
      </c>
      <c r="I513" s="1099">
        <v>1.0151040344169038</v>
      </c>
      <c r="K513">
        <v>1.7776375523363979</v>
      </c>
      <c r="L513">
        <v>0</v>
      </c>
      <c r="M513">
        <v>1.3701389834834595E-3</v>
      </c>
      <c r="N513">
        <v>0.13420753861084292</v>
      </c>
      <c r="O513">
        <v>0.13058148048833884</v>
      </c>
      <c r="P513">
        <v>1.8990018147125341E-2</v>
      </c>
      <c r="Q513">
        <v>9.5499545649061022E-4</v>
      </c>
      <c r="R513">
        <v>1.3666062423639764E-3</v>
      </c>
      <c r="S513">
        <v>0.11408446462557098</v>
      </c>
      <c r="T513">
        <v>1.0419685600783992</v>
      </c>
      <c r="U513">
        <v>0</v>
      </c>
      <c r="V513">
        <v>0.21485475478311325</v>
      </c>
      <c r="W513">
        <v>8.7090419422284446E-2</v>
      </c>
      <c r="X513">
        <v>3.1189401775263102E-2</v>
      </c>
      <c r="Y513">
        <v>3.7194516900880231E-3</v>
      </c>
    </row>
    <row r="514" spans="1:25" x14ac:dyDescent="0.25">
      <c r="A514" s="1095"/>
      <c r="B514" s="1454">
        <v>264</v>
      </c>
      <c r="C514" s="1099">
        <v>1.0017014951784986</v>
      </c>
      <c r="D514" s="1099">
        <v>0.97138843529536834</v>
      </c>
      <c r="E514" s="1099">
        <v>0.99692125051576108</v>
      </c>
      <c r="F514" s="1099">
        <v>0.99994864764974944</v>
      </c>
      <c r="G514" s="1099">
        <v>1.0112827327534888</v>
      </c>
      <c r="H514" s="1099">
        <v>0.98023124243959769</v>
      </c>
      <c r="I514" s="1099">
        <v>0.96530038848100286</v>
      </c>
      <c r="K514">
        <v>1.7358052893105569</v>
      </c>
      <c r="L514">
        <v>0</v>
      </c>
      <c r="M514">
        <v>1.3779179907820334E-3</v>
      </c>
      <c r="N514">
        <v>0.12557372261521019</v>
      </c>
      <c r="O514">
        <v>0.12872802519149809</v>
      </c>
      <c r="P514">
        <v>1.8320175634745618E-2</v>
      </c>
      <c r="Q514">
        <v>9.0485318307261919E-4</v>
      </c>
      <c r="R514">
        <v>1.3743126968380609E-3</v>
      </c>
      <c r="S514">
        <v>0.10457823264537765</v>
      </c>
      <c r="T514">
        <v>1.0310939456361254</v>
      </c>
      <c r="U514">
        <v>0</v>
      </c>
      <c r="V514">
        <v>0.21047118853437999</v>
      </c>
      <c r="W514">
        <v>8.2644671260937261E-2</v>
      </c>
      <c r="X514">
        <v>2.9753653784419676E-2</v>
      </c>
      <c r="Y514">
        <v>3.7404261187344457E-3</v>
      </c>
    </row>
    <row r="515" spans="1:25" x14ac:dyDescent="0.25">
      <c r="A515" s="1095"/>
      <c r="B515" s="1454">
        <v>265</v>
      </c>
      <c r="C515" s="1099">
        <v>0.96687752729903198</v>
      </c>
      <c r="D515" s="1099">
        <v>1.0086591866914894</v>
      </c>
      <c r="E515" s="1099">
        <v>0.96846131225725018</v>
      </c>
      <c r="F515" s="1099">
        <v>0.98992552080004714</v>
      </c>
      <c r="G515" s="1099">
        <v>0.99832769327982585</v>
      </c>
      <c r="H515" s="1099">
        <v>1.0281219304843319</v>
      </c>
      <c r="I515" s="1099">
        <v>0.95841968011517875</v>
      </c>
      <c r="K515">
        <v>1.7362483466332832</v>
      </c>
      <c r="L515">
        <v>0</v>
      </c>
      <c r="M515">
        <v>1.5473205610741778E-3</v>
      </c>
      <c r="N515">
        <v>0.12939188927551643</v>
      </c>
      <c r="O515">
        <v>0.12794297140731467</v>
      </c>
      <c r="P515">
        <v>1.7858260258702616E-2</v>
      </c>
      <c r="Q515">
        <v>8.9633484197276358E-4</v>
      </c>
      <c r="R515">
        <v>1.5434181273706836E-3</v>
      </c>
      <c r="S515">
        <v>0.10807683729716082</v>
      </c>
      <c r="T515">
        <v>1.0216106888140228</v>
      </c>
      <c r="U515">
        <v>0</v>
      </c>
      <c r="V515">
        <v>0.21111713664214243</v>
      </c>
      <c r="W515">
        <v>8.6630474331536644E-2</v>
      </c>
      <c r="X515">
        <v>2.8526980843562907E-2</v>
      </c>
      <c r="Y515">
        <v>4.2006753550540522E-3</v>
      </c>
    </row>
    <row r="516" spans="1:25" x14ac:dyDescent="0.25">
      <c r="A516" s="1095"/>
      <c r="B516" s="1454">
        <v>266</v>
      </c>
      <c r="C516" s="1099">
        <v>1.0095301307744735</v>
      </c>
      <c r="D516" s="1099">
        <v>0.99134515379942356</v>
      </c>
      <c r="E516" s="1099">
        <v>0.97462203660422653</v>
      </c>
      <c r="F516" s="1099">
        <v>1.0111844605269216</v>
      </c>
      <c r="G516" s="1099">
        <v>1.0087839619169989</v>
      </c>
      <c r="H516" s="1099">
        <v>0.99293330998702944</v>
      </c>
      <c r="I516" s="1099">
        <v>1.0275180520129223</v>
      </c>
      <c r="K516">
        <v>1.7469107502614762</v>
      </c>
      <c r="L516">
        <v>0</v>
      </c>
      <c r="M516">
        <v>1.4354407240918471E-3</v>
      </c>
      <c r="N516">
        <v>0.12228787455367301</v>
      </c>
      <c r="O516">
        <v>0.12815317191281225</v>
      </c>
      <c r="P516">
        <v>1.8239950791551888E-2</v>
      </c>
      <c r="Q516">
        <v>8.7005532957204999E-4</v>
      </c>
      <c r="R516">
        <v>1.4317247681904963E-3</v>
      </c>
      <c r="S516">
        <v>0.11005956574687908</v>
      </c>
      <c r="T516">
        <v>1.0433595917546652</v>
      </c>
      <c r="U516">
        <v>0</v>
      </c>
      <c r="V516">
        <v>0.20960301031065529</v>
      </c>
      <c r="W516">
        <v>8.1568144887789254E-2</v>
      </c>
      <c r="X516">
        <v>2.8876418078706393E-2</v>
      </c>
      <c r="Y516">
        <v>3.8966828510715408E-3</v>
      </c>
    </row>
    <row r="517" spans="1:25" x14ac:dyDescent="0.25">
      <c r="A517" s="1095"/>
      <c r="B517" s="1454">
        <v>267</v>
      </c>
      <c r="C517" s="1099">
        <v>0.99706955977991385</v>
      </c>
      <c r="D517" s="1099">
        <v>1.015764709030663</v>
      </c>
      <c r="E517" s="1099">
        <v>0.99867411412151441</v>
      </c>
      <c r="F517" s="1099">
        <v>1.0012368223156218</v>
      </c>
      <c r="G517" s="1099">
        <v>1.0075668917056082</v>
      </c>
      <c r="H517" s="1099">
        <v>1.0072185125611999</v>
      </c>
      <c r="I517" s="1099">
        <v>0.99926498653093743</v>
      </c>
      <c r="K517">
        <v>1.7386013597118211</v>
      </c>
      <c r="L517">
        <v>0</v>
      </c>
      <c r="M517">
        <v>1.3801129983817989E-3</v>
      </c>
      <c r="N517">
        <v>0.12644777220270045</v>
      </c>
      <c r="O517">
        <v>0.12701962990867469</v>
      </c>
      <c r="P517">
        <v>1.8389040816302018E-2</v>
      </c>
      <c r="Q517">
        <v>8.9458396681421962E-4</v>
      </c>
      <c r="R517">
        <v>1.3765680091272965E-3</v>
      </c>
      <c r="S517">
        <v>0.10765537110668355</v>
      </c>
      <c r="T517">
        <v>1.0323699561821458</v>
      </c>
      <c r="U517">
        <v>0</v>
      </c>
      <c r="V517">
        <v>0.20940828713461304</v>
      </c>
      <c r="W517">
        <v>8.3133110712556094E-2</v>
      </c>
      <c r="X517">
        <v>2.95405883352639E-2</v>
      </c>
      <c r="Y517">
        <v>3.7465643353222491E-3</v>
      </c>
    </row>
    <row r="518" spans="1:25" x14ac:dyDescent="0.25">
      <c r="A518" s="1095"/>
      <c r="B518" s="1454">
        <v>268</v>
      </c>
      <c r="C518" s="1099">
        <v>0.97372293207013416</v>
      </c>
      <c r="D518" s="1099">
        <v>0.98187696139136715</v>
      </c>
      <c r="E518" s="1099">
        <v>0.97179775021008086</v>
      </c>
      <c r="F518" s="1099">
        <v>0.98550196191682282</v>
      </c>
      <c r="G518" s="1099">
        <v>1.0276644314554051</v>
      </c>
      <c r="H518" s="1099">
        <v>0.98934943808863662</v>
      </c>
      <c r="I518" s="1099">
        <v>1.0217878158438878</v>
      </c>
      <c r="K518">
        <v>1.733292806772933</v>
      </c>
      <c r="L518">
        <v>0</v>
      </c>
      <c r="M518">
        <v>1.4919626011478406E-3</v>
      </c>
      <c r="N518">
        <v>0.12601867823244167</v>
      </c>
      <c r="O518">
        <v>0.12848873534920069</v>
      </c>
      <c r="P518">
        <v>1.7932663006679735E-2</v>
      </c>
      <c r="Q518">
        <v>9.0283382626169981E-4</v>
      </c>
      <c r="R518">
        <v>1.4880725519709325E-3</v>
      </c>
      <c r="S518">
        <v>0.11348176742821491</v>
      </c>
      <c r="T518">
        <v>1.0169448629581443</v>
      </c>
      <c r="U518">
        <v>0</v>
      </c>
      <c r="V518">
        <v>0.21252187653571353</v>
      </c>
      <c r="W518">
        <v>8.4200901481671364E-2</v>
      </c>
      <c r="X518">
        <v>2.8754335060301103E-2</v>
      </c>
      <c r="Y518">
        <v>4.0500429434799584E-3</v>
      </c>
    </row>
    <row r="519" spans="1:25" x14ac:dyDescent="0.25">
      <c r="A519" s="1095"/>
      <c r="B519" s="1454">
        <v>269</v>
      </c>
      <c r="C519" s="1099">
        <v>0.99484997894255334</v>
      </c>
      <c r="D519" s="1099">
        <v>0.98880015634353557</v>
      </c>
      <c r="E519" s="1099">
        <v>1.0189156273213227</v>
      </c>
      <c r="F519" s="1099">
        <v>0.96719195665542534</v>
      </c>
      <c r="G519" s="1099">
        <v>0.96164981456070942</v>
      </c>
      <c r="H519" s="1099">
        <v>1.0059113034777485</v>
      </c>
      <c r="I519" s="1099">
        <v>0.98584452272210188</v>
      </c>
      <c r="K519">
        <v>1.7050633227895218</v>
      </c>
      <c r="L519">
        <v>0</v>
      </c>
      <c r="M519">
        <v>1.3412759417710269E-3</v>
      </c>
      <c r="N519">
        <v>0.13063421268079509</v>
      </c>
      <c r="O519">
        <v>0.12583049157864457</v>
      </c>
      <c r="P519">
        <v>1.8136145759250485E-2</v>
      </c>
      <c r="Q519">
        <v>9.2541096459588103E-4</v>
      </c>
      <c r="R519">
        <v>1.3378324649130874E-3</v>
      </c>
      <c r="S519">
        <v>0.10794533879430314</v>
      </c>
      <c r="T519">
        <v>0.9966896138634348</v>
      </c>
      <c r="U519">
        <v>0</v>
      </c>
      <c r="V519">
        <v>0.20644720905378175</v>
      </c>
      <c r="W519">
        <v>8.4865480743202895E-2</v>
      </c>
      <c r="X519">
        <v>2.9951723875229756E-2</v>
      </c>
      <c r="Y519">
        <v>3.6411389531398912E-3</v>
      </c>
    </row>
    <row r="520" spans="1:25" x14ac:dyDescent="0.25">
      <c r="A520" s="1095"/>
      <c r="B520" s="1454">
        <v>270</v>
      </c>
      <c r="C520" s="1099">
        <v>0.99276267425956854</v>
      </c>
      <c r="D520" s="1099">
        <v>0.99172829268192009</v>
      </c>
      <c r="E520" s="1099">
        <v>1.0024619517840483</v>
      </c>
      <c r="F520" s="1099">
        <v>0.99880855600322183</v>
      </c>
      <c r="G520" s="1099">
        <v>1.0016802451336775</v>
      </c>
      <c r="H520" s="1099">
        <v>0.99880873481304344</v>
      </c>
      <c r="I520" s="1099">
        <v>1.0155923724938809</v>
      </c>
      <c r="K520">
        <v>1.7440662025708007</v>
      </c>
      <c r="L520">
        <v>0</v>
      </c>
      <c r="M520">
        <v>1.3823259120039565E-3</v>
      </c>
      <c r="N520">
        <v>0.12810668787906054</v>
      </c>
      <c r="O520">
        <v>0.12816890371251952</v>
      </c>
      <c r="P520">
        <v>1.8458828551512027E-2</v>
      </c>
      <c r="Q520">
        <v>9.1068117812036881E-4</v>
      </c>
      <c r="R520">
        <v>1.3787594098062714E-3</v>
      </c>
      <c r="S520">
        <v>0.11088735833060119</v>
      </c>
      <c r="T520">
        <v>1.029753781023302</v>
      </c>
      <c r="U520">
        <v>0</v>
      </c>
      <c r="V520">
        <v>0.21009150262767354</v>
      </c>
      <c r="W520">
        <v>8.4034451577383679E-2</v>
      </c>
      <c r="X520">
        <v>2.9905045587248921E-2</v>
      </c>
      <c r="Y520">
        <v>3.7525286055753791E-3</v>
      </c>
    </row>
    <row r="521" spans="1:25" x14ac:dyDescent="0.25">
      <c r="A521" s="1095"/>
      <c r="B521" s="1454">
        <v>271</v>
      </c>
      <c r="C521" s="1099">
        <v>1.0170649543340484</v>
      </c>
      <c r="D521" s="1099">
        <v>0.99882969484316075</v>
      </c>
      <c r="E521" s="1099">
        <v>0.96383605181579868</v>
      </c>
      <c r="F521" s="1099">
        <v>0.99701979556612552</v>
      </c>
      <c r="G521" s="1099">
        <v>1.0105408920515795</v>
      </c>
      <c r="H521" s="1099">
        <v>1.0124634688137457</v>
      </c>
      <c r="I521" s="1099">
        <v>0.97062535496503088</v>
      </c>
      <c r="K521">
        <v>1.7218329644000741</v>
      </c>
      <c r="L521">
        <v>0</v>
      </c>
      <c r="M521">
        <v>1.4780625164358442E-3</v>
      </c>
      <c r="N521">
        <v>0.12187822065489935</v>
      </c>
      <c r="O521">
        <v>0.1263076447390161</v>
      </c>
      <c r="P521">
        <v>1.7798768594882421E-2</v>
      </c>
      <c r="Q521">
        <v>8.5128214277727955E-4</v>
      </c>
      <c r="R521">
        <v>1.4743023778193149E-3</v>
      </c>
      <c r="S521">
        <v>0.10396207948131921</v>
      </c>
      <c r="T521">
        <v>1.0290737872555511</v>
      </c>
      <c r="U521">
        <v>0</v>
      </c>
      <c r="V521">
        <v>0.20806987968567781</v>
      </c>
      <c r="W521">
        <v>8.1830662585816047E-2</v>
      </c>
      <c r="X521">
        <v>2.8051834329974646E-2</v>
      </c>
      <c r="Y521">
        <v>4.0125650687759433E-3</v>
      </c>
    </row>
    <row r="522" spans="1:25" x14ac:dyDescent="0.25">
      <c r="A522" s="1095"/>
      <c r="B522" s="1454">
        <v>272</v>
      </c>
      <c r="C522" s="1099">
        <v>1.0198846762360547</v>
      </c>
      <c r="D522" s="1099">
        <v>1.0183434995462268</v>
      </c>
      <c r="E522" s="1099">
        <v>1.0143511811241699</v>
      </c>
      <c r="F522" s="1099">
        <v>0.9989117059355852</v>
      </c>
      <c r="G522" s="1099">
        <v>0.95797459341084235</v>
      </c>
      <c r="H522" s="1099">
        <v>0.98603891406189803</v>
      </c>
      <c r="I522" s="1099">
        <v>1.0013096110227568</v>
      </c>
      <c r="K522">
        <v>1.719550405804726</v>
      </c>
      <c r="L522">
        <v>0</v>
      </c>
      <c r="M522">
        <v>1.2787394814194803E-3</v>
      </c>
      <c r="N522">
        <v>0.12283323915702056</v>
      </c>
      <c r="O522">
        <v>0.12563287940665682</v>
      </c>
      <c r="P522">
        <v>1.8452928946213424E-2</v>
      </c>
      <c r="Q522">
        <v>8.879523895059607E-4</v>
      </c>
      <c r="R522">
        <v>1.275388192911394E-3</v>
      </c>
      <c r="S522">
        <v>0.1039957563709141</v>
      </c>
      <c r="T522">
        <v>1.029510047903839</v>
      </c>
      <c r="U522">
        <v>0</v>
      </c>
      <c r="V522">
        <v>0.20496636132903562</v>
      </c>
      <c r="W522">
        <v>8.0011586665033441E-2</v>
      </c>
      <c r="X522">
        <v>2.9791818695513346E-2</v>
      </c>
      <c r="Y522">
        <v>3.4711862295000151E-3</v>
      </c>
    </row>
    <row r="523" spans="1:25" x14ac:dyDescent="0.25">
      <c r="A523" s="1095"/>
      <c r="B523" s="1454">
        <v>273</v>
      </c>
      <c r="C523" s="1099">
        <v>1.020557706550935</v>
      </c>
      <c r="D523" s="1099">
        <v>1.0066366600252468</v>
      </c>
      <c r="E523" s="1099">
        <v>0.98130108627031332</v>
      </c>
      <c r="F523" s="1099">
        <v>1.0387049306260512</v>
      </c>
      <c r="G523" s="1099">
        <v>1.0244036297375263</v>
      </c>
      <c r="H523" s="1099">
        <v>0.96634946653719278</v>
      </c>
      <c r="I523" s="1099">
        <v>0.99485724352135241</v>
      </c>
      <c r="K523">
        <v>1.7622689493053154</v>
      </c>
      <c r="L523">
        <v>0</v>
      </c>
      <c r="M523">
        <v>1.3548873432077887E-3</v>
      </c>
      <c r="N523">
        <v>0.11777369127954675</v>
      </c>
      <c r="O523">
        <v>0.12895679266578761</v>
      </c>
      <c r="P523">
        <v>1.8625608794040713E-2</v>
      </c>
      <c r="Q523">
        <v>8.6141515985667611E-4</v>
      </c>
      <c r="R523">
        <v>1.3512840706542855E-3</v>
      </c>
      <c r="S523">
        <v>0.10282417366537105</v>
      </c>
      <c r="T523">
        <v>1.071544945654092</v>
      </c>
      <c r="U523">
        <v>0</v>
      </c>
      <c r="V523">
        <v>0.21042290026539465</v>
      </c>
      <c r="W523">
        <v>7.8240414957111773E-2</v>
      </c>
      <c r="X523">
        <v>2.9344860347019778E-2</v>
      </c>
      <c r="Y523">
        <v>3.6777497896467912E-3</v>
      </c>
    </row>
    <row r="524" spans="1:25" x14ac:dyDescent="0.25">
      <c r="A524" s="1095"/>
      <c r="B524" s="1454">
        <v>274</v>
      </c>
      <c r="C524" s="1099">
        <v>0.99225970508535355</v>
      </c>
      <c r="D524" s="1099">
        <v>0.98286191668300993</v>
      </c>
      <c r="E524" s="1099">
        <v>0.997714386035083</v>
      </c>
      <c r="F524" s="1099">
        <v>0.97964701027984014</v>
      </c>
      <c r="G524" s="1099">
        <v>1.0178451363496162</v>
      </c>
      <c r="H524" s="1099">
        <v>1.0037842841992641</v>
      </c>
      <c r="I524" s="1099">
        <v>1.0007433621038511</v>
      </c>
      <c r="K524">
        <v>1.7232052525682053</v>
      </c>
      <c r="L524">
        <v>0</v>
      </c>
      <c r="M524">
        <v>1.4086036598274572E-3</v>
      </c>
      <c r="N524">
        <v>0.12868455134256263</v>
      </c>
      <c r="O524">
        <v>0.12711744302292344</v>
      </c>
      <c r="P524">
        <v>1.8117433331910314E-2</v>
      </c>
      <c r="Q524">
        <v>9.0993191215973609E-4</v>
      </c>
      <c r="R524">
        <v>1.4049870670706142E-3</v>
      </c>
      <c r="S524">
        <v>0.1101483266789884</v>
      </c>
      <c r="T524">
        <v>1.0101368155929185</v>
      </c>
      <c r="U524">
        <v>0</v>
      </c>
      <c r="V524">
        <v>0.21016652278963671</v>
      </c>
      <c r="W524">
        <v>8.4652022999603949E-2</v>
      </c>
      <c r="X524">
        <v>2.9451909847554039E-2</v>
      </c>
      <c r="Y524">
        <v>3.8239116427040273E-3</v>
      </c>
    </row>
    <row r="525" spans="1:25" x14ac:dyDescent="0.25">
      <c r="A525" s="1095"/>
      <c r="B525" s="1454">
        <v>275</v>
      </c>
      <c r="C525" s="1099">
        <v>0.9783955721554034</v>
      </c>
      <c r="D525" s="1099">
        <v>0.9970797474677735</v>
      </c>
      <c r="E525" s="1099">
        <v>0.98568481917611628</v>
      </c>
      <c r="F525" s="1099">
        <v>0.99383896381646042</v>
      </c>
      <c r="G525" s="1099">
        <v>1.0145750827471001</v>
      </c>
      <c r="H525" s="1099">
        <v>0.9946730327763138</v>
      </c>
      <c r="I525" s="1099">
        <v>1.0079693466662649</v>
      </c>
      <c r="K525">
        <v>1.7387530572839358</v>
      </c>
      <c r="L525">
        <v>0</v>
      </c>
      <c r="M525">
        <v>1.4392678099715006E-3</v>
      </c>
      <c r="N525">
        <v>0.12678633646053647</v>
      </c>
      <c r="O525">
        <v>0.12823382824803478</v>
      </c>
      <c r="P525">
        <v>1.8184069423865742E-2</v>
      </c>
      <c r="Q525">
        <v>9.0611665774425175E-4</v>
      </c>
      <c r="R525">
        <v>1.4355289565753124E-3</v>
      </c>
      <c r="S525">
        <v>0.11085346620699361</v>
      </c>
      <c r="T525">
        <v>1.0251288252254327</v>
      </c>
      <c r="U525">
        <v>0</v>
      </c>
      <c r="V525">
        <v>0.21149134449846596</v>
      </c>
      <c r="W525">
        <v>8.4005729967427847E-2</v>
      </c>
      <c r="X525">
        <v>2.9260042851023651E-2</v>
      </c>
      <c r="Y525">
        <v>3.9070365978046478E-3</v>
      </c>
    </row>
    <row r="526" spans="1:25" x14ac:dyDescent="0.25">
      <c r="A526" s="1095"/>
      <c r="B526" s="1454">
        <v>276</v>
      </c>
      <c r="C526" s="1099">
        <v>0.97941851566619742</v>
      </c>
      <c r="D526" s="1099">
        <v>1.0344515474991991</v>
      </c>
      <c r="E526" s="1099">
        <v>1.0366025409824109</v>
      </c>
      <c r="F526" s="1099">
        <v>1.0135448927117874</v>
      </c>
      <c r="G526" s="1099">
        <v>0.99824606421111861</v>
      </c>
      <c r="H526" s="1099">
        <v>0.96912795783613481</v>
      </c>
      <c r="I526" s="1099">
        <v>0.98217845910536405</v>
      </c>
      <c r="K526">
        <v>1.7497795202866864</v>
      </c>
      <c r="L526">
        <v>0</v>
      </c>
      <c r="M526">
        <v>1.2354517902599959E-3</v>
      </c>
      <c r="N526">
        <v>0.12690399896424398</v>
      </c>
      <c r="O526">
        <v>0.12818710463403371</v>
      </c>
      <c r="P526">
        <v>1.903618553395172E-2</v>
      </c>
      <c r="Q526">
        <v>9.4000656717940399E-4</v>
      </c>
      <c r="R526">
        <v>1.2321408985082772E-3</v>
      </c>
      <c r="S526">
        <v>0.10393597958491357</v>
      </c>
      <c r="T526">
        <v>1.0439380772253068</v>
      </c>
      <c r="U526">
        <v>0</v>
      </c>
      <c r="V526">
        <v>0.21067819321522238</v>
      </c>
      <c r="W526">
        <v>8.1598604695085161E-2</v>
      </c>
      <c r="X526">
        <v>3.121119940790076E-2</v>
      </c>
      <c r="Y526">
        <v>3.3534813506015003E-3</v>
      </c>
    </row>
    <row r="527" spans="1:25" x14ac:dyDescent="0.25">
      <c r="A527" s="1095"/>
      <c r="B527" s="1454">
        <v>277</v>
      </c>
      <c r="C527" s="1099">
        <v>1.0127713854327869</v>
      </c>
      <c r="D527" s="1099">
        <v>1.0167103219594664</v>
      </c>
      <c r="E527" s="1099">
        <v>0.98078649154426756</v>
      </c>
      <c r="F527" s="1099">
        <v>0.99628886454598586</v>
      </c>
      <c r="G527" s="1099">
        <v>0.98233428721742422</v>
      </c>
      <c r="H527" s="1099">
        <v>0.99475946434446705</v>
      </c>
      <c r="I527" s="1099">
        <v>1.0190820259410454</v>
      </c>
      <c r="K527">
        <v>1.7197820621567639</v>
      </c>
      <c r="L527">
        <v>0</v>
      </c>
      <c r="M527">
        <v>1.3929776458835609E-3</v>
      </c>
      <c r="N527">
        <v>0.12090365297502387</v>
      </c>
      <c r="O527">
        <v>0.12573631361765653</v>
      </c>
      <c r="P527">
        <v>1.8036845533227663E-2</v>
      </c>
      <c r="Q527">
        <v>8.6412145780495066E-4</v>
      </c>
      <c r="R527">
        <v>1.3893572533622985E-3</v>
      </c>
      <c r="S527">
        <v>0.1071870459025361</v>
      </c>
      <c r="T527">
        <v>1.0278033707249701</v>
      </c>
      <c r="U527">
        <v>0</v>
      </c>
      <c r="V527">
        <v>0.20654527458191707</v>
      </c>
      <c r="W527">
        <v>8.0344678119715435E-2</v>
      </c>
      <c r="X527">
        <v>2.8583007194274743E-2</v>
      </c>
      <c r="Y527">
        <v>3.7813724421566965E-3</v>
      </c>
    </row>
    <row r="528" spans="1:25" x14ac:dyDescent="0.25">
      <c r="A528" s="1095"/>
      <c r="B528" s="1454">
        <v>278</v>
      </c>
      <c r="C528" s="1099">
        <v>1.0183290122343638</v>
      </c>
      <c r="D528" s="1099">
        <v>1.0118977388366264</v>
      </c>
      <c r="E528" s="1099">
        <v>0.96402184972569616</v>
      </c>
      <c r="F528" s="1099">
        <v>1.0073802103634406</v>
      </c>
      <c r="G528" s="1099">
        <v>1.0171339042428982</v>
      </c>
      <c r="H528" s="1099">
        <v>0.99162427058052294</v>
      </c>
      <c r="I528" s="1099">
        <v>1.0203209465137566</v>
      </c>
      <c r="K528">
        <v>1.7303469400739495</v>
      </c>
      <c r="L528">
        <v>0</v>
      </c>
      <c r="M528">
        <v>1.4356401894148141E-3</v>
      </c>
      <c r="N528">
        <v>0.1184399913213572</v>
      </c>
      <c r="O528">
        <v>0.12643356247184845</v>
      </c>
      <c r="P528">
        <v>1.7986980658003537E-2</v>
      </c>
      <c r="Q528">
        <v>8.4598237704077458E-4</v>
      </c>
      <c r="R528">
        <v>1.4319056251522434E-3</v>
      </c>
      <c r="S528">
        <v>0.1068933160339445</v>
      </c>
      <c r="T528">
        <v>1.0397615214680809</v>
      </c>
      <c r="U528">
        <v>0</v>
      </c>
      <c r="V528">
        <v>0.20843821847597002</v>
      </c>
      <c r="W528">
        <v>7.9513153996641814E-2</v>
      </c>
      <c r="X528">
        <v>2.8140772751220018E-2</v>
      </c>
      <c r="Y528">
        <v>3.8971750841019356E-3</v>
      </c>
    </row>
    <row r="529" spans="1:25" x14ac:dyDescent="0.25">
      <c r="A529" s="1095"/>
      <c r="B529" s="1454">
        <v>279</v>
      </c>
      <c r="C529" s="1099">
        <v>0.99888210148516976</v>
      </c>
      <c r="D529" s="1099">
        <v>0.99817888858774317</v>
      </c>
      <c r="E529" s="1099">
        <v>1.00565015666146</v>
      </c>
      <c r="F529" s="1099">
        <v>0.99285784862642312</v>
      </c>
      <c r="G529" s="1099">
        <v>0.99970970769624701</v>
      </c>
      <c r="H529" s="1099">
        <v>1.0297338936816149</v>
      </c>
      <c r="I529" s="1099">
        <v>1.0064575968446252</v>
      </c>
      <c r="K529">
        <v>1.7405719021365118</v>
      </c>
      <c r="L529">
        <v>0</v>
      </c>
      <c r="M529">
        <v>1.4016944833423004E-3</v>
      </c>
      <c r="N529">
        <v>0.13116836689250347</v>
      </c>
      <c r="O529">
        <v>0.12711498789650483</v>
      </c>
      <c r="P529">
        <v>1.8403116204348102E-2</v>
      </c>
      <c r="Q529">
        <v>9.0574048893711837E-4</v>
      </c>
      <c r="R529">
        <v>1.3981823297072097E-3</v>
      </c>
      <c r="S529">
        <v>0.1109639656457031</v>
      </c>
      <c r="T529">
        <v>1.0235249912142812</v>
      </c>
      <c r="U529">
        <v>0</v>
      </c>
      <c r="V529">
        <v>0.20897922633848243</v>
      </c>
      <c r="W529">
        <v>8.588046082460192E-2</v>
      </c>
      <c r="X529">
        <v>2.982916739400435E-2</v>
      </c>
      <c r="Y529">
        <v>3.8053913907819086E-3</v>
      </c>
    </row>
    <row r="530" spans="1:25" x14ac:dyDescent="0.25">
      <c r="A530" s="1095"/>
      <c r="B530" s="1454">
        <v>280</v>
      </c>
      <c r="C530" s="1099">
        <v>1.0016473182848242</v>
      </c>
      <c r="D530" s="1099">
        <v>1.0121059130536694</v>
      </c>
      <c r="E530" s="1099">
        <v>0.9884085559691882</v>
      </c>
      <c r="F530" s="1099">
        <v>1.0100258310233705</v>
      </c>
      <c r="G530" s="1099">
        <v>0.97905729293084165</v>
      </c>
      <c r="H530" s="1099">
        <v>1.0084903609751814</v>
      </c>
      <c r="I530" s="1099">
        <v>0.99453296206349939</v>
      </c>
      <c r="K530">
        <v>1.7449001636998367</v>
      </c>
      <c r="L530">
        <v>0</v>
      </c>
      <c r="M530">
        <v>1.4096805003038409E-3</v>
      </c>
      <c r="N530">
        <v>0.12521168068120012</v>
      </c>
      <c r="O530">
        <v>0.12756869722195541</v>
      </c>
      <c r="P530">
        <v>1.8349711757484847E-2</v>
      </c>
      <c r="Q530">
        <v>8.8230813206323084E-4</v>
      </c>
      <c r="R530">
        <v>1.4060706356069975E-3</v>
      </c>
      <c r="S530">
        <v>0.10704150253528387</v>
      </c>
      <c r="T530">
        <v>1.0417424744807142</v>
      </c>
      <c r="U530">
        <v>0</v>
      </c>
      <c r="V530">
        <v>0.20817718183690592</v>
      </c>
      <c r="W530">
        <v>8.2826824743360172E-2</v>
      </c>
      <c r="X530">
        <v>2.9276531416504187E-2</v>
      </c>
      <c r="Y530">
        <v>3.8268607590617922E-3</v>
      </c>
    </row>
    <row r="531" spans="1:25" x14ac:dyDescent="0.25">
      <c r="A531" s="1095"/>
      <c r="B531" s="1454">
        <v>281</v>
      </c>
      <c r="C531" s="1099">
        <v>1.0132617648646638</v>
      </c>
      <c r="D531" s="1099">
        <v>0.99639434009130257</v>
      </c>
      <c r="E531" s="1099">
        <v>0.99685455580829241</v>
      </c>
      <c r="F531" s="1099">
        <v>0.99267580967169067</v>
      </c>
      <c r="G531" s="1099">
        <v>0.99235203360986413</v>
      </c>
      <c r="H531" s="1099">
        <v>1.0145016889924292</v>
      </c>
      <c r="I531" s="1099">
        <v>0.98671271819583906</v>
      </c>
      <c r="K531">
        <v>1.7259642795293166</v>
      </c>
      <c r="L531">
        <v>0</v>
      </c>
      <c r="M531">
        <v>1.3895339907244932E-3</v>
      </c>
      <c r="N531">
        <v>0.1266165863723018</v>
      </c>
      <c r="O531">
        <v>0.1264171117424617</v>
      </c>
      <c r="P531">
        <v>1.8200715400946942E-2</v>
      </c>
      <c r="Q531">
        <v>8.8542009691664793E-4</v>
      </c>
      <c r="R531">
        <v>1.3860053936450495E-3</v>
      </c>
      <c r="S531">
        <v>0.10639035557886709</v>
      </c>
      <c r="T531">
        <v>1.0235965555615669</v>
      </c>
      <c r="U531">
        <v>0</v>
      </c>
      <c r="V531">
        <v>0.20744485365106166</v>
      </c>
      <c r="W531">
        <v>8.3334329547309308E-2</v>
      </c>
      <c r="X531">
        <v>2.9309630390017175E-2</v>
      </c>
      <c r="Y531">
        <v>3.7722497849466035E-3</v>
      </c>
    </row>
    <row r="532" spans="1:25" x14ac:dyDescent="0.25">
      <c r="A532" s="1095"/>
      <c r="B532" s="1454">
        <v>282</v>
      </c>
      <c r="C532" s="1099">
        <v>0.9721528336919284</v>
      </c>
      <c r="D532" s="1099">
        <v>0.9990817836552367</v>
      </c>
      <c r="E532" s="1099">
        <v>1.0013561352179947</v>
      </c>
      <c r="F532" s="1099">
        <v>1.0068074133763361</v>
      </c>
      <c r="G532" s="1099">
        <v>0.97016710429983133</v>
      </c>
      <c r="H532" s="1099">
        <v>0.99118340905758395</v>
      </c>
      <c r="I532" s="1099">
        <v>1.023509590063286</v>
      </c>
      <c r="K532">
        <v>1.7582086167897955</v>
      </c>
      <c r="L532">
        <v>0</v>
      </c>
      <c r="M532">
        <v>1.3965045934161134E-3</v>
      </c>
      <c r="N532">
        <v>0.12898570089867686</v>
      </c>
      <c r="O532">
        <v>0.12953267644987856</v>
      </c>
      <c r="P532">
        <v>1.8591420810893315E-2</v>
      </c>
      <c r="Q532">
        <v>9.2618234932860695E-4</v>
      </c>
      <c r="R532">
        <v>1.3928648854817272E-3</v>
      </c>
      <c r="S532">
        <v>0.11296152721718733</v>
      </c>
      <c r="T532">
        <v>1.0380334931773889</v>
      </c>
      <c r="U532">
        <v>0</v>
      </c>
      <c r="V532">
        <v>0.21056071103159021</v>
      </c>
      <c r="W532">
        <v>8.4666603851855593E-2</v>
      </c>
      <c r="X532">
        <v>3.0163021650434222E-2</v>
      </c>
      <c r="Y532">
        <v>3.7909190604951629E-3</v>
      </c>
    </row>
    <row r="533" spans="1:25" x14ac:dyDescent="0.25">
      <c r="A533" s="1095"/>
      <c r="B533" s="1454">
        <v>283</v>
      </c>
      <c r="C533" s="1099">
        <v>0.98404268087539981</v>
      </c>
      <c r="D533" s="1099">
        <v>1.0106342710708727</v>
      </c>
      <c r="E533" s="1099">
        <v>1.0238225547423621</v>
      </c>
      <c r="F533" s="1099">
        <v>0.97814469215623701</v>
      </c>
      <c r="G533" s="1099">
        <v>0.98926139931030732</v>
      </c>
      <c r="H533" s="1099">
        <v>0.98419882995801866</v>
      </c>
      <c r="I533" s="1099">
        <v>1.0211615940612999</v>
      </c>
      <c r="K533">
        <v>1.7170479923150244</v>
      </c>
      <c r="L533">
        <v>0</v>
      </c>
      <c r="M533">
        <v>1.2966623680366227E-3</v>
      </c>
      <c r="N533">
        <v>0.1281636187361323</v>
      </c>
      <c r="O533">
        <v>0.12626590643622329</v>
      </c>
      <c r="P533">
        <v>1.8415058965553534E-2</v>
      </c>
      <c r="Q533">
        <v>9.3211318050300592E-4</v>
      </c>
      <c r="R533">
        <v>1.293246416372769E-3</v>
      </c>
      <c r="S533">
        <v>0.10998460326945601</v>
      </c>
      <c r="T533">
        <v>1.0078367509554025</v>
      </c>
      <c r="U533">
        <v>0</v>
      </c>
      <c r="V533">
        <v>0.20865110979711018</v>
      </c>
      <c r="W533">
        <v>8.3022052692564435E-2</v>
      </c>
      <c r="X533">
        <v>3.0260403806941359E-2</v>
      </c>
      <c r="Y533">
        <v>3.5197904268000966E-3</v>
      </c>
    </row>
    <row r="534" spans="1:25" x14ac:dyDescent="0.25">
      <c r="A534" s="1095"/>
      <c r="B534" s="1454">
        <v>284</v>
      </c>
      <c r="C534" s="1099">
        <v>0.99863546532007552</v>
      </c>
      <c r="D534" s="1099">
        <v>1.0375010648513567</v>
      </c>
      <c r="E534" s="1099">
        <v>0.99504859617530272</v>
      </c>
      <c r="F534" s="1099">
        <v>0.99721126403244731</v>
      </c>
      <c r="G534" s="1099">
        <v>0.98543082691389727</v>
      </c>
      <c r="H534" s="1099">
        <v>1.0203210883639495</v>
      </c>
      <c r="I534" s="1099">
        <v>1.0052652996381515</v>
      </c>
      <c r="K534">
        <v>1.7297569419220935</v>
      </c>
      <c r="L534">
        <v>0</v>
      </c>
      <c r="M534">
        <v>1.3886721527305564E-3</v>
      </c>
      <c r="N534">
        <v>0.1258484371431495</v>
      </c>
      <c r="O534">
        <v>0.12565964102302332</v>
      </c>
      <c r="P534">
        <v>1.8255781309013459E-2</v>
      </c>
      <c r="Q534">
        <v>8.8232012112401741E-4</v>
      </c>
      <c r="R534">
        <v>1.3851360920279811E-3</v>
      </c>
      <c r="S534">
        <v>0.1076073301765068</v>
      </c>
      <c r="T534">
        <v>1.0283270372996285</v>
      </c>
      <c r="U534">
        <v>0</v>
      </c>
      <c r="V534">
        <v>0.2073588779209761</v>
      </c>
      <c r="W534">
        <v>8.2918000428830144E-2</v>
      </c>
      <c r="X534">
        <v>2.9133168728033763E-2</v>
      </c>
      <c r="Y534">
        <v>3.7698838325101441E-3</v>
      </c>
    </row>
    <row r="535" spans="1:25" x14ac:dyDescent="0.25">
      <c r="A535" s="1095"/>
      <c r="B535" s="1454">
        <v>285</v>
      </c>
      <c r="C535" s="1099">
        <v>1.0272324475123877</v>
      </c>
      <c r="D535" s="1099">
        <v>0.97240569370877739</v>
      </c>
      <c r="E535" s="1099">
        <v>0.98052233568950209</v>
      </c>
      <c r="F535" s="1099">
        <v>1.0036162088086935</v>
      </c>
      <c r="G535" s="1099">
        <v>0.98384660452572725</v>
      </c>
      <c r="H535" s="1099">
        <v>1.0019599991022883</v>
      </c>
      <c r="I535" s="1099">
        <v>0.98037794728826722</v>
      </c>
      <c r="K535">
        <v>1.7325114910927044</v>
      </c>
      <c r="L535">
        <v>0</v>
      </c>
      <c r="M535">
        <v>1.4235069491262437E-3</v>
      </c>
      <c r="N535">
        <v>0.12346031939112952</v>
      </c>
      <c r="O535">
        <v>0.12758804997393297</v>
      </c>
      <c r="P535">
        <v>1.8115175035811178E-2</v>
      </c>
      <c r="Q535">
        <v>8.6703613858809874E-4</v>
      </c>
      <c r="R535">
        <v>1.4198713541698192E-3</v>
      </c>
      <c r="S535">
        <v>0.10511710210218671</v>
      </c>
      <c r="T535">
        <v>1.0353705267754221</v>
      </c>
      <c r="U535">
        <v>0</v>
      </c>
      <c r="V535">
        <v>0.20714595863291282</v>
      </c>
      <c r="W535">
        <v>8.2056752290595864E-2</v>
      </c>
      <c r="X535">
        <v>2.8929784581495005E-2</v>
      </c>
      <c r="Y535">
        <v>3.8644217655841397E-3</v>
      </c>
    </row>
    <row r="536" spans="1:25" x14ac:dyDescent="0.25">
      <c r="A536" s="1095"/>
      <c r="B536" s="1454">
        <v>286</v>
      </c>
      <c r="C536" s="1099">
        <v>1.0121061797373232</v>
      </c>
      <c r="D536" s="1099">
        <v>0.99442004227354752</v>
      </c>
      <c r="E536" s="1099">
        <v>0.97687047836813568</v>
      </c>
      <c r="F536" s="1099">
        <v>1.0280278968706869</v>
      </c>
      <c r="G536" s="1099">
        <v>1.0150433641784919</v>
      </c>
      <c r="H536" s="1099">
        <v>1.009043981101023</v>
      </c>
      <c r="I536" s="1099">
        <v>1.02193582790628</v>
      </c>
      <c r="K536">
        <v>1.769995972420132</v>
      </c>
      <c r="L536">
        <v>0</v>
      </c>
      <c r="M536">
        <v>1.4479598139503448E-3</v>
      </c>
      <c r="N536">
        <v>0.12420217774997327</v>
      </c>
      <c r="O536">
        <v>0.12914859969639644</v>
      </c>
      <c r="P536">
        <v>1.8517291842040557E-2</v>
      </c>
      <c r="Q536">
        <v>8.6881582782913239E-4</v>
      </c>
      <c r="R536">
        <v>1.4442750643518746E-3</v>
      </c>
      <c r="S536">
        <v>0.11023514339914779</v>
      </c>
      <c r="T536">
        <v>1.0606685868256043</v>
      </c>
      <c r="U536">
        <v>0</v>
      </c>
      <c r="V536">
        <v>0.21047495251733783</v>
      </c>
      <c r="W536">
        <v>8.2732239782010802E-2</v>
      </c>
      <c r="X536">
        <v>2.9221008909370315E-2</v>
      </c>
      <c r="Y536">
        <v>3.9308406200187955E-3</v>
      </c>
    </row>
    <row r="537" spans="1:25" x14ac:dyDescent="0.25">
      <c r="A537" s="1095"/>
      <c r="B537" s="1454">
        <v>287</v>
      </c>
      <c r="C537" s="1099">
        <v>0.96424051214128903</v>
      </c>
      <c r="D537" s="1099">
        <v>0.99945420832389431</v>
      </c>
      <c r="E537" s="1099">
        <v>1.0167242617908427</v>
      </c>
      <c r="F537" s="1099">
        <v>0.99947094366971967</v>
      </c>
      <c r="G537" s="1099">
        <v>0.97000411584506407</v>
      </c>
      <c r="H537" s="1099">
        <v>0.99767800372925453</v>
      </c>
      <c r="I537" s="1099">
        <v>0.98762893738958279</v>
      </c>
      <c r="K537">
        <v>1.7535367196094016</v>
      </c>
      <c r="L537">
        <v>0</v>
      </c>
      <c r="M537">
        <v>1.3705234999375801E-3</v>
      </c>
      <c r="N537">
        <v>0.13259971136275817</v>
      </c>
      <c r="O537">
        <v>0.12944389907365195</v>
      </c>
      <c r="P537">
        <v>1.8660926281793853E-2</v>
      </c>
      <c r="Q537">
        <v>9.4856629213993396E-4</v>
      </c>
      <c r="R537">
        <v>1.3669697476651982E-3</v>
      </c>
      <c r="S537">
        <v>0.11026656907021265</v>
      </c>
      <c r="T537">
        <v>1.0300170030864844</v>
      </c>
      <c r="U537">
        <v>0</v>
      </c>
      <c r="V537">
        <v>0.21090924879774398</v>
      </c>
      <c r="W537">
        <v>8.6253052086581697E-2</v>
      </c>
      <c r="X537">
        <v>3.0720856278616988E-2</v>
      </c>
      <c r="Y537">
        <v>3.7204410316884593E-3</v>
      </c>
    </row>
    <row r="538" spans="1:25" x14ac:dyDescent="0.25">
      <c r="A538" s="1095"/>
      <c r="B538" s="1454">
        <v>288</v>
      </c>
      <c r="C538" s="1099">
        <v>0.99303130474251589</v>
      </c>
      <c r="D538" s="1099">
        <v>1.0013046519106439</v>
      </c>
      <c r="E538" s="1099">
        <v>0.99394217627035686</v>
      </c>
      <c r="F538" s="1099">
        <v>0.97455747826911476</v>
      </c>
      <c r="G538" s="1099">
        <v>1.0057807426450929</v>
      </c>
      <c r="H538" s="1099">
        <v>0.9933907056453728</v>
      </c>
      <c r="I538" s="1099">
        <v>1.01237544805996</v>
      </c>
      <c r="K538">
        <v>1.7084929577500862</v>
      </c>
      <c r="L538">
        <v>0</v>
      </c>
      <c r="M538">
        <v>1.3881093228371489E-3</v>
      </c>
      <c r="N538">
        <v>0.12537016275162483</v>
      </c>
      <c r="O538">
        <v>0.12582686892678815</v>
      </c>
      <c r="P538">
        <v>1.796489390191534E-2</v>
      </c>
      <c r="Q538">
        <v>8.989581924692384E-4</v>
      </c>
      <c r="R538">
        <v>1.3844941542113551E-3</v>
      </c>
      <c r="S538">
        <v>0.10930168826954374</v>
      </c>
      <c r="T538">
        <v>1.0049986206557047</v>
      </c>
      <c r="U538">
        <v>0</v>
      </c>
      <c r="V538">
        <v>0.20868136086665032</v>
      </c>
      <c r="W538">
        <v>8.2657452867490336E-2</v>
      </c>
      <c r="X538">
        <v>2.9028429797136233E-2</v>
      </c>
      <c r="Y538">
        <v>3.7681366893880324E-3</v>
      </c>
    </row>
    <row r="539" spans="1:25" x14ac:dyDescent="0.25">
      <c r="A539" s="1095"/>
      <c r="B539" s="1454">
        <v>289</v>
      </c>
      <c r="C539" s="1099">
        <v>1.0138526959219474</v>
      </c>
      <c r="D539" s="1099">
        <v>0.99409401486332682</v>
      </c>
      <c r="E539" s="1099">
        <v>1.0288710299536059</v>
      </c>
      <c r="F539" s="1099">
        <v>0.99703008941387961</v>
      </c>
      <c r="G539" s="1099">
        <v>1.0028135828555698</v>
      </c>
      <c r="H539" s="1099">
        <v>0.9930685442900572</v>
      </c>
      <c r="I539" s="1099">
        <v>0.98015817856411591</v>
      </c>
      <c r="K539">
        <v>1.7309144831587151</v>
      </c>
      <c r="L539">
        <v>0</v>
      </c>
      <c r="M539">
        <v>1.274143488269134E-3</v>
      </c>
      <c r="N539">
        <v>0.12787509399758987</v>
      </c>
      <c r="O539">
        <v>0.12694699040700563</v>
      </c>
      <c r="P539">
        <v>1.8669102911438522E-2</v>
      </c>
      <c r="Q539">
        <v>9.15410731112193E-4</v>
      </c>
      <c r="R539">
        <v>1.2708409248623695E-3</v>
      </c>
      <c r="S539">
        <v>0.1044020063544875</v>
      </c>
      <c r="T539">
        <v>1.0271497242411354</v>
      </c>
      <c r="U539">
        <v>0</v>
      </c>
      <c r="V539">
        <v>0.2082870922037344</v>
      </c>
      <c r="W539">
        <v>8.259206189647704E-2</v>
      </c>
      <c r="X539">
        <v>3.0621492914262981E-2</v>
      </c>
      <c r="Y539">
        <v>3.4588100648770804E-3</v>
      </c>
    </row>
    <row r="540" spans="1:25" x14ac:dyDescent="0.25">
      <c r="A540" s="1095"/>
      <c r="B540" s="1454">
        <v>290</v>
      </c>
      <c r="C540" s="1099">
        <v>0.98176177688347921</v>
      </c>
      <c r="D540" s="1099">
        <v>0.98687415587793836</v>
      </c>
      <c r="E540" s="1099">
        <v>0.97601500076293313</v>
      </c>
      <c r="F540" s="1099">
        <v>0.99423871025719623</v>
      </c>
      <c r="G540" s="1099">
        <v>0.98827382603839542</v>
      </c>
      <c r="H540" s="1099">
        <v>1.0217316634067672</v>
      </c>
      <c r="I540" s="1099">
        <v>1.0390749569846638</v>
      </c>
      <c r="K540">
        <v>1.7489767045892231</v>
      </c>
      <c r="L540">
        <v>0</v>
      </c>
      <c r="M540">
        <v>1.5127015747292709E-3</v>
      </c>
      <c r="N540">
        <v>0.12942283511250574</v>
      </c>
      <c r="O540">
        <v>0.12851964913472977</v>
      </c>
      <c r="P540">
        <v>1.8120965193884394E-2</v>
      </c>
      <c r="Q540">
        <v>8.9759584682646805E-4</v>
      </c>
      <c r="R540">
        <v>1.5088846026811299E-3</v>
      </c>
      <c r="S540">
        <v>0.11662504860334025</v>
      </c>
      <c r="T540">
        <v>1.0258324496021098</v>
      </c>
      <c r="U540">
        <v>0</v>
      </c>
      <c r="V540">
        <v>0.21022917638790869</v>
      </c>
      <c r="W540">
        <v>8.6254438442212381E-2</v>
      </c>
      <c r="X540">
        <v>2.8971676752931878E-2</v>
      </c>
      <c r="Y540">
        <v>4.1066864848224418E-3</v>
      </c>
    </row>
    <row r="541" spans="1:25" x14ac:dyDescent="0.25">
      <c r="A541" s="1095"/>
      <c r="B541" s="1454">
        <v>291</v>
      </c>
      <c r="C541" s="1099">
        <v>0.98945607070143016</v>
      </c>
      <c r="D541" s="1099">
        <v>0.96556650471477956</v>
      </c>
      <c r="E541" s="1099">
        <v>0.99532505229272183</v>
      </c>
      <c r="F541" s="1099">
        <v>0.97879506928892934</v>
      </c>
      <c r="G541" s="1099">
        <v>0.99806013763165413</v>
      </c>
      <c r="H541" s="1099">
        <v>1.0075097679138625</v>
      </c>
      <c r="I541" s="1099">
        <v>1.0107405687644406</v>
      </c>
      <c r="K541">
        <v>1.7293030071152491</v>
      </c>
      <c r="L541">
        <v>0</v>
      </c>
      <c r="M541">
        <v>1.4392981391922752E-3</v>
      </c>
      <c r="N541">
        <v>0.1305449146507589</v>
      </c>
      <c r="O541">
        <v>0.1279975796196933</v>
      </c>
      <c r="P541">
        <v>1.8110149108629965E-2</v>
      </c>
      <c r="Q541">
        <v>9.1673538966346362E-4</v>
      </c>
      <c r="R541">
        <v>1.4356273126608303E-3</v>
      </c>
      <c r="S541">
        <v>0.11303297322037216</v>
      </c>
      <c r="T541">
        <v>1.0093281231939735</v>
      </c>
      <c r="U541">
        <v>0</v>
      </c>
      <c r="V541">
        <v>0.20993415726950629</v>
      </c>
      <c r="W541">
        <v>8.5998192156999706E-2</v>
      </c>
      <c r="X541">
        <v>2.9536549041535146E-2</v>
      </c>
      <c r="Y541">
        <v>3.9073042906463519E-3</v>
      </c>
    </row>
    <row r="542" spans="1:25" x14ac:dyDescent="0.25">
      <c r="A542" s="1095"/>
      <c r="B542" s="1454">
        <v>292</v>
      </c>
      <c r="C542" s="1099">
        <v>0.97305098580683413</v>
      </c>
      <c r="D542" s="1099">
        <v>1.0058733453411612</v>
      </c>
      <c r="E542" s="1099">
        <v>1.0404081941092047</v>
      </c>
      <c r="F542" s="1099">
        <v>0.97577215855848309</v>
      </c>
      <c r="G542" s="1099">
        <v>0.9749128560411352</v>
      </c>
      <c r="H542" s="1099">
        <v>0.96561393918189109</v>
      </c>
      <c r="I542" s="1099">
        <v>0.9949758130716776</v>
      </c>
      <c r="K542">
        <v>1.7143816249032877</v>
      </c>
      <c r="L542">
        <v>0</v>
      </c>
      <c r="M542">
        <v>1.2448112628461305E-3</v>
      </c>
      <c r="N542">
        <v>0.12933905978183605</v>
      </c>
      <c r="O542">
        <v>0.12694243850027351</v>
      </c>
      <c r="P542">
        <v>1.8564145390566323E-2</v>
      </c>
      <c r="Q542">
        <v>9.6052646491273522E-4</v>
      </c>
      <c r="R542">
        <v>1.2414678031694296E-3</v>
      </c>
      <c r="S542">
        <v>0.10731961610366354</v>
      </c>
      <c r="T542">
        <v>1.0049264916844129</v>
      </c>
      <c r="U542">
        <v>0</v>
      </c>
      <c r="V542">
        <v>0.20898238210003905</v>
      </c>
      <c r="W542">
        <v>8.2982039526191445E-2</v>
      </c>
      <c r="X542">
        <v>3.0989402700592479E-2</v>
      </c>
      <c r="Y542">
        <v>3.3788661104758614E-3</v>
      </c>
    </row>
    <row r="543" spans="1:25" x14ac:dyDescent="0.25">
      <c r="A543" s="1095"/>
      <c r="B543" s="1454">
        <v>293</v>
      </c>
      <c r="C543" s="1099">
        <v>0.98977440868328959</v>
      </c>
      <c r="D543" s="1099">
        <v>0.97351106175846902</v>
      </c>
      <c r="E543" s="1099">
        <v>0.99704079321029082</v>
      </c>
      <c r="F543" s="1099">
        <v>1.0166315588252015</v>
      </c>
      <c r="G543" s="1099">
        <v>0.99110002247671003</v>
      </c>
      <c r="H543" s="1099">
        <v>1.0213116981984594</v>
      </c>
      <c r="I543" s="1099">
        <v>1.0126117554043648</v>
      </c>
      <c r="K543">
        <v>1.7772562521396655</v>
      </c>
      <c r="L543">
        <v>0</v>
      </c>
      <c r="M543">
        <v>1.4513928253384711E-3</v>
      </c>
      <c r="N543">
        <v>0.13233146564104459</v>
      </c>
      <c r="O543">
        <v>0.13053364903788853</v>
      </c>
      <c r="P543">
        <v>1.8694359808426167E-2</v>
      </c>
      <c r="Q543">
        <v>9.1507133119861871E-4</v>
      </c>
      <c r="R543">
        <v>1.4477481742796474E-3</v>
      </c>
      <c r="S543">
        <v>0.11389320012301203</v>
      </c>
      <c r="T543">
        <v>1.048292854071786</v>
      </c>
      <c r="U543">
        <v>0</v>
      </c>
      <c r="V543">
        <v>0.21132668367414364</v>
      </c>
      <c r="W543">
        <v>8.708598731467862E-2</v>
      </c>
      <c r="X543">
        <v>3.0246332508213729E-2</v>
      </c>
      <c r="Y543">
        <v>3.9402932803318125E-3</v>
      </c>
    </row>
    <row r="544" spans="1:25" x14ac:dyDescent="0.25">
      <c r="A544" s="1095"/>
      <c r="B544" s="1454">
        <v>294</v>
      </c>
      <c r="C544" s="1099">
        <v>1.0142170401660418</v>
      </c>
      <c r="D544" s="1099">
        <v>1.0145530543976886</v>
      </c>
      <c r="E544" s="1099">
        <v>0.98787898399404928</v>
      </c>
      <c r="F544" s="1099">
        <v>0.96914834751173717</v>
      </c>
      <c r="G544" s="1099">
        <v>1.0140410036703489</v>
      </c>
      <c r="H544" s="1099">
        <v>1.0199518248068122</v>
      </c>
      <c r="I544" s="1099">
        <v>0.97897762861769944</v>
      </c>
      <c r="K544">
        <v>1.692129314350709</v>
      </c>
      <c r="L544">
        <v>0</v>
      </c>
      <c r="M544">
        <v>1.4040366472979648E-3</v>
      </c>
      <c r="N544">
        <v>0.12451348496310709</v>
      </c>
      <c r="O544">
        <v>0.12373247777377011</v>
      </c>
      <c r="P544">
        <v>1.771745881035517E-2</v>
      </c>
      <c r="Q544">
        <v>8.7005102527245052E-4</v>
      </c>
      <c r="R544">
        <v>1.4004710563440186E-3</v>
      </c>
      <c r="S544">
        <v>0.10450097758799383</v>
      </c>
      <c r="T544">
        <v>0.99959680209364621</v>
      </c>
      <c r="U544">
        <v>0</v>
      </c>
      <c r="V544">
        <v>0.20662785999333069</v>
      </c>
      <c r="W544">
        <v>8.2391144696642687E-2</v>
      </c>
      <c r="X544">
        <v>2.8371002447334467E-2</v>
      </c>
      <c r="Y544">
        <v>3.8116205502087713E-3</v>
      </c>
    </row>
    <row r="545" spans="1:25" x14ac:dyDescent="0.25">
      <c r="A545" s="1095"/>
      <c r="B545" s="1454">
        <v>295</v>
      </c>
      <c r="C545" s="1099">
        <v>0.99116166247609727</v>
      </c>
      <c r="D545" s="1099">
        <v>0.99301666976203928</v>
      </c>
      <c r="E545" s="1099">
        <v>1.0093502735781583</v>
      </c>
      <c r="F545" s="1099">
        <v>1.0312371635516659</v>
      </c>
      <c r="G545" s="1099">
        <v>1.0049734981014347</v>
      </c>
      <c r="H545" s="1099">
        <v>1.0056868810017174</v>
      </c>
      <c r="I545" s="1099">
        <v>1.0103397985310707</v>
      </c>
      <c r="K545">
        <v>1.786720333684829</v>
      </c>
      <c r="L545">
        <v>0</v>
      </c>
      <c r="M545">
        <v>1.3768915047168236E-3</v>
      </c>
      <c r="N545">
        <v>0.13028837463127732</v>
      </c>
      <c r="O545">
        <v>0.13068880271931449</v>
      </c>
      <c r="P545">
        <v>1.9039729776578338E-2</v>
      </c>
      <c r="Q545">
        <v>9.1819241520856867E-4</v>
      </c>
      <c r="R545">
        <v>1.3733717951391511E-3</v>
      </c>
      <c r="S545">
        <v>0.11109809016566922</v>
      </c>
      <c r="T545">
        <v>1.0629771784466577</v>
      </c>
      <c r="U545">
        <v>0</v>
      </c>
      <c r="V545">
        <v>0.21206546114861252</v>
      </c>
      <c r="W545">
        <v>8.5118013136393264E-2</v>
      </c>
      <c r="X545">
        <v>3.0792145660217079E-2</v>
      </c>
      <c r="Y545">
        <v>3.7378652944781762E-3</v>
      </c>
    </row>
    <row r="546" spans="1:25" x14ac:dyDescent="0.25">
      <c r="A546" s="1095"/>
      <c r="B546" s="1454">
        <v>296</v>
      </c>
      <c r="C546" s="1099">
        <v>0.98414461236390494</v>
      </c>
      <c r="D546" s="1099">
        <v>1.0142479421010553</v>
      </c>
      <c r="E546" s="1099">
        <v>1.0398183272731265</v>
      </c>
      <c r="F546" s="1099">
        <v>1.0043705220787564</v>
      </c>
      <c r="G546" s="1099">
        <v>1.004466926736058</v>
      </c>
      <c r="H546" s="1099">
        <v>1.0086898900005576</v>
      </c>
      <c r="I546" s="1099">
        <v>1.0036067816857317</v>
      </c>
      <c r="K546">
        <v>1.756802904882629</v>
      </c>
      <c r="L546">
        <v>0</v>
      </c>
      <c r="M546">
        <v>1.2855025100351916E-3</v>
      </c>
      <c r="N546">
        <v>0.13334586423243211</v>
      </c>
      <c r="O546">
        <v>0.12816492832606122</v>
      </c>
      <c r="P546">
        <v>1.9028469427279007E-2</v>
      </c>
      <c r="Q546">
        <v>9.4598807004695623E-4</v>
      </c>
      <c r="R546">
        <v>1.2822036260342737E-3</v>
      </c>
      <c r="S546">
        <v>0.10976374482968652</v>
      </c>
      <c r="T546">
        <v>1.0343962321243596</v>
      </c>
      <c r="U546">
        <v>0</v>
      </c>
      <c r="V546">
        <v>0.21069230445292697</v>
      </c>
      <c r="W546">
        <v>8.5581813552006433E-2</v>
      </c>
      <c r="X546">
        <v>3.1397123160076132E-2</v>
      </c>
      <c r="Y546">
        <v>3.4897355917535683E-3</v>
      </c>
    </row>
    <row r="547" spans="1:25" x14ac:dyDescent="0.25">
      <c r="A547" s="1095"/>
      <c r="B547" s="1454">
        <v>297</v>
      </c>
      <c r="C547" s="1099">
        <v>1.000251585789671</v>
      </c>
      <c r="D547" s="1099">
        <v>1.0134883448928282</v>
      </c>
      <c r="E547" s="1099">
        <v>1.0098763112453495</v>
      </c>
      <c r="F547" s="1099">
        <v>1.0153910158744197</v>
      </c>
      <c r="G547" s="1099">
        <v>0.98664124689904753</v>
      </c>
      <c r="H547" s="1099">
        <v>1.0089701421090453</v>
      </c>
      <c r="I547" s="1099">
        <v>1.0397772652293122</v>
      </c>
      <c r="K547">
        <v>1.7608721251027231</v>
      </c>
      <c r="L547">
        <v>0</v>
      </c>
      <c r="M547">
        <v>1.3501862346990121E-3</v>
      </c>
      <c r="N547">
        <v>0.12796405954389212</v>
      </c>
      <c r="O547">
        <v>0.12807195431586779</v>
      </c>
      <c r="P547">
        <v>1.879323052358231E-2</v>
      </c>
      <c r="Q547">
        <v>9.0294170987210065E-4</v>
      </c>
      <c r="R547">
        <v>1.3467306415835818E-3</v>
      </c>
      <c r="S547">
        <v>0.11207084847565039</v>
      </c>
      <c r="T547">
        <v>1.0466275832828369</v>
      </c>
      <c r="U547">
        <v>0</v>
      </c>
      <c r="V547">
        <v>0.20896306921391095</v>
      </c>
      <c r="W547">
        <v>8.3573591294450425E-2</v>
      </c>
      <c r="X547">
        <v>3.0242945479022704E-2</v>
      </c>
      <c r="Y547">
        <v>3.6653568567538253E-3</v>
      </c>
    </row>
    <row r="548" spans="1:25" x14ac:dyDescent="0.25">
      <c r="A548" s="1095"/>
      <c r="B548" s="1454">
        <v>298</v>
      </c>
      <c r="C548" s="1099">
        <v>1.0184422048284072</v>
      </c>
      <c r="D548" s="1099">
        <v>1.0278159608749691</v>
      </c>
      <c r="E548" s="1099">
        <v>1.0344069423631459</v>
      </c>
      <c r="F548" s="1099">
        <v>1.0258321727355084</v>
      </c>
      <c r="G548" s="1099">
        <v>1.012306259332457</v>
      </c>
      <c r="H548" s="1099">
        <v>1.0355604687408417</v>
      </c>
      <c r="I548" s="1099">
        <v>0.96548001847397336</v>
      </c>
      <c r="K548">
        <v>1.7664365841851795</v>
      </c>
      <c r="L548">
        <v>0</v>
      </c>
      <c r="M548">
        <v>1.2854736766187806E-3</v>
      </c>
      <c r="N548">
        <v>0.13119581554553741</v>
      </c>
      <c r="O548">
        <v>0.12736786565151476</v>
      </c>
      <c r="P548">
        <v>1.9149174178170594E-2</v>
      </c>
      <c r="Q548">
        <v>9.0429583650947123E-4</v>
      </c>
      <c r="R548">
        <v>1.2822667915059801E-3</v>
      </c>
      <c r="S548">
        <v>0.10324868952296377</v>
      </c>
      <c r="T548">
        <v>1.05665840387865</v>
      </c>
      <c r="U548">
        <v>0</v>
      </c>
      <c r="V548">
        <v>0.20888220279827485</v>
      </c>
      <c r="W548">
        <v>8.4465338897007983E-2</v>
      </c>
      <c r="X548">
        <v>3.1078097254318711E-2</v>
      </c>
      <c r="Y548">
        <v>3.4899075073450609E-3</v>
      </c>
    </row>
    <row r="549" spans="1:25" x14ac:dyDescent="0.25">
      <c r="A549" s="1095"/>
      <c r="B549" s="1454">
        <v>299</v>
      </c>
      <c r="C549" s="1099">
        <v>1.0077901126578692</v>
      </c>
      <c r="D549" s="1099">
        <v>1.0179703625789973</v>
      </c>
      <c r="E549" s="1099">
        <v>0.98886206586020098</v>
      </c>
      <c r="F549" s="1099">
        <v>1.029870921163226</v>
      </c>
      <c r="G549" s="1099">
        <v>1.0237582504755438</v>
      </c>
      <c r="H549" s="1099">
        <v>0.98245067465563751</v>
      </c>
      <c r="I549" s="1099">
        <v>1.0079767574356648</v>
      </c>
      <c r="K549">
        <v>1.7611065011076992</v>
      </c>
      <c r="L549">
        <v>0</v>
      </c>
      <c r="M549">
        <v>1.3618629915585405E-3</v>
      </c>
      <c r="N549">
        <v>0.12112247146404408</v>
      </c>
      <c r="O549">
        <v>0.12847449604229616</v>
      </c>
      <c r="P549">
        <v>1.8649511031606739E-2</v>
      </c>
      <c r="Q549">
        <v>8.7531989700399739E-4</v>
      </c>
      <c r="R549">
        <v>1.3582867720180853E-3</v>
      </c>
      <c r="S549">
        <v>0.10578506474394959</v>
      </c>
      <c r="T549">
        <v>1.0621966940689425</v>
      </c>
      <c r="U549">
        <v>0</v>
      </c>
      <c r="V549">
        <v>0.2106806626163647</v>
      </c>
      <c r="W549">
        <v>8.0100047719472808E-2</v>
      </c>
      <c r="X549">
        <v>2.9529000909239808E-2</v>
      </c>
      <c r="Y549">
        <v>3.6968088343191708E-3</v>
      </c>
    </row>
    <row r="550" spans="1:25" x14ac:dyDescent="0.25">
      <c r="A550" s="1095"/>
      <c r="B550" s="1454">
        <v>300</v>
      </c>
      <c r="C550" s="1099">
        <v>1.0024505452148222</v>
      </c>
      <c r="D550" s="1099">
        <v>0.9974505863888975</v>
      </c>
      <c r="E550" s="1099">
        <v>1.0063712212600306</v>
      </c>
      <c r="F550" s="1099">
        <v>0.96707782637636264</v>
      </c>
      <c r="G550" s="1099">
        <v>1.0102917357123431</v>
      </c>
      <c r="H550" s="1099">
        <v>1.0182957161717845</v>
      </c>
      <c r="I550" s="1099">
        <v>0.97954621704568912</v>
      </c>
      <c r="K550">
        <v>1.7020882499391745</v>
      </c>
      <c r="L550">
        <v>0</v>
      </c>
      <c r="M550">
        <v>1.3769339115809794E-3</v>
      </c>
      <c r="N550">
        <v>0.12912793354779484</v>
      </c>
      <c r="O550">
        <v>0.12499245209351041</v>
      </c>
      <c r="P550">
        <v>1.7975218849221979E-2</v>
      </c>
      <c r="Q550">
        <v>9.0345285783801266E-4</v>
      </c>
      <c r="R550">
        <v>1.373438475260309E-3</v>
      </c>
      <c r="S550">
        <v>0.10674025956948542</v>
      </c>
      <c r="T550">
        <v>0.99692807741953371</v>
      </c>
      <c r="U550">
        <v>0</v>
      </c>
      <c r="V550">
        <v>0.20785938621748012</v>
      </c>
      <c r="W550">
        <v>8.4508465235576882E-2</v>
      </c>
      <c r="X550">
        <v>2.931845280926712E-2</v>
      </c>
      <c r="Y550">
        <v>3.7380467757868723E-3</v>
      </c>
    </row>
    <row r="551" spans="1:25" x14ac:dyDescent="0.25">
      <c r="A551" s="1095"/>
      <c r="B551" s="1454">
        <v>301</v>
      </c>
      <c r="C551" s="1099">
        <v>0.99666351796874286</v>
      </c>
      <c r="D551" s="1099">
        <v>0.99628639571226962</v>
      </c>
      <c r="E551" s="1099">
        <v>0.9994422039329125</v>
      </c>
      <c r="F551" s="1099">
        <v>0.9977445894902216</v>
      </c>
      <c r="G551" s="1099">
        <v>1.0111632358922289</v>
      </c>
      <c r="H551" s="1099">
        <v>1.0010945727156371</v>
      </c>
      <c r="I551" s="1099">
        <v>1.0059463207739581</v>
      </c>
      <c r="K551">
        <v>1.7392396801723753</v>
      </c>
      <c r="L551">
        <v>0</v>
      </c>
      <c r="M551">
        <v>1.385332013041625E-3</v>
      </c>
      <c r="N551">
        <v>0.12721993389871386</v>
      </c>
      <c r="O551">
        <v>0.12766396863664439</v>
      </c>
      <c r="P551">
        <v>1.8380479369638509E-2</v>
      </c>
      <c r="Q551">
        <v>9.0262550755541577E-4</v>
      </c>
      <c r="R551">
        <v>1.3817636950721078E-3</v>
      </c>
      <c r="S551">
        <v>0.10926804843751235</v>
      </c>
      <c r="T551">
        <v>1.0287463305741136</v>
      </c>
      <c r="U551">
        <v>0</v>
      </c>
      <c r="V551">
        <v>0.21001625771547183</v>
      </c>
      <c r="W551">
        <v>8.3602565990522043E-2</v>
      </c>
      <c r="X551">
        <v>2.9682333080465674E-2</v>
      </c>
      <c r="Y551">
        <v>3.7607052797066138E-3</v>
      </c>
    </row>
    <row r="552" spans="1:25" x14ac:dyDescent="0.25">
      <c r="A552" s="1095"/>
      <c r="B552" s="1454">
        <v>302</v>
      </c>
      <c r="C552" s="1099">
        <v>1.0441557751933686</v>
      </c>
      <c r="D552" s="1099">
        <v>0.98411047409233565</v>
      </c>
      <c r="E552" s="1099">
        <v>0.99668470066063375</v>
      </c>
      <c r="F552" s="1099">
        <v>1.0452932665102439</v>
      </c>
      <c r="G552" s="1099">
        <v>0.98738706857338643</v>
      </c>
      <c r="H552" s="1099">
        <v>0.97835344887213338</v>
      </c>
      <c r="I552" s="1099">
        <v>1.0123876088867514</v>
      </c>
      <c r="K552">
        <v>1.7723695816794323</v>
      </c>
      <c r="L552">
        <v>0</v>
      </c>
      <c r="M552">
        <v>1.3193476042223716E-3</v>
      </c>
      <c r="N552">
        <v>0.12015098966101437</v>
      </c>
      <c r="O552">
        <v>0.12936645060022223</v>
      </c>
      <c r="P552">
        <v>1.8918887428570369E-2</v>
      </c>
      <c r="Q552">
        <v>8.6334440822165195E-4</v>
      </c>
      <c r="R552">
        <v>1.3159051646275176E-3</v>
      </c>
      <c r="S552">
        <v>0.10472891028375721</v>
      </c>
      <c r="T552">
        <v>1.0778582826252143</v>
      </c>
      <c r="U552">
        <v>0</v>
      </c>
      <c r="V552">
        <v>0.20780209788401974</v>
      </c>
      <c r="W552">
        <v>7.9086918202026596E-2</v>
      </c>
      <c r="X552">
        <v>3.0015682955885529E-2</v>
      </c>
      <c r="Y552">
        <v>3.5814600700951665E-3</v>
      </c>
    </row>
    <row r="553" spans="1:25" x14ac:dyDescent="0.25">
      <c r="A553" s="1095"/>
      <c r="B553" s="1454">
        <v>303</v>
      </c>
      <c r="C553" s="1099">
        <v>1.0097591565324802</v>
      </c>
      <c r="D553" s="1099">
        <v>0.98546483606480839</v>
      </c>
      <c r="E553" s="1099">
        <v>1.0203887147318604</v>
      </c>
      <c r="F553" s="1099">
        <v>0.99067737666109246</v>
      </c>
      <c r="G553" s="1099">
        <v>1.0460879416380544</v>
      </c>
      <c r="H553" s="1099">
        <v>0.96665568418979864</v>
      </c>
      <c r="I553" s="1099">
        <v>1.0095147047457087</v>
      </c>
      <c r="K553">
        <v>1.7236175024114386</v>
      </c>
      <c r="L553">
        <v>0</v>
      </c>
      <c r="M553">
        <v>1.272852147942771E-3</v>
      </c>
      <c r="N553">
        <v>0.12451053268865342</v>
      </c>
      <c r="O553">
        <v>0.12703357370439491</v>
      </c>
      <c r="P553">
        <v>1.8529575979849142E-2</v>
      </c>
      <c r="Q553">
        <v>9.143612304070355E-4</v>
      </c>
      <c r="R553">
        <v>1.2694653219876666E-3</v>
      </c>
      <c r="S553">
        <v>0.10660882809562031</v>
      </c>
      <c r="T553">
        <v>1.0208487667693336</v>
      </c>
      <c r="U553">
        <v>0</v>
      </c>
      <c r="V553">
        <v>0.21062278394191961</v>
      </c>
      <c r="W553">
        <v>8.0817580118839633E-2</v>
      </c>
      <c r="X553">
        <v>3.027982058105599E-2</v>
      </c>
      <c r="Y553">
        <v>3.455066127319504E-3</v>
      </c>
    </row>
    <row r="554" spans="1:25" x14ac:dyDescent="0.25">
      <c r="A554" s="1095"/>
      <c r="B554" s="1454">
        <v>304</v>
      </c>
      <c r="C554" s="1099">
        <v>1.027923687075796</v>
      </c>
      <c r="D554" s="1099">
        <v>1.0073216446843118</v>
      </c>
      <c r="E554" s="1099">
        <v>0.96240546920073389</v>
      </c>
      <c r="F554" s="1099">
        <v>1.0179520981202255</v>
      </c>
      <c r="G554" s="1099">
        <v>1.0153890543611859</v>
      </c>
      <c r="H554" s="1099">
        <v>0.97868375312238287</v>
      </c>
      <c r="I554" s="1099">
        <v>1.0132674065592311</v>
      </c>
      <c r="K554">
        <v>1.7357039721051435</v>
      </c>
      <c r="L554">
        <v>0</v>
      </c>
      <c r="M554">
        <v>1.4144432353318198E-3</v>
      </c>
      <c r="N554">
        <v>0.1161180055975144</v>
      </c>
      <c r="O554">
        <v>0.12694337850678875</v>
      </c>
      <c r="P554">
        <v>1.8078035206537956E-2</v>
      </c>
      <c r="Q554">
        <v>8.3817295656998E-4</v>
      </c>
      <c r="R554">
        <v>1.4107244407782738E-3</v>
      </c>
      <c r="S554">
        <v>0.10467700601239492</v>
      </c>
      <c r="T554">
        <v>1.0507239560307517</v>
      </c>
      <c r="U554">
        <v>0</v>
      </c>
      <c r="V554">
        <v>0.2082537376921382</v>
      </c>
      <c r="W554">
        <v>7.8031461959671478E-2</v>
      </c>
      <c r="X554">
        <v>2.820441005471791E-2</v>
      </c>
      <c r="Y554">
        <v>3.8395268826115414E-3</v>
      </c>
    </row>
    <row r="555" spans="1:25" x14ac:dyDescent="0.25">
      <c r="A555" s="1095"/>
      <c r="B555" s="1454">
        <v>305</v>
      </c>
      <c r="C555" s="1099">
        <v>1.0101995341450656</v>
      </c>
      <c r="D555" s="1099">
        <v>0.99502843909913985</v>
      </c>
      <c r="E555" s="1099">
        <v>1.0110525174854033</v>
      </c>
      <c r="F555" s="1099">
        <v>1.0118455216846662</v>
      </c>
      <c r="G555" s="1099">
        <v>0.9824620182448387</v>
      </c>
      <c r="H555" s="1099">
        <v>0.96755731698743341</v>
      </c>
      <c r="I555" s="1099">
        <v>0.97952653452406624</v>
      </c>
      <c r="K555">
        <v>1.7388516546837718</v>
      </c>
      <c r="L555">
        <v>0</v>
      </c>
      <c r="M555">
        <v>1.2935011322237409E-3</v>
      </c>
      <c r="N555">
        <v>0.1230156052948919</v>
      </c>
      <c r="O555">
        <v>0.12814012673004166</v>
      </c>
      <c r="P555">
        <v>1.8624181820143356E-2</v>
      </c>
      <c r="Q555">
        <v>9.0174093657432097E-4</v>
      </c>
      <c r="R555">
        <v>1.290062729956497E-3</v>
      </c>
      <c r="S555">
        <v>0.10294988742660116</v>
      </c>
      <c r="T555">
        <v>1.0429380095963374</v>
      </c>
      <c r="U555">
        <v>0</v>
      </c>
      <c r="V555">
        <v>0.20829743683349602</v>
      </c>
      <c r="W555">
        <v>8.0286061817199952E-2</v>
      </c>
      <c r="X555">
        <v>3.0190917148874931E-2</v>
      </c>
      <c r="Y555">
        <v>3.5111254818769493E-3</v>
      </c>
    </row>
    <row r="556" spans="1:25" x14ac:dyDescent="0.25">
      <c r="A556" s="1095"/>
      <c r="B556" s="1454">
        <v>306</v>
      </c>
      <c r="C556" s="1099">
        <v>0.98354473776018236</v>
      </c>
      <c r="D556" s="1099">
        <v>1.0092973082910686</v>
      </c>
      <c r="E556" s="1099">
        <v>1.0185288528276564</v>
      </c>
      <c r="F556" s="1099">
        <v>0.97643421966449206</v>
      </c>
      <c r="G556" s="1099">
        <v>0.99927163009999986</v>
      </c>
      <c r="H556" s="1099">
        <v>0.99627637534161284</v>
      </c>
      <c r="I556" s="1099">
        <v>1.0419091356771943</v>
      </c>
      <c r="K556">
        <v>1.7209621709951706</v>
      </c>
      <c r="L556">
        <v>0</v>
      </c>
      <c r="M556">
        <v>1.3285541838307187E-3</v>
      </c>
      <c r="N556">
        <v>0.12923972416792864</v>
      </c>
      <c r="O556">
        <v>0.12619960625585752</v>
      </c>
      <c r="P556">
        <v>1.8372837117422099E-2</v>
      </c>
      <c r="Q556">
        <v>9.2802878947198194E-4</v>
      </c>
      <c r="R556">
        <v>1.3250968139912947E-3</v>
      </c>
      <c r="S556">
        <v>0.11323006736040279</v>
      </c>
      <c r="T556">
        <v>1.0062247665215462</v>
      </c>
      <c r="U556">
        <v>0</v>
      </c>
      <c r="V556">
        <v>0.20911290702949206</v>
      </c>
      <c r="W556">
        <v>8.3978582260861398E-2</v>
      </c>
      <c r="X556">
        <v>3.0072632152389492E-2</v>
      </c>
      <c r="Y556">
        <v>3.6064767096369689E-3</v>
      </c>
    </row>
    <row r="557" spans="1:25" x14ac:dyDescent="0.25">
      <c r="A557" s="1095"/>
      <c r="B557" s="1454">
        <v>307</v>
      </c>
      <c r="C557" s="1099">
        <v>1.002569355309247</v>
      </c>
      <c r="D557" s="1099">
        <v>0.99412816042835306</v>
      </c>
      <c r="E557" s="1099">
        <v>1.0263620918551712</v>
      </c>
      <c r="F557" s="1099">
        <v>1.0137558396015882</v>
      </c>
      <c r="G557" s="1099">
        <v>1.0131434108190891</v>
      </c>
      <c r="H557" s="1099">
        <v>1.0133307102269016</v>
      </c>
      <c r="I557" s="1099">
        <v>1.0186211913268002</v>
      </c>
      <c r="K557">
        <v>1.7664774686068927</v>
      </c>
      <c r="L557">
        <v>0</v>
      </c>
      <c r="M557">
        <v>1.3223137491912762E-3</v>
      </c>
      <c r="N557">
        <v>0.13171643289818052</v>
      </c>
      <c r="O557">
        <v>0.12878391780683765</v>
      </c>
      <c r="P557">
        <v>1.9002295364935601E-2</v>
      </c>
      <c r="Q557">
        <v>9.2333050373302175E-4</v>
      </c>
      <c r="R557">
        <v>1.3189565635979101E-3</v>
      </c>
      <c r="S557">
        <v>0.11119559398685361</v>
      </c>
      <c r="T557">
        <v>1.0444542760664397</v>
      </c>
      <c r="U557">
        <v>0</v>
      </c>
      <c r="V557">
        <v>0.21059250819571945</v>
      </c>
      <c r="W557">
        <v>8.5197329930586915E-2</v>
      </c>
      <c r="X557">
        <v>3.1025376066999739E-2</v>
      </c>
      <c r="Y557">
        <v>3.589764972199175E-3</v>
      </c>
    </row>
    <row r="558" spans="1:25" x14ac:dyDescent="0.25">
      <c r="A558" s="1095"/>
      <c r="B558" s="1454">
        <v>308</v>
      </c>
      <c r="C558" s="1099">
        <v>0.97657559894214507</v>
      </c>
      <c r="D558" s="1099">
        <v>1.0166400755649281</v>
      </c>
      <c r="E558" s="1099">
        <v>1.0239391702480656</v>
      </c>
      <c r="F558" s="1099">
        <v>1.0029792353971472</v>
      </c>
      <c r="G558" s="1099">
        <v>1.0291960917078626</v>
      </c>
      <c r="H558" s="1099">
        <v>0.98969611986771611</v>
      </c>
      <c r="I558" s="1099">
        <v>0.9853912052728302</v>
      </c>
      <c r="K558">
        <v>1.7487618256077604</v>
      </c>
      <c r="L558">
        <v>0</v>
      </c>
      <c r="M558">
        <v>1.3110403656331957E-3</v>
      </c>
      <c r="N558">
        <v>0.12963239634902107</v>
      </c>
      <c r="O558">
        <v>0.12829240422457189</v>
      </c>
      <c r="P558">
        <v>1.8782517848082238E-2</v>
      </c>
      <c r="Q558">
        <v>9.3712879399360401E-4</v>
      </c>
      <c r="R558">
        <v>1.3076072766177187E-3</v>
      </c>
      <c r="S558">
        <v>0.10704385040881151</v>
      </c>
      <c r="T558">
        <v>1.0334217647293236</v>
      </c>
      <c r="U558">
        <v>0</v>
      </c>
      <c r="V558">
        <v>0.21236361143695198</v>
      </c>
      <c r="W558">
        <v>8.3967788464040599E-2</v>
      </c>
      <c r="X558">
        <v>3.0764920487646005E-2</v>
      </c>
      <c r="Y558">
        <v>3.5588759543305412E-3</v>
      </c>
    </row>
    <row r="559" spans="1:25" x14ac:dyDescent="0.25">
      <c r="A559" s="1095"/>
      <c r="B559" s="1454">
        <v>309</v>
      </c>
      <c r="C559" s="1099">
        <v>1.0129235606020648</v>
      </c>
      <c r="D559" s="1099">
        <v>1.013842584464298</v>
      </c>
      <c r="E559" s="1099">
        <v>1.0193015715248543</v>
      </c>
      <c r="F559" s="1099">
        <v>0.99310678157988452</v>
      </c>
      <c r="G559" s="1099">
        <v>1.0103997145567321</v>
      </c>
      <c r="H559" s="1099">
        <v>1.0170764092534166</v>
      </c>
      <c r="I559" s="1099">
        <v>0.99619623328404883</v>
      </c>
      <c r="K559">
        <v>1.7283698292805818</v>
      </c>
      <c r="L559">
        <v>0</v>
      </c>
      <c r="M559">
        <v>1.3165180593250237E-3</v>
      </c>
      <c r="N559">
        <v>0.12837564154685219</v>
      </c>
      <c r="O559">
        <v>0.12576569326504686</v>
      </c>
      <c r="P559">
        <v>1.8511138110299023E-2</v>
      </c>
      <c r="Q559">
        <v>9.0020783558107361E-4</v>
      </c>
      <c r="R559">
        <v>1.3131723778659441E-3</v>
      </c>
      <c r="S559">
        <v>0.1065169644964828</v>
      </c>
      <c r="T559">
        <v>1.0233836189412397</v>
      </c>
      <c r="U559">
        <v>0</v>
      </c>
      <c r="V559">
        <v>0.2079152114127171</v>
      </c>
      <c r="W559">
        <v>8.3379375696428323E-2</v>
      </c>
      <c r="X559">
        <v>3.0051301332000034E-2</v>
      </c>
      <c r="Y559">
        <v>3.5740223253930762E-3</v>
      </c>
    </row>
    <row r="560" spans="1:25" x14ac:dyDescent="0.25">
      <c r="A560" s="1095"/>
      <c r="B560" s="1454">
        <v>310</v>
      </c>
      <c r="C560" s="1099">
        <v>1.0165412634175353</v>
      </c>
      <c r="D560" s="1099">
        <v>0.98458955050334673</v>
      </c>
      <c r="E560" s="1099">
        <v>0.96435808319484217</v>
      </c>
      <c r="F560" s="1099">
        <v>1.0172591055709461</v>
      </c>
      <c r="G560" s="1099">
        <v>0.98460017900972185</v>
      </c>
      <c r="H560" s="1099">
        <v>1.0151142070173931</v>
      </c>
      <c r="I560" s="1099">
        <v>1.0031090868189356</v>
      </c>
      <c r="K560">
        <v>1.7537351362574796</v>
      </c>
      <c r="L560">
        <v>0</v>
      </c>
      <c r="M560">
        <v>1.4962433228992648E-3</v>
      </c>
      <c r="N560">
        <v>0.12357484317991969</v>
      </c>
      <c r="O560">
        <v>0.12852546307874943</v>
      </c>
      <c r="P560">
        <v>1.8150442924659085E-2</v>
      </c>
      <c r="Q560">
        <v>8.5709963750085088E-4</v>
      </c>
      <c r="R560">
        <v>1.4924636481787939E-3</v>
      </c>
      <c r="S560">
        <v>0.10876122270576218</v>
      </c>
      <c r="T560">
        <v>1.049947430653047</v>
      </c>
      <c r="U560">
        <v>0</v>
      </c>
      <c r="V560">
        <v>0.20834538981165493</v>
      </c>
      <c r="W560">
        <v>8.2943316221062921E-2</v>
      </c>
      <c r="X560">
        <v>2.8571713660011915E-2</v>
      </c>
      <c r="Y560">
        <v>4.06199405983328E-3</v>
      </c>
    </row>
    <row r="561" spans="1:25" x14ac:dyDescent="0.25">
      <c r="A561" s="1095"/>
      <c r="B561" s="1454">
        <v>311</v>
      </c>
      <c r="C561" s="1099">
        <v>0.99454941813359177</v>
      </c>
      <c r="D561" s="1099">
        <v>0.99879079234613655</v>
      </c>
      <c r="E561" s="1099">
        <v>0.98136020894411236</v>
      </c>
      <c r="F561" s="1099">
        <v>0.99285911442216224</v>
      </c>
      <c r="G561" s="1099">
        <v>1.0440239528271718</v>
      </c>
      <c r="H561" s="1099">
        <v>0.9978691509480746</v>
      </c>
      <c r="I561" s="1099">
        <v>1.0360283417534917</v>
      </c>
      <c r="K561">
        <v>1.7344285361743232</v>
      </c>
      <c r="L561">
        <v>0</v>
      </c>
      <c r="M561">
        <v>1.4336273298697858E-3</v>
      </c>
      <c r="N561">
        <v>0.12464953254175191</v>
      </c>
      <c r="O561">
        <v>0.12721683864425146</v>
      </c>
      <c r="P561">
        <v>1.8130926891473685E-2</v>
      </c>
      <c r="Q561">
        <v>8.8676773503354467E-4</v>
      </c>
      <c r="R561">
        <v>1.4299186914549134E-3</v>
      </c>
      <c r="S561">
        <v>0.11228886645045999</v>
      </c>
      <c r="T561">
        <v>1.0242478763172045</v>
      </c>
      <c r="U561">
        <v>0</v>
      </c>
      <c r="V561">
        <v>0.21140467762423404</v>
      </c>
      <c r="W561">
        <v>8.2805278937653118E-2</v>
      </c>
      <c r="X561">
        <v>2.8909712365105096E-2</v>
      </c>
      <c r="Y561">
        <v>3.8917673055703203E-3</v>
      </c>
    </row>
    <row r="562" spans="1:25" x14ac:dyDescent="0.25">
      <c r="A562" s="1095"/>
      <c r="B562" s="1454">
        <v>312</v>
      </c>
      <c r="C562" s="1099">
        <v>0.98884199420732077</v>
      </c>
      <c r="D562" s="1099">
        <v>1.021763991793518</v>
      </c>
      <c r="E562" s="1099">
        <v>0.98877682328087202</v>
      </c>
      <c r="F562" s="1099">
        <v>1.0303324622612633</v>
      </c>
      <c r="G562" s="1099">
        <v>1.0192938731616679</v>
      </c>
      <c r="H562" s="1099">
        <v>1.0182551915390694</v>
      </c>
      <c r="I562" s="1099">
        <v>0.98915247724347388</v>
      </c>
      <c r="K562">
        <v>1.7768932452334645</v>
      </c>
      <c r="L562">
        <v>0</v>
      </c>
      <c r="M562">
        <v>1.4335208912173781E-3</v>
      </c>
      <c r="N562">
        <v>0.12747387431623422</v>
      </c>
      <c r="O562">
        <v>0.12932289741145669</v>
      </c>
      <c r="P562">
        <v>1.8701388257450224E-2</v>
      </c>
      <c r="Q562">
        <v>8.9068716818855632E-4</v>
      </c>
      <c r="R562">
        <v>1.4298809209442069E-3</v>
      </c>
      <c r="S562">
        <v>0.10792936378309569</v>
      </c>
      <c r="T562">
        <v>1.0626753622348646</v>
      </c>
      <c r="U562">
        <v>0</v>
      </c>
      <c r="V562">
        <v>0.21197996698306226</v>
      </c>
      <c r="W562">
        <v>8.4304631546878991E-2</v>
      </c>
      <c r="X562">
        <v>2.9727048995814104E-2</v>
      </c>
      <c r="Y562">
        <v>3.8916645066912228E-3</v>
      </c>
    </row>
    <row r="563" spans="1:25" x14ac:dyDescent="0.25">
      <c r="A563" s="1095"/>
      <c r="B563" s="1454">
        <v>313</v>
      </c>
      <c r="C563" s="1099">
        <v>0.98398514111926572</v>
      </c>
      <c r="D563" s="1099">
        <v>1.0173365942956503</v>
      </c>
      <c r="E563" s="1099">
        <v>0.97877873853801289</v>
      </c>
      <c r="F563" s="1099">
        <v>0.98005898142201686</v>
      </c>
      <c r="G563" s="1099">
        <v>1.0272143107389169</v>
      </c>
      <c r="H563" s="1099">
        <v>0.97575849811601578</v>
      </c>
      <c r="I563" s="1099">
        <v>1.0302805815652378</v>
      </c>
      <c r="K563">
        <v>1.7102811475002688</v>
      </c>
      <c r="L563">
        <v>0</v>
      </c>
      <c r="M563">
        <v>1.4063354887703956E-3</v>
      </c>
      <c r="N563">
        <v>0.1213163592582852</v>
      </c>
      <c r="O563">
        <v>0.12593814333332412</v>
      </c>
      <c r="P563">
        <v>1.787110396273367E-2</v>
      </c>
      <c r="Q563">
        <v>8.8731297587450904E-4</v>
      </c>
      <c r="R563">
        <v>1.4025946023466334E-3</v>
      </c>
      <c r="S563">
        <v>0.10984477947741038</v>
      </c>
      <c r="T563">
        <v>1.011119787126739</v>
      </c>
      <c r="U563">
        <v>0</v>
      </c>
      <c r="V563">
        <v>0.21026761399125576</v>
      </c>
      <c r="W563">
        <v>8.0716748535252167E-2</v>
      </c>
      <c r="X563">
        <v>2.8505639583415291E-2</v>
      </c>
      <c r="Y563">
        <v>3.8174001424011359E-3</v>
      </c>
    </row>
    <row r="564" spans="1:25" x14ac:dyDescent="0.25">
      <c r="A564" s="1095"/>
      <c r="B564" s="1454">
        <v>314</v>
      </c>
      <c r="C564" s="1099">
        <v>0.99609563940350532</v>
      </c>
      <c r="D564" s="1099">
        <v>0.98189700880757325</v>
      </c>
      <c r="E564" s="1099">
        <v>0.98139081595677524</v>
      </c>
      <c r="F564" s="1099">
        <v>1.0293536020532239</v>
      </c>
      <c r="G564" s="1099">
        <v>0.98682099135749901</v>
      </c>
      <c r="H564" s="1099">
        <v>0.96349520545061595</v>
      </c>
      <c r="I564" s="1099">
        <v>1.0100412546662012</v>
      </c>
      <c r="K564">
        <v>1.7673371587878082</v>
      </c>
      <c r="L564">
        <v>0</v>
      </c>
      <c r="M564">
        <v>1.4005408348358203E-3</v>
      </c>
      <c r="N564">
        <v>0.12177488909532558</v>
      </c>
      <c r="O564">
        <v>0.13069545526263421</v>
      </c>
      <c r="P564">
        <v>1.8576628857274902E-2</v>
      </c>
      <c r="Q564">
        <v>8.9148197875839157E-4</v>
      </c>
      <c r="R564">
        <v>1.3968128360135668E-3</v>
      </c>
      <c r="S564">
        <v>0.1082286333896411</v>
      </c>
      <c r="T564">
        <v>1.0618951654989146</v>
      </c>
      <c r="U564">
        <v>0</v>
      </c>
      <c r="V564">
        <v>0.21092837088982191</v>
      </c>
      <c r="W564">
        <v>8.08941461784798E-2</v>
      </c>
      <c r="X564">
        <v>2.9654451555379217E-2</v>
      </c>
      <c r="Y564">
        <v>3.8016640804012878E-3</v>
      </c>
    </row>
    <row r="565" spans="1:25" x14ac:dyDescent="0.25">
      <c r="A565" s="1095"/>
      <c r="B565" s="1454">
        <v>315</v>
      </c>
      <c r="C565" s="1099">
        <v>1.0179021009229423</v>
      </c>
      <c r="D565" s="1099">
        <v>0.98576782868378532</v>
      </c>
      <c r="E565" s="1099">
        <v>0.95789621279804937</v>
      </c>
      <c r="F565" s="1099">
        <v>1.030918789931438</v>
      </c>
      <c r="G565" s="1099">
        <v>1.016129250844557</v>
      </c>
      <c r="H565" s="1099">
        <v>1.0359805935476272</v>
      </c>
      <c r="I565" s="1099">
        <v>0.99345812478833229</v>
      </c>
      <c r="K565">
        <v>1.7745692602854459</v>
      </c>
      <c r="L565">
        <v>0</v>
      </c>
      <c r="M565">
        <v>1.5462438647883051E-3</v>
      </c>
      <c r="N565">
        <v>0.12523513905162048</v>
      </c>
      <c r="O565">
        <v>0.1293999125123344</v>
      </c>
      <c r="P565">
        <v>1.8279532446765983E-2</v>
      </c>
      <c r="Q565">
        <v>8.497118817758887E-4</v>
      </c>
      <c r="R565">
        <v>1.5424204545395588E-3</v>
      </c>
      <c r="S565">
        <v>0.10900732252296798</v>
      </c>
      <c r="T565">
        <v>1.0642518306718682</v>
      </c>
      <c r="U565">
        <v>0</v>
      </c>
      <c r="V565">
        <v>0.21041147616264891</v>
      </c>
      <c r="W565">
        <v>8.4391297026180728E-2</v>
      </c>
      <c r="X565">
        <v>2.8548901401042524E-2</v>
      </c>
      <c r="Y565">
        <v>4.1979600184904918E-3</v>
      </c>
    </row>
    <row r="566" spans="1:25" x14ac:dyDescent="0.25">
      <c r="A566" s="1095"/>
      <c r="B566" s="1454">
        <v>316</v>
      </c>
      <c r="C566" s="1099">
        <v>0.97772876441970191</v>
      </c>
      <c r="D566" s="1099">
        <v>1.0341429602936696</v>
      </c>
      <c r="E566" s="1099">
        <v>0.99965458415530661</v>
      </c>
      <c r="F566" s="1099">
        <v>1.0099889878013522</v>
      </c>
      <c r="G566" s="1099">
        <v>0.97416646273598684</v>
      </c>
      <c r="H566" s="1099">
        <v>0.99014171266948969</v>
      </c>
      <c r="I566" s="1099">
        <v>0.987590890516021</v>
      </c>
      <c r="K566">
        <v>1.7454131178911649</v>
      </c>
      <c r="L566">
        <v>0</v>
      </c>
      <c r="M566">
        <v>1.3650782650074236E-3</v>
      </c>
      <c r="N566">
        <v>0.12543436034116839</v>
      </c>
      <c r="O566">
        <v>0.12787578000767999</v>
      </c>
      <c r="P566">
        <v>1.8503137048241556E-2</v>
      </c>
      <c r="Q566">
        <v>9.0668174740533164E-4</v>
      </c>
      <c r="R566">
        <v>1.3614962792633191E-3</v>
      </c>
      <c r="S566">
        <v>0.10606973156927012</v>
      </c>
      <c r="T566">
        <v>1.0413648052758979</v>
      </c>
      <c r="U566">
        <v>0</v>
      </c>
      <c r="V566">
        <v>0.20938006353709379</v>
      </c>
      <c r="W566">
        <v>8.2418768662444977E-2</v>
      </c>
      <c r="X566">
        <v>2.9757827632680353E-2</v>
      </c>
      <c r="Y566">
        <v>3.7055440550269182E-3</v>
      </c>
    </row>
    <row r="567" spans="1:25" x14ac:dyDescent="0.25">
      <c r="A567" s="1095"/>
      <c r="B567" s="1454">
        <v>317</v>
      </c>
      <c r="C567" s="1099">
        <v>0.97998623558469666</v>
      </c>
      <c r="D567" s="1099">
        <v>1.0051881171355965</v>
      </c>
      <c r="E567" s="1099">
        <v>1.0186262541791906</v>
      </c>
      <c r="F567" s="1099">
        <v>0.99977806841451566</v>
      </c>
      <c r="G567" s="1099">
        <v>1.0282585364188228</v>
      </c>
      <c r="H567" s="1099">
        <v>1.0271192926098598</v>
      </c>
      <c r="I567" s="1099">
        <v>0.99728973605258364</v>
      </c>
      <c r="K567">
        <v>1.757767937319866</v>
      </c>
      <c r="L567">
        <v>0</v>
      </c>
      <c r="M567">
        <v>1.3801097706678009E-3</v>
      </c>
      <c r="N567">
        <v>0.13430581259877195</v>
      </c>
      <c r="O567">
        <v>0.12836088328656914</v>
      </c>
      <c r="P567">
        <v>1.8723186998446689E-2</v>
      </c>
      <c r="Q567">
        <v>9.3301306884864934E-4</v>
      </c>
      <c r="R567">
        <v>1.3766348835978605E-3</v>
      </c>
      <c r="S567">
        <v>0.11135653139379725</v>
      </c>
      <c r="T567">
        <v>1.0302779839560048</v>
      </c>
      <c r="U567">
        <v>0</v>
      </c>
      <c r="V567">
        <v>0.21217363937354874</v>
      </c>
      <c r="W567">
        <v>8.7265493488313528E-2</v>
      </c>
      <c r="X567">
        <v>3.0628121697048767E-2</v>
      </c>
      <c r="Y567">
        <v>3.7467463455859613E-3</v>
      </c>
    </row>
    <row r="568" spans="1:25" x14ac:dyDescent="0.25">
      <c r="A568" s="1095"/>
      <c r="B568" s="1454">
        <v>318</v>
      </c>
      <c r="C568" s="1099">
        <v>1.0294843859230116</v>
      </c>
      <c r="D568" s="1099">
        <v>0.98547009902564486</v>
      </c>
      <c r="E568" s="1099">
        <v>0.96918569501887541</v>
      </c>
      <c r="F568" s="1099">
        <v>0.97775501102897633</v>
      </c>
      <c r="G568" s="1099">
        <v>0.9840147727785471</v>
      </c>
      <c r="H568" s="1099">
        <v>1.0118196730641087</v>
      </c>
      <c r="I568" s="1099">
        <v>1.0156200064463972</v>
      </c>
      <c r="K568">
        <v>1.7010671443131249</v>
      </c>
      <c r="L568">
        <v>0</v>
      </c>
      <c r="M568">
        <v>1.4537912531693026E-3</v>
      </c>
      <c r="N568">
        <v>0.12183533919968259</v>
      </c>
      <c r="O568">
        <v>0.12485880966505705</v>
      </c>
      <c r="P568">
        <v>1.762429342376785E-2</v>
      </c>
      <c r="Q568">
        <v>8.5034280146460629E-4</v>
      </c>
      <c r="R568">
        <v>1.4500974113991843E-3</v>
      </c>
      <c r="S568">
        <v>0.10828358201484764</v>
      </c>
      <c r="T568">
        <v>1.0090289152083405</v>
      </c>
      <c r="U568">
        <v>0</v>
      </c>
      <c r="V568">
        <v>0.20519134572722078</v>
      </c>
      <c r="W568">
        <v>8.1535222876541677E-2</v>
      </c>
      <c r="X568">
        <v>2.7916300108629485E-2</v>
      </c>
      <c r="Y568">
        <v>3.9466871293453833E-3</v>
      </c>
    </row>
    <row r="569" spans="1:25" x14ac:dyDescent="0.25">
      <c r="A569" s="1095"/>
      <c r="B569" s="1454">
        <v>319</v>
      </c>
      <c r="C569" s="1099">
        <v>0.98423922525310759</v>
      </c>
      <c r="D569" s="1099">
        <v>0.9549307397430381</v>
      </c>
      <c r="E569" s="1099">
        <v>1.0410171213765582</v>
      </c>
      <c r="F569" s="1099">
        <v>1.0172762319711888</v>
      </c>
      <c r="G569" s="1099">
        <v>1.0089552445205006</v>
      </c>
      <c r="H569" s="1099">
        <v>0.98151708063025733</v>
      </c>
      <c r="I569" s="1099">
        <v>0.97767568396514815</v>
      </c>
      <c r="K569">
        <v>1.77924215521937</v>
      </c>
      <c r="L569">
        <v>0</v>
      </c>
      <c r="M569">
        <v>1.2940865837409109E-3</v>
      </c>
      <c r="N569">
        <v>0.13471672470744955</v>
      </c>
      <c r="O569">
        <v>0.13196717476207817</v>
      </c>
      <c r="P569">
        <v>1.9260611793071057E-2</v>
      </c>
      <c r="Q569">
        <v>9.7015509805059889E-4</v>
      </c>
      <c r="R569">
        <v>1.2907159803491133E-3</v>
      </c>
      <c r="S569">
        <v>0.10911336239288789</v>
      </c>
      <c r="T569">
        <v>1.0476529642991712</v>
      </c>
      <c r="U569">
        <v>0</v>
      </c>
      <c r="V569">
        <v>0.21343281857692556</v>
      </c>
      <c r="W569">
        <v>8.6401980050872657E-2</v>
      </c>
      <c r="X569">
        <v>3.2216830728152457E-2</v>
      </c>
      <c r="Y569">
        <v>3.5129034141017164E-3</v>
      </c>
    </row>
    <row r="570" spans="1:25" x14ac:dyDescent="0.25">
      <c r="A570" s="1095"/>
      <c r="B570" s="1454">
        <v>320</v>
      </c>
      <c r="C570" s="1099">
        <v>1.0395606209753929</v>
      </c>
      <c r="D570" s="1099">
        <v>1.0252529826548644</v>
      </c>
      <c r="E570" s="1099">
        <v>0.98327843540676396</v>
      </c>
      <c r="F570" s="1099">
        <v>0.99865822922392966</v>
      </c>
      <c r="G570" s="1099">
        <v>0.97056515312683866</v>
      </c>
      <c r="H570" s="1099">
        <v>0.99342956717156805</v>
      </c>
      <c r="I570" s="1099">
        <v>0.97482589545872689</v>
      </c>
      <c r="K570">
        <v>1.7039669831987723</v>
      </c>
      <c r="L570">
        <v>0</v>
      </c>
      <c r="M570">
        <v>1.3446863042009928E-3</v>
      </c>
      <c r="N570">
        <v>0.11759517090723633</v>
      </c>
      <c r="O570">
        <v>0.12422082201045012</v>
      </c>
      <c r="P570">
        <v>1.7960217604523418E-2</v>
      </c>
      <c r="Q570">
        <v>8.4123194608520899E-4</v>
      </c>
      <c r="R570">
        <v>1.3411890662861636E-3</v>
      </c>
      <c r="S570">
        <v>9.9437241802579693E-2</v>
      </c>
      <c r="T570">
        <v>1.0301723703309824</v>
      </c>
      <c r="U570">
        <v>0</v>
      </c>
      <c r="V570">
        <v>0.20371045023392606</v>
      </c>
      <c r="W570">
        <v>7.8028768262523598E-2</v>
      </c>
      <c r="X570">
        <v>2.8353932822805253E-2</v>
      </c>
      <c r="Y570">
        <v>3.6502745155740598E-3</v>
      </c>
    </row>
    <row r="571" spans="1:25" x14ac:dyDescent="0.25">
      <c r="A571" s="1095"/>
      <c r="B571" s="1454">
        <v>321</v>
      </c>
      <c r="C571" s="1099">
        <v>0.99013697411010071</v>
      </c>
      <c r="D571" s="1099">
        <v>0.99266991027348517</v>
      </c>
      <c r="E571" s="1099">
        <v>1.0120523050278591</v>
      </c>
      <c r="F571" s="1099">
        <v>1.0198822641242555</v>
      </c>
      <c r="G571" s="1099">
        <v>1.0215979296517954</v>
      </c>
      <c r="H571" s="1099">
        <v>0.95499001264598238</v>
      </c>
      <c r="I571" s="1099">
        <v>1.0105431358787043</v>
      </c>
      <c r="K571">
        <v>1.7599453589053939</v>
      </c>
      <c r="L571">
        <v>0</v>
      </c>
      <c r="M571">
        <v>1.3004185471635129E-3</v>
      </c>
      <c r="N571">
        <v>0.1240427563555672</v>
      </c>
      <c r="O571">
        <v>0.12991048563608593</v>
      </c>
      <c r="P571">
        <v>1.8871193623530715E-2</v>
      </c>
      <c r="Q571">
        <v>9.2183533415485231E-4</v>
      </c>
      <c r="R571">
        <v>1.2969144305310318E-3</v>
      </c>
      <c r="S571">
        <v>0.10755423414747196</v>
      </c>
      <c r="T571">
        <v>1.0511917474384529</v>
      </c>
      <c r="U571">
        <v>0</v>
      </c>
      <c r="V571">
        <v>0.21238476255638075</v>
      </c>
      <c r="W571">
        <v>8.0908775779050784E-2</v>
      </c>
      <c r="X571">
        <v>3.0633298599150403E-2</v>
      </c>
      <c r="Y571">
        <v>3.5297735521783451E-3</v>
      </c>
    </row>
    <row r="572" spans="1:25" x14ac:dyDescent="0.25">
      <c r="A572" s="1095"/>
      <c r="B572" s="1454">
        <v>322</v>
      </c>
      <c r="C572" s="1099">
        <v>0.99593786016111074</v>
      </c>
      <c r="D572" s="1099">
        <v>1.0146227500770271</v>
      </c>
      <c r="E572" s="1099">
        <v>0.9720578266854677</v>
      </c>
      <c r="F572" s="1099">
        <v>0.99693935041180914</v>
      </c>
      <c r="G572" s="1099">
        <v>0.96314560207318911</v>
      </c>
      <c r="H572" s="1099">
        <v>1.0037309698093877</v>
      </c>
      <c r="I572" s="1099">
        <v>0.98421236444674398</v>
      </c>
      <c r="K572">
        <v>1.7248074109174159</v>
      </c>
      <c r="L572">
        <v>0</v>
      </c>
      <c r="M572">
        <v>1.4551662584327836E-3</v>
      </c>
      <c r="N572">
        <v>0.12301108388731223</v>
      </c>
      <c r="O572">
        <v>0.1267010742284457</v>
      </c>
      <c r="P572">
        <v>1.7920032075018848E-2</v>
      </c>
      <c r="Q572">
        <v>8.7142666745137533E-4</v>
      </c>
      <c r="R572">
        <v>1.4514145767417644E-3</v>
      </c>
      <c r="S572">
        <v>0.10591237673554477</v>
      </c>
      <c r="T572">
        <v>1.0287392415999801</v>
      </c>
      <c r="U572">
        <v>0</v>
      </c>
      <c r="V572">
        <v>0.20709143985537684</v>
      </c>
      <c r="W572">
        <v>8.2178351765902199E-2</v>
      </c>
      <c r="X572">
        <v>2.8435863764870832E-2</v>
      </c>
      <c r="Y572">
        <v>3.9502720192044474E-3</v>
      </c>
    </row>
    <row r="573" spans="1:25" x14ac:dyDescent="0.25">
      <c r="A573" s="1095"/>
      <c r="B573" s="1454">
        <v>323</v>
      </c>
      <c r="C573" s="1099">
        <v>0.98433483646570175</v>
      </c>
      <c r="D573" s="1099">
        <v>1.0001606376046099</v>
      </c>
      <c r="E573" s="1099">
        <v>0.99237357038453955</v>
      </c>
      <c r="F573" s="1099">
        <v>0.99676346257746151</v>
      </c>
      <c r="G573" s="1099">
        <v>0.99819267480574259</v>
      </c>
      <c r="H573" s="1099">
        <v>1.0067026971022703</v>
      </c>
      <c r="I573" s="1099">
        <v>1.0008704115237423</v>
      </c>
      <c r="K573">
        <v>1.741763388405869</v>
      </c>
      <c r="L573">
        <v>0</v>
      </c>
      <c r="M573">
        <v>1.4264908047108562E-3</v>
      </c>
      <c r="N573">
        <v>0.12823215012476274</v>
      </c>
      <c r="O573">
        <v>0.12803054232434538</v>
      </c>
      <c r="P573">
        <v>1.8287480489817331E-2</v>
      </c>
      <c r="Q573">
        <v>9.0583537631912865E-4</v>
      </c>
      <c r="R573">
        <v>1.4228301495420538E-3</v>
      </c>
      <c r="S573">
        <v>0.11012009727527508</v>
      </c>
      <c r="T573">
        <v>1.0279450256164266</v>
      </c>
      <c r="U573">
        <v>0</v>
      </c>
      <c r="V573">
        <v>0.21026122007294754</v>
      </c>
      <c r="W573">
        <v>8.4623666337769396E-2</v>
      </c>
      <c r="X573">
        <v>2.9488556812153198E-2</v>
      </c>
      <c r="Y573">
        <v>3.8724746312207288E-3</v>
      </c>
    </row>
    <row r="574" spans="1:25" x14ac:dyDescent="0.25">
      <c r="A574" s="1095"/>
      <c r="B574" s="1454">
        <v>324</v>
      </c>
      <c r="C574" s="1099">
        <v>1.0128892842202708</v>
      </c>
      <c r="D574" s="1099">
        <v>0.99241245806998624</v>
      </c>
      <c r="E574" s="1099">
        <v>1.0050834126524151</v>
      </c>
      <c r="F574" s="1099">
        <v>0.96807733135313578</v>
      </c>
      <c r="G574" s="1099">
        <v>0.98534992275942623</v>
      </c>
      <c r="H574" s="1099">
        <v>0.98905868353805149</v>
      </c>
      <c r="I574" s="1099">
        <v>0.96795196276729201</v>
      </c>
      <c r="K574">
        <v>1.6891184886445301</v>
      </c>
      <c r="L574">
        <v>0</v>
      </c>
      <c r="M574">
        <v>1.3324062222032625E-3</v>
      </c>
      <c r="N574">
        <v>0.12445840924512022</v>
      </c>
      <c r="O574">
        <v>0.12476858140562948</v>
      </c>
      <c r="P574">
        <v>1.7893351238968742E-2</v>
      </c>
      <c r="Q574">
        <v>8.947630505735727E-4</v>
      </c>
      <c r="R574">
        <v>1.3289305147923308E-3</v>
      </c>
      <c r="S574">
        <v>0.10282261316903449</v>
      </c>
      <c r="T574">
        <v>0.99799528176201691</v>
      </c>
      <c r="U574">
        <v>0</v>
      </c>
      <c r="V574">
        <v>0.20598747152448579</v>
      </c>
      <c r="W574">
        <v>8.1514556646926306E-2</v>
      </c>
      <c r="X574">
        <v>2.9170025529744525E-2</v>
      </c>
      <c r="Y574">
        <v>3.6169107794382597E-3</v>
      </c>
    </row>
    <row r="575" spans="1:25" x14ac:dyDescent="0.25">
      <c r="A575" s="1095"/>
      <c r="B575" s="1454">
        <v>325</v>
      </c>
      <c r="C575" s="1099">
        <v>1.0003076292672601</v>
      </c>
      <c r="D575" s="1099">
        <v>0.96901615110118355</v>
      </c>
      <c r="E575" s="1099">
        <v>0.97813896945944379</v>
      </c>
      <c r="F575" s="1099">
        <v>1.0023255813621843</v>
      </c>
      <c r="G575" s="1099">
        <v>0.9997438585697197</v>
      </c>
      <c r="H575" s="1099">
        <v>1.0140762046173764</v>
      </c>
      <c r="I575" s="1099">
        <v>1.0293186595369916</v>
      </c>
      <c r="K575">
        <v>1.7530740518640404</v>
      </c>
      <c r="L575">
        <v>0</v>
      </c>
      <c r="M575">
        <v>1.4863460765598708E-3</v>
      </c>
      <c r="N575">
        <v>0.12798739240421048</v>
      </c>
      <c r="O575">
        <v>0.12901549688204234</v>
      </c>
      <c r="P575">
        <v>1.8229271342375331E-2</v>
      </c>
      <c r="Q575">
        <v>8.8939327840372958E-4</v>
      </c>
      <c r="R575">
        <v>1.4825889369658176E-3</v>
      </c>
      <c r="S575">
        <v>0.11428907495310363</v>
      </c>
      <c r="T575">
        <v>1.0341115527440738</v>
      </c>
      <c r="U575">
        <v>0</v>
      </c>
      <c r="V575">
        <v>0.21017380134117652</v>
      </c>
      <c r="W575">
        <v>8.5188203144362803E-2</v>
      </c>
      <c r="X575">
        <v>2.9158504562777323E-2</v>
      </c>
      <c r="Y575">
        <v>4.0351183511092353E-3</v>
      </c>
    </row>
    <row r="576" spans="1:25" x14ac:dyDescent="0.25">
      <c r="A576" s="1095"/>
      <c r="B576" s="1454">
        <v>326</v>
      </c>
      <c r="C576" s="1099">
        <v>0.95375244878775733</v>
      </c>
      <c r="D576" s="1099">
        <v>0.98951845333959954</v>
      </c>
      <c r="E576" s="1099">
        <v>0.99989097074691569</v>
      </c>
      <c r="F576" s="1099">
        <v>0.98461476220273392</v>
      </c>
      <c r="G576" s="1099">
        <v>1.0361804562786596</v>
      </c>
      <c r="H576" s="1099">
        <v>1.0272039166757498</v>
      </c>
      <c r="I576" s="1099">
        <v>1.0244671829394558</v>
      </c>
      <c r="K576">
        <v>1.7566755789350408</v>
      </c>
      <c r="L576">
        <v>0</v>
      </c>
      <c r="M576">
        <v>1.4826004595423095E-3</v>
      </c>
      <c r="N576">
        <v>0.13634484661364504</v>
      </c>
      <c r="O576">
        <v>0.12925578240584654</v>
      </c>
      <c r="P576">
        <v>1.8387576691496918E-2</v>
      </c>
      <c r="Q576">
        <v>9.4625181313262444E-4</v>
      </c>
      <c r="R576">
        <v>1.478864894449835E-3</v>
      </c>
      <c r="S576">
        <v>0.11836369260028151</v>
      </c>
      <c r="T576">
        <v>1.0151953960484734</v>
      </c>
      <c r="U576">
        <v>0</v>
      </c>
      <c r="V576">
        <v>0.21453273283405253</v>
      </c>
      <c r="W576">
        <v>8.9575100242537606E-2</v>
      </c>
      <c r="X576">
        <v>3.0052952515656102E-2</v>
      </c>
      <c r="Y576">
        <v>4.0249827350110163E-3</v>
      </c>
    </row>
    <row r="577" spans="1:25" x14ac:dyDescent="0.25">
      <c r="A577" s="1095"/>
      <c r="B577" s="1454">
        <v>327</v>
      </c>
      <c r="C577" s="1099">
        <v>0.99183728222665923</v>
      </c>
      <c r="D577" s="1099">
        <v>1.013595929098366</v>
      </c>
      <c r="E577" s="1099">
        <v>0.98648920348378566</v>
      </c>
      <c r="F577" s="1099">
        <v>1.0314860389420251</v>
      </c>
      <c r="G577" s="1099">
        <v>1.0007699578031353</v>
      </c>
      <c r="H577" s="1099">
        <v>1.0071741464108139</v>
      </c>
      <c r="I577" s="1099">
        <v>0.99301020544590801</v>
      </c>
      <c r="K577">
        <v>1.775167862496484</v>
      </c>
      <c r="L577">
        <v>0</v>
      </c>
      <c r="M577">
        <v>1.4275903222130337E-3</v>
      </c>
      <c r="N577">
        <v>0.12606843896291725</v>
      </c>
      <c r="O577">
        <v>0.12961891823847396</v>
      </c>
      <c r="P577">
        <v>1.8673014138450766E-2</v>
      </c>
      <c r="Q577">
        <v>8.8872843522731077E-4</v>
      </c>
      <c r="R577">
        <v>1.4239323917773238E-3</v>
      </c>
      <c r="S577">
        <v>0.10781064003666888</v>
      </c>
      <c r="T577">
        <v>1.0639361656339237</v>
      </c>
      <c r="U577">
        <v>0</v>
      </c>
      <c r="V577">
        <v>0.21112497413400658</v>
      </c>
      <c r="W577">
        <v>8.3489701343271244E-2</v>
      </c>
      <c r="X577">
        <v>2.96854649327483E-2</v>
      </c>
      <c r="Y577">
        <v>3.8754745712310792E-3</v>
      </c>
    </row>
    <row r="578" spans="1:25" x14ac:dyDescent="0.25">
      <c r="A578" s="1095"/>
      <c r="B578" s="1454">
        <v>328</v>
      </c>
      <c r="C578" s="1099">
        <v>1.0451653019704072</v>
      </c>
      <c r="D578" s="1099">
        <v>1.0144128332280313</v>
      </c>
      <c r="E578" s="1099">
        <v>1.005654849029046</v>
      </c>
      <c r="F578" s="1099">
        <v>0.96896953178474998</v>
      </c>
      <c r="G578" s="1099">
        <v>1.0216214098193013</v>
      </c>
      <c r="H578" s="1099">
        <v>1.0102547142288787</v>
      </c>
      <c r="I578" s="1099">
        <v>1.0454130220583202</v>
      </c>
      <c r="K578">
        <v>1.6866375303861336</v>
      </c>
      <c r="L578">
        <v>0</v>
      </c>
      <c r="M578">
        <v>1.3039811424297768E-3</v>
      </c>
      <c r="N578">
        <v>0.12201988556223256</v>
      </c>
      <c r="O578">
        <v>0.12230135890308722</v>
      </c>
      <c r="P578">
        <v>1.7962728461793861E-2</v>
      </c>
      <c r="Q578">
        <v>8.6006761482042412E-4</v>
      </c>
      <c r="R578">
        <v>1.3006461413361742E-3</v>
      </c>
      <c r="S578">
        <v>0.10782928139157436</v>
      </c>
      <c r="T578">
        <v>0.99889868367540047</v>
      </c>
      <c r="U578">
        <v>0</v>
      </c>
      <c r="V578">
        <v>0.20458649565650025</v>
      </c>
      <c r="W578">
        <v>7.9890412262644331E-2</v>
      </c>
      <c r="X578">
        <v>2.8752021820341481E-2</v>
      </c>
      <c r="Y578">
        <v>3.539930038831806E-3</v>
      </c>
    </row>
    <row r="579" spans="1:25" x14ac:dyDescent="0.25">
      <c r="A579" s="1095"/>
      <c r="B579" s="1454">
        <v>329</v>
      </c>
      <c r="C579" s="1099">
        <v>1.0385741106540631</v>
      </c>
      <c r="D579" s="1099">
        <v>0.99237435125074336</v>
      </c>
      <c r="E579" s="1099">
        <v>0.99843493443187825</v>
      </c>
      <c r="F579" s="1099">
        <v>0.99351257316042052</v>
      </c>
      <c r="G579" s="1099">
        <v>1.0282101763919576</v>
      </c>
      <c r="H579" s="1099">
        <v>1.0052505115122479</v>
      </c>
      <c r="I579" s="1099">
        <v>1.0398342553045257</v>
      </c>
      <c r="K579">
        <v>1.7223668519170234</v>
      </c>
      <c r="L579">
        <v>0</v>
      </c>
      <c r="M579">
        <v>1.3449410896016589E-3</v>
      </c>
      <c r="N579">
        <v>0.1231378840826659</v>
      </c>
      <c r="O579">
        <v>0.12541302578066402</v>
      </c>
      <c r="P579">
        <v>1.8269257208071994E-2</v>
      </c>
      <c r="Q579">
        <v>8.6665915793810626E-4</v>
      </c>
      <c r="R579">
        <v>1.3415042018936722E-3</v>
      </c>
      <c r="S579">
        <v>0.10916087810157078</v>
      </c>
      <c r="T579">
        <v>1.0244125981834562</v>
      </c>
      <c r="U579">
        <v>0</v>
      </c>
      <c r="V579">
        <v>0.2073089350352757</v>
      </c>
      <c r="W579">
        <v>8.096854660243652E-2</v>
      </c>
      <c r="X579">
        <v>2.9181372441838771E-2</v>
      </c>
      <c r="Y579">
        <v>3.6511322108132723E-3</v>
      </c>
    </row>
    <row r="580" spans="1:25" x14ac:dyDescent="0.25">
      <c r="A580" s="1095"/>
      <c r="B580" s="1454">
        <v>330</v>
      </c>
      <c r="C580" s="1099">
        <v>0.97651007289209035</v>
      </c>
      <c r="D580" s="1099">
        <v>0.98582907030334277</v>
      </c>
      <c r="E580" s="1099">
        <v>1.008892048710383</v>
      </c>
      <c r="F580" s="1099">
        <v>1.0398163558695799</v>
      </c>
      <c r="G580" s="1099">
        <v>0.99406162733086023</v>
      </c>
      <c r="H580" s="1099">
        <v>1.0343785066878133</v>
      </c>
      <c r="I580" s="1099">
        <v>1.0303956506244474</v>
      </c>
      <c r="K580">
        <v>1.8164291994700632</v>
      </c>
      <c r="L580">
        <v>0</v>
      </c>
      <c r="M580">
        <v>1.4442263331873979E-3</v>
      </c>
      <c r="N580">
        <v>0.13648099494359225</v>
      </c>
      <c r="O580">
        <v>0.13247457460374409</v>
      </c>
      <c r="P580">
        <v>1.9264077402154363E-2</v>
      </c>
      <c r="Q580">
        <v>9.3423924391135358E-4</v>
      </c>
      <c r="R580">
        <v>1.4406400057184101E-3</v>
      </c>
      <c r="S580">
        <v>0.11761842724438162</v>
      </c>
      <c r="T580">
        <v>1.0718344609405812</v>
      </c>
      <c r="U580">
        <v>0</v>
      </c>
      <c r="V580">
        <v>0.21349407708607659</v>
      </c>
      <c r="W580">
        <v>8.9187793715514552E-2</v>
      </c>
      <c r="X580">
        <v>3.1223193428858424E-2</v>
      </c>
      <c r="Y580">
        <v>3.9209471887152606E-3</v>
      </c>
    </row>
    <row r="581" spans="1:25" x14ac:dyDescent="0.25">
      <c r="A581" s="1095"/>
      <c r="B581" s="1454">
        <v>331</v>
      </c>
      <c r="C581" s="1099">
        <v>1.0121587782161927</v>
      </c>
      <c r="D581" s="1099">
        <v>1.0226400641316646</v>
      </c>
      <c r="E581" s="1099">
        <v>1.0292317604470085</v>
      </c>
      <c r="F581" s="1099">
        <v>1.0182361467889336</v>
      </c>
      <c r="G581" s="1099">
        <v>1.0261750639426281</v>
      </c>
      <c r="H581" s="1099">
        <v>1.0133180727883107</v>
      </c>
      <c r="I581" s="1099">
        <v>1.0111210575661103</v>
      </c>
      <c r="K581">
        <v>1.7598846490079052</v>
      </c>
      <c r="L581">
        <v>0</v>
      </c>
      <c r="M581">
        <v>1.2818441202481052E-3</v>
      </c>
      <c r="N581">
        <v>0.12879337939984342</v>
      </c>
      <c r="O581">
        <v>0.12733743846749518</v>
      </c>
      <c r="P581">
        <v>1.9043070549425899E-2</v>
      </c>
      <c r="Q581">
        <v>9.0695141020599506E-4</v>
      </c>
      <c r="R581">
        <v>1.2785757380567534E-3</v>
      </c>
      <c r="S581">
        <v>0.10751824787441634</v>
      </c>
      <c r="T581">
        <v>1.0489858000791443</v>
      </c>
      <c r="U581">
        <v>0</v>
      </c>
      <c r="V581">
        <v>0.2098160954216125</v>
      </c>
      <c r="W581">
        <v>8.3167735037873794E-2</v>
      </c>
      <c r="X581">
        <v>3.0839337473466052E-2</v>
      </c>
      <c r="Y581">
        <v>3.479861676611708E-3</v>
      </c>
    </row>
    <row r="582" spans="1:25" x14ac:dyDescent="0.25">
      <c r="A582" s="1095"/>
      <c r="B582" s="1454">
        <v>332</v>
      </c>
      <c r="C582" s="1099">
        <v>0.98635912117348634</v>
      </c>
      <c r="D582" s="1099">
        <v>0.986043308454984</v>
      </c>
      <c r="E582" s="1099">
        <v>0.98722409158211644</v>
      </c>
      <c r="F582" s="1099">
        <v>0.9954573096642545</v>
      </c>
      <c r="G582" s="1099">
        <v>1.0198208724838662</v>
      </c>
      <c r="H582" s="1099">
        <v>0.96383099392439464</v>
      </c>
      <c r="I582" s="1099">
        <v>0.98948611994779656</v>
      </c>
      <c r="K582">
        <v>1.7297294939577212</v>
      </c>
      <c r="L582">
        <v>0</v>
      </c>
      <c r="M582">
        <v>1.3891670314451967E-3</v>
      </c>
      <c r="N582">
        <v>0.12293461579222252</v>
      </c>
      <c r="O582">
        <v>0.12845277036236608</v>
      </c>
      <c r="P582">
        <v>1.8169045841190248E-2</v>
      </c>
      <c r="Q582">
        <v>9.0426395675729458E-4</v>
      </c>
      <c r="R582">
        <v>1.3854536660694256E-3</v>
      </c>
      <c r="S582">
        <v>0.10657065238321449</v>
      </c>
      <c r="T582">
        <v>1.0267519539329497</v>
      </c>
      <c r="U582">
        <v>0</v>
      </c>
      <c r="V582">
        <v>0.21147595496748836</v>
      </c>
      <c r="W582">
        <v>8.1378381743442543E-2</v>
      </c>
      <c r="X582">
        <v>2.9324820179100954E-2</v>
      </c>
      <c r="Y582">
        <v>3.7707481643627005E-3</v>
      </c>
    </row>
    <row r="583" spans="1:25" x14ac:dyDescent="0.25">
      <c r="A583" s="1095"/>
      <c r="B583" s="1454">
        <v>333</v>
      </c>
      <c r="C583" s="1099">
        <v>1.0045926679540662</v>
      </c>
      <c r="D583" s="1099">
        <v>1.0038081823814964</v>
      </c>
      <c r="E583" s="1099">
        <v>1.0020519418625884</v>
      </c>
      <c r="F583" s="1099">
        <v>0.96712170225922989</v>
      </c>
      <c r="G583" s="1099">
        <v>0.99855715383265742</v>
      </c>
      <c r="H583" s="1099">
        <v>0.97943364486538009</v>
      </c>
      <c r="I583" s="1099">
        <v>1.0291968475742392</v>
      </c>
      <c r="K583">
        <v>1.6924694831062141</v>
      </c>
      <c r="L583">
        <v>0</v>
      </c>
      <c r="M583">
        <v>1.3287567467944877E-3</v>
      </c>
      <c r="N583">
        <v>0.12298213418171099</v>
      </c>
      <c r="O583">
        <v>0.12458951046583468</v>
      </c>
      <c r="P583">
        <v>1.7934001996781496E-2</v>
      </c>
      <c r="Q583">
        <v>8.9522909569027731E-4</v>
      </c>
      <c r="R583">
        <v>1.3252462853179754E-3</v>
      </c>
      <c r="S583">
        <v>0.10871180954815247</v>
      </c>
      <c r="T583">
        <v>0.99709696176762419</v>
      </c>
      <c r="U583">
        <v>0</v>
      </c>
      <c r="V583">
        <v>0.20691805391493787</v>
      </c>
      <c r="W583">
        <v>8.0692512152881354E-2</v>
      </c>
      <c r="X583">
        <v>2.9045896922762118E-2</v>
      </c>
      <c r="Y583">
        <v>3.6068835213149846E-3</v>
      </c>
    </row>
    <row r="584" spans="1:25" x14ac:dyDescent="0.25">
      <c r="A584" s="1095"/>
      <c r="B584" s="1454">
        <v>334</v>
      </c>
      <c r="C584" s="1099">
        <v>0.99562118087930529</v>
      </c>
      <c r="D584" s="1099">
        <v>1.0100594264452207</v>
      </c>
      <c r="E584" s="1099">
        <v>1.0054472253806064</v>
      </c>
      <c r="F584" s="1099">
        <v>1.0052529361685734</v>
      </c>
      <c r="G584" s="1099">
        <v>1.008172951620393</v>
      </c>
      <c r="H584" s="1099">
        <v>0.9636588727004487</v>
      </c>
      <c r="I584" s="1099">
        <v>0.98595763419482485</v>
      </c>
      <c r="K584">
        <v>1.7330230635669226</v>
      </c>
      <c r="L584">
        <v>0</v>
      </c>
      <c r="M584">
        <v>1.3085189426376227E-3</v>
      </c>
      <c r="N584">
        <v>0.12235258036696413</v>
      </c>
      <c r="O584">
        <v>0.12768334260090819</v>
      </c>
      <c r="P584">
        <v>1.8490343084046363E-2</v>
      </c>
      <c r="Q584">
        <v>9.0422677326092897E-4</v>
      </c>
      <c r="R584">
        <v>1.3050104452248267E-3</v>
      </c>
      <c r="S584">
        <v>0.10377733572566208</v>
      </c>
      <c r="T584">
        <v>1.0363089656460305</v>
      </c>
      <c r="U584">
        <v>0</v>
      </c>
      <c r="V584">
        <v>0.20995748752707433</v>
      </c>
      <c r="W584">
        <v>8.0118081206713973E-2</v>
      </c>
      <c r="X584">
        <v>2.9882400898347795E-2</v>
      </c>
      <c r="Y584">
        <v>3.5518082353243286E-3</v>
      </c>
    </row>
    <row r="585" spans="1:25" x14ac:dyDescent="0.25">
      <c r="A585" s="1095"/>
      <c r="B585" s="1454">
        <v>335</v>
      </c>
      <c r="C585" s="1099">
        <v>0.97964191284926283</v>
      </c>
      <c r="D585" s="1099">
        <v>0.97674454952768719</v>
      </c>
      <c r="E585" s="1099">
        <v>0.95608665015774874</v>
      </c>
      <c r="F585" s="1099">
        <v>1.0031059367465056</v>
      </c>
      <c r="G585" s="1099">
        <v>1.0046074828173304</v>
      </c>
      <c r="H585" s="1099">
        <v>0.97627605369830417</v>
      </c>
      <c r="I585" s="1099">
        <v>1.0139043518829314</v>
      </c>
      <c r="K585">
        <v>1.7449827344210638</v>
      </c>
      <c r="L585">
        <v>0</v>
      </c>
      <c r="M585">
        <v>1.5194124532818963E-3</v>
      </c>
      <c r="N585">
        <v>0.12236910466035701</v>
      </c>
      <c r="O585">
        <v>0.12971151950246007</v>
      </c>
      <c r="P585">
        <v>1.7928280925418396E-2</v>
      </c>
      <c r="Q585">
        <v>8.8445144970909903E-4</v>
      </c>
      <c r="R585">
        <v>1.5154101869030876E-3</v>
      </c>
      <c r="S585">
        <v>0.11145653866601792</v>
      </c>
      <c r="T585">
        <v>1.0355959921644649</v>
      </c>
      <c r="U585">
        <v>0</v>
      </c>
      <c r="V585">
        <v>0.21193050891607948</v>
      </c>
      <c r="W585">
        <v>8.2551796703991098E-2</v>
      </c>
      <c r="X585">
        <v>2.8434096725026899E-2</v>
      </c>
      <c r="Y585">
        <v>4.1244469739163516E-3</v>
      </c>
    </row>
    <row r="586" spans="1:25" x14ac:dyDescent="0.25">
      <c r="A586" s="1095"/>
      <c r="B586" s="1454">
        <v>336</v>
      </c>
      <c r="C586" s="1099">
        <v>0.98235772845025249</v>
      </c>
      <c r="D586" s="1099">
        <v>1.0411388870803875</v>
      </c>
      <c r="E586" s="1099">
        <v>0.98123112905245635</v>
      </c>
      <c r="F586" s="1099">
        <v>1.0252388211048933</v>
      </c>
      <c r="G586" s="1099">
        <v>0.99699647109780709</v>
      </c>
      <c r="H586" s="1099">
        <v>1.0054716932295031</v>
      </c>
      <c r="I586" s="1099">
        <v>0.97957256172688234</v>
      </c>
      <c r="K586">
        <v>1.7613705025204904</v>
      </c>
      <c r="L586">
        <v>0</v>
      </c>
      <c r="M586">
        <v>1.4299864445406173E-3</v>
      </c>
      <c r="N586">
        <v>0.12428489647717804</v>
      </c>
      <c r="O586">
        <v>0.12838763284675983</v>
      </c>
      <c r="P586">
        <v>1.8475066037878147E-2</v>
      </c>
      <c r="Q586">
        <v>8.8286484475768679E-4</v>
      </c>
      <c r="R586">
        <v>1.4262926436634383E-3</v>
      </c>
      <c r="S586">
        <v>0.1053993894836639</v>
      </c>
      <c r="T586">
        <v>1.0576552596611375</v>
      </c>
      <c r="U586">
        <v>0</v>
      </c>
      <c r="V586">
        <v>0.21061432739281657</v>
      </c>
      <c r="W586">
        <v>8.2569478190785348E-2</v>
      </c>
      <c r="X586">
        <v>2.9223382987583819E-2</v>
      </c>
      <c r="Y586">
        <v>3.8818983988082568E-3</v>
      </c>
    </row>
    <row r="587" spans="1:25" x14ac:dyDescent="0.25">
      <c r="A587" s="1095"/>
      <c r="B587" s="1454">
        <v>337</v>
      </c>
      <c r="C587" s="1099">
        <v>1.0125605580277388</v>
      </c>
      <c r="D587" s="1099">
        <v>1.0229532329160795</v>
      </c>
      <c r="E587" s="1099">
        <v>0.97435663718085719</v>
      </c>
      <c r="F587" s="1099">
        <v>1.0143288294607846</v>
      </c>
      <c r="G587" s="1099">
        <v>1.0300486380830123</v>
      </c>
      <c r="H587" s="1099">
        <v>0.99759916368034351</v>
      </c>
      <c r="I587" s="1099">
        <v>1.0180307691918751</v>
      </c>
      <c r="K587">
        <v>1.742037950679473</v>
      </c>
      <c r="L587">
        <v>0</v>
      </c>
      <c r="M587">
        <v>1.412911674393281E-3</v>
      </c>
      <c r="N587">
        <v>0.12027167064031247</v>
      </c>
      <c r="O587">
        <v>0.12678646338945143</v>
      </c>
      <c r="P587">
        <v>1.8238516686068362E-2</v>
      </c>
      <c r="Q587">
        <v>8.5639012258808655E-4</v>
      </c>
      <c r="R587">
        <v>1.4092510548026345E-3</v>
      </c>
      <c r="S587">
        <v>0.10698178539221541</v>
      </c>
      <c r="T587">
        <v>1.0466122198252534</v>
      </c>
      <c r="U587">
        <v>0</v>
      </c>
      <c r="V587">
        <v>0.20959916047658492</v>
      </c>
      <c r="W587">
        <v>8.023621519984564E-2</v>
      </c>
      <c r="X587">
        <v>2.862367275505558E-2</v>
      </c>
      <c r="Y587">
        <v>3.8355168116874084E-3</v>
      </c>
    </row>
    <row r="588" spans="1:25" x14ac:dyDescent="0.25">
      <c r="A588" s="1095"/>
      <c r="B588" s="1454">
        <v>338</v>
      </c>
      <c r="C588" s="1099">
        <v>0.99269329687064767</v>
      </c>
      <c r="D588" s="1099">
        <v>1.0398944568831745</v>
      </c>
      <c r="E588" s="1099">
        <v>0.97853722998594272</v>
      </c>
      <c r="F588" s="1099">
        <v>0.9723958393884885</v>
      </c>
      <c r="G588" s="1099">
        <v>0.99633989979577653</v>
      </c>
      <c r="H588" s="1099">
        <v>0.96494130535191724</v>
      </c>
      <c r="I588" s="1099">
        <v>1.0162519979875919</v>
      </c>
      <c r="K588">
        <v>1.6850930325867328</v>
      </c>
      <c r="L588">
        <v>0</v>
      </c>
      <c r="M588">
        <v>1.361684056920969E-3</v>
      </c>
      <c r="N588">
        <v>0.11737394068685017</v>
      </c>
      <c r="O588">
        <v>0.12392366237036367</v>
      </c>
      <c r="P588">
        <v>1.765544048087642E-2</v>
      </c>
      <c r="Q588">
        <v>8.7162655232571893E-4</v>
      </c>
      <c r="R588">
        <v>1.3580065375406721E-3</v>
      </c>
      <c r="S588">
        <v>0.10520599897089554</v>
      </c>
      <c r="T588">
        <v>1.0032209094654538</v>
      </c>
      <c r="U588">
        <v>0</v>
      </c>
      <c r="V588">
        <v>0.20698431936875009</v>
      </c>
      <c r="W588">
        <v>7.8105097037452345E-2</v>
      </c>
      <c r="X588">
        <v>2.8059669044693578E-2</v>
      </c>
      <c r="Y588">
        <v>3.6960461284509228E-3</v>
      </c>
    </row>
    <row r="589" spans="1:25" x14ac:dyDescent="0.25">
      <c r="A589" s="1095"/>
      <c r="B589" s="1454">
        <v>339</v>
      </c>
      <c r="C589" s="1099">
        <v>1.0113126845473568</v>
      </c>
      <c r="D589" s="1099">
        <v>0.99287985160040615</v>
      </c>
      <c r="E589" s="1099">
        <v>0.99975383423241548</v>
      </c>
      <c r="F589" s="1099">
        <v>1.028331825646529</v>
      </c>
      <c r="G589" s="1099">
        <v>0.98568509008242922</v>
      </c>
      <c r="H589" s="1099">
        <v>1.0044397305903887</v>
      </c>
      <c r="I589" s="1099">
        <v>0.98880665948527691</v>
      </c>
      <c r="K589">
        <v>1.7687141242297986</v>
      </c>
      <c r="L589">
        <v>0</v>
      </c>
      <c r="M589">
        <v>1.376946032089004E-3</v>
      </c>
      <c r="N589">
        <v>0.12657147019550066</v>
      </c>
      <c r="O589">
        <v>0.12937995149326945</v>
      </c>
      <c r="P589">
        <v>1.8767395670904751E-2</v>
      </c>
      <c r="Q589">
        <v>8.9105817860860677E-4</v>
      </c>
      <c r="R589">
        <v>1.3734268564929185E-3</v>
      </c>
      <c r="S589">
        <v>0.10656776234809079</v>
      </c>
      <c r="T589">
        <v>1.060274437744557</v>
      </c>
      <c r="U589">
        <v>0</v>
      </c>
      <c r="V589">
        <v>0.20925067484484494</v>
      </c>
      <c r="W589">
        <v>8.3161019070775097E-2</v>
      </c>
      <c r="X589">
        <v>3.0115858705510593E-2</v>
      </c>
      <c r="Y589">
        <v>3.7380151533321616E-3</v>
      </c>
    </row>
    <row r="590" spans="1:25" x14ac:dyDescent="0.25">
      <c r="A590" s="1095"/>
      <c r="B590" s="1454">
        <v>340</v>
      </c>
      <c r="C590" s="1099">
        <v>0.99021829364718028</v>
      </c>
      <c r="D590" s="1099">
        <v>1.0109692754603219</v>
      </c>
      <c r="E590" s="1099">
        <v>1.0172180396063033</v>
      </c>
      <c r="F590" s="1099">
        <v>0.96803282857517381</v>
      </c>
      <c r="G590" s="1099">
        <v>0.9877818034738477</v>
      </c>
      <c r="H590" s="1099">
        <v>1.028767426464416</v>
      </c>
      <c r="I590" s="1099">
        <v>0.96833290600149013</v>
      </c>
      <c r="K590">
        <v>1.7076069521890105</v>
      </c>
      <c r="L590">
        <v>0</v>
      </c>
      <c r="M590">
        <v>1.3647793818760258E-3</v>
      </c>
      <c r="N590">
        <v>0.13225033771540179</v>
      </c>
      <c r="O590">
        <v>0.12513240562301806</v>
      </c>
      <c r="P590">
        <v>1.8122044146822818E-2</v>
      </c>
      <c r="Q590">
        <v>9.1992502879422963E-4</v>
      </c>
      <c r="R590">
        <v>1.3613382162721659E-3</v>
      </c>
      <c r="S590">
        <v>0.1066020686768705</v>
      </c>
      <c r="T590">
        <v>0.99760410065561567</v>
      </c>
      <c r="U590">
        <v>0</v>
      </c>
      <c r="V590">
        <v>0.20749040672012045</v>
      </c>
      <c r="W590">
        <v>8.6000885257783571E-2</v>
      </c>
      <c r="X590">
        <v>2.9783105670517313E-2</v>
      </c>
      <c r="Y590">
        <v>3.7051138596704502E-3</v>
      </c>
    </row>
    <row r="591" spans="1:25" x14ac:dyDescent="0.25">
      <c r="A591" s="1095"/>
      <c r="B591" s="1454">
        <v>341</v>
      </c>
      <c r="C591" s="1099">
        <v>0.99692467357722159</v>
      </c>
      <c r="D591" s="1099">
        <v>1.0212205489784063</v>
      </c>
      <c r="E591" s="1099">
        <v>0.98411634387747726</v>
      </c>
      <c r="F591" s="1099">
        <v>1.0321185065540086</v>
      </c>
      <c r="G591" s="1099">
        <v>1.0090260752897662</v>
      </c>
      <c r="H591" s="1099">
        <v>1.0293747081845908</v>
      </c>
      <c r="I591" s="1099">
        <v>0.98614913119909142</v>
      </c>
      <c r="K591">
        <v>1.7770103999205238</v>
      </c>
      <c r="L591">
        <v>0</v>
      </c>
      <c r="M591">
        <v>1.4529662075620068E-3</v>
      </c>
      <c r="N591">
        <v>0.12739855338954434</v>
      </c>
      <c r="O591">
        <v>0.12903718371293552</v>
      </c>
      <c r="P591">
        <v>1.8642912009350737E-2</v>
      </c>
      <c r="Q591">
        <v>8.7936347158228394E-4</v>
      </c>
      <c r="R591">
        <v>1.4493199751825761E-3</v>
      </c>
      <c r="S591">
        <v>0.10757225789463024</v>
      </c>
      <c r="T591">
        <v>1.0646624072892132</v>
      </c>
      <c r="U591">
        <v>0</v>
      </c>
      <c r="V591">
        <v>0.21088685914368013</v>
      </c>
      <c r="W591">
        <v>8.4491043208753058E-2</v>
      </c>
      <c r="X591">
        <v>2.949889482896683E-2</v>
      </c>
      <c r="Y591">
        <v>3.9445712042455562E-3</v>
      </c>
    </row>
    <row r="592" spans="1:25" x14ac:dyDescent="0.25">
      <c r="A592" s="1095"/>
      <c r="B592" s="1454">
        <v>342</v>
      </c>
      <c r="C592" s="1099">
        <v>1.0348651061346974</v>
      </c>
      <c r="D592" s="1099">
        <v>0.96356676984156864</v>
      </c>
      <c r="E592" s="1099">
        <v>1.0337295723252209</v>
      </c>
      <c r="F592" s="1099">
        <v>1.0175671395974537</v>
      </c>
      <c r="G592" s="1099">
        <v>1.0252228569847777</v>
      </c>
      <c r="H592" s="1099">
        <v>0.98602147040867805</v>
      </c>
      <c r="I592" s="1099">
        <v>1.0327519109828545</v>
      </c>
      <c r="K592">
        <v>1.7610739925951959</v>
      </c>
      <c r="L592">
        <v>0</v>
      </c>
      <c r="M592">
        <v>1.2541061828291924E-3</v>
      </c>
      <c r="N592">
        <v>0.12772173235579834</v>
      </c>
      <c r="O592">
        <v>0.12890093645603284</v>
      </c>
      <c r="P592">
        <v>1.9121529139322597E-2</v>
      </c>
      <c r="Q592">
        <v>9.1259282238968721E-4</v>
      </c>
      <c r="R592">
        <v>1.2508630641935392E-3</v>
      </c>
      <c r="S592">
        <v>0.10962391477474966</v>
      </c>
      <c r="T592">
        <v>1.0481648014504457</v>
      </c>
      <c r="U592">
        <v>0</v>
      </c>
      <c r="V592">
        <v>0.20969070793520672</v>
      </c>
      <c r="W592">
        <v>8.2260920510700511E-2</v>
      </c>
      <c r="X592">
        <v>3.1275663355347587E-2</v>
      </c>
      <c r="Y592">
        <v>3.4044369138365241E-3</v>
      </c>
    </row>
    <row r="593" spans="1:25" x14ac:dyDescent="0.25">
      <c r="A593" s="1095"/>
      <c r="B593" s="1454">
        <v>343</v>
      </c>
      <c r="C593" s="1099">
        <v>0.98982000083943089</v>
      </c>
      <c r="D593" s="1099">
        <v>1.0001487339914374</v>
      </c>
      <c r="E593" s="1099">
        <v>0.99919435664048928</v>
      </c>
      <c r="F593" s="1099">
        <v>0.99503651418025407</v>
      </c>
      <c r="G593" s="1099">
        <v>0.99118622403316148</v>
      </c>
      <c r="H593" s="1099">
        <v>1.0212693705212632</v>
      </c>
      <c r="I593" s="1099">
        <v>0.99738688163378408</v>
      </c>
      <c r="K593">
        <v>1.7418049891677059</v>
      </c>
      <c r="L593">
        <v>0</v>
      </c>
      <c r="M593">
        <v>1.4193635157578397E-3</v>
      </c>
      <c r="N593">
        <v>0.13025373263283688</v>
      </c>
      <c r="O593">
        <v>0.12763759028566446</v>
      </c>
      <c r="P593">
        <v>1.834294823681664E-2</v>
      </c>
      <c r="Q593">
        <v>9.0722736594859579E-4</v>
      </c>
      <c r="R593">
        <v>1.4157742387275699E-3</v>
      </c>
      <c r="S593">
        <v>0.1101878770125871</v>
      </c>
      <c r="T593">
        <v>1.0259614466064357</v>
      </c>
      <c r="U593">
        <v>0</v>
      </c>
      <c r="V593">
        <v>0.2093770710749159</v>
      </c>
      <c r="W593">
        <v>8.5608843134250101E-2</v>
      </c>
      <c r="X593">
        <v>2.9678571327317192E-2</v>
      </c>
      <c r="Y593">
        <v>3.8532707679640814E-3</v>
      </c>
    </row>
    <row r="594" spans="1:25" x14ac:dyDescent="0.25">
      <c r="A594" s="1095"/>
      <c r="B594" s="1454">
        <v>344</v>
      </c>
      <c r="C594" s="1099">
        <v>0.97277551145517949</v>
      </c>
      <c r="D594" s="1099">
        <v>1.0061330289665591</v>
      </c>
      <c r="E594" s="1099">
        <v>1.0199593166136072</v>
      </c>
      <c r="F594" s="1099">
        <v>0.98341142231739298</v>
      </c>
      <c r="G594" s="1099">
        <v>1.0118648683136451</v>
      </c>
      <c r="H594" s="1099">
        <v>0.97358544259857693</v>
      </c>
      <c r="I594" s="1099">
        <v>1.0244780736596133</v>
      </c>
      <c r="K594">
        <v>1.7276170374681847</v>
      </c>
      <c r="L594">
        <v>0</v>
      </c>
      <c r="M594">
        <v>1.3107772160276475E-3</v>
      </c>
      <c r="N594">
        <v>0.12805419357136863</v>
      </c>
      <c r="O594">
        <v>0.12745351830848994</v>
      </c>
      <c r="P594">
        <v>1.8489652589993442E-2</v>
      </c>
      <c r="Q594">
        <v>9.4086210570189688E-4</v>
      </c>
      <c r="R594">
        <v>1.3072875781379395E-3</v>
      </c>
      <c r="S594">
        <v>0.11110866146550201</v>
      </c>
      <c r="T594">
        <v>1.0133738257061364</v>
      </c>
      <c r="U594">
        <v>0</v>
      </c>
      <c r="V594">
        <v>0.21113173306122876</v>
      </c>
      <c r="W594">
        <v>8.3138588248126755E-2</v>
      </c>
      <c r="X594">
        <v>3.0371486209069223E-2</v>
      </c>
      <c r="Y594">
        <v>3.5580058404571569E-3</v>
      </c>
    </row>
    <row r="595" spans="1:25" x14ac:dyDescent="0.25">
      <c r="A595" s="1095"/>
      <c r="B595" s="1454">
        <v>345</v>
      </c>
      <c r="C595" s="1099">
        <v>0.97751866110513586</v>
      </c>
      <c r="D595" s="1099">
        <v>1.0061600248939875</v>
      </c>
      <c r="E595" s="1099">
        <v>0.96777824515910127</v>
      </c>
      <c r="F595" s="1099">
        <v>1.0034093776179078</v>
      </c>
      <c r="G595" s="1099">
        <v>1.0163086158237591</v>
      </c>
      <c r="H595" s="1099">
        <v>1.0092727514379016</v>
      </c>
      <c r="I595" s="1099">
        <v>0.97241727316474946</v>
      </c>
      <c r="K595">
        <v>1.7454370215037991</v>
      </c>
      <c r="L595">
        <v>0</v>
      </c>
      <c r="M595">
        <v>1.5099226653920896E-3</v>
      </c>
      <c r="N595">
        <v>0.12599853134879219</v>
      </c>
      <c r="O595">
        <v>0.12852151264333125</v>
      </c>
      <c r="P595">
        <v>1.8035824668005501E-2</v>
      </c>
      <c r="Q595">
        <v>8.868185759974683E-4</v>
      </c>
      <c r="R595">
        <v>1.5060534301060717E-3</v>
      </c>
      <c r="S595">
        <v>0.10747392271895063</v>
      </c>
      <c r="T595">
        <v>1.0355471598114188</v>
      </c>
      <c r="U595">
        <v>0</v>
      </c>
      <c r="V595">
        <v>0.21182764846252014</v>
      </c>
      <c r="W595">
        <v>8.4393683629454402E-2</v>
      </c>
      <c r="X595">
        <v>2.8656807914244041E-2</v>
      </c>
      <c r="Y595">
        <v>4.098980966368921E-3</v>
      </c>
    </row>
    <row r="596" spans="1:25" x14ac:dyDescent="0.25">
      <c r="A596" s="1095"/>
      <c r="B596" s="1454">
        <v>346</v>
      </c>
      <c r="C596" s="1099">
        <v>1.0119739288695542</v>
      </c>
      <c r="D596" s="1099">
        <v>1.0313816343093347</v>
      </c>
      <c r="E596" s="1099">
        <v>0.99069831591084245</v>
      </c>
      <c r="F596" s="1099">
        <v>1.0039960244478363</v>
      </c>
      <c r="G596" s="1099">
        <v>0.96866333560340667</v>
      </c>
      <c r="H596" s="1099">
        <v>1.009174888746589</v>
      </c>
      <c r="I596" s="1099">
        <v>1.0004058017051962</v>
      </c>
      <c r="K596">
        <v>1.7285535330470438</v>
      </c>
      <c r="L596">
        <v>0</v>
      </c>
      <c r="M596">
        <v>1.3746805783061409E-3</v>
      </c>
      <c r="N596">
        <v>0.12295034320757682</v>
      </c>
      <c r="O596">
        <v>0.12574252533045455</v>
      </c>
      <c r="P596">
        <v>1.8243962233268896E-2</v>
      </c>
      <c r="Q596">
        <v>8.6881079898332159E-4</v>
      </c>
      <c r="R596">
        <v>1.3711511881172511E-3</v>
      </c>
      <c r="S596">
        <v>0.10541065123443388</v>
      </c>
      <c r="T596">
        <v>1.0354542657152634</v>
      </c>
      <c r="U596">
        <v>0</v>
      </c>
      <c r="V596">
        <v>0.20595273051242741</v>
      </c>
      <c r="W596">
        <v>8.121943765043356E-2</v>
      </c>
      <c r="X596">
        <v>2.8982514220200969E-2</v>
      </c>
      <c r="Y596">
        <v>3.7318215341874718E-3</v>
      </c>
    </row>
    <row r="597" spans="1:25" x14ac:dyDescent="0.25">
      <c r="A597" s="1095"/>
      <c r="B597" s="1454">
        <v>347</v>
      </c>
      <c r="C597" s="1099">
        <v>1.0111156351346562</v>
      </c>
      <c r="D597" s="1099">
        <v>1.0019922587498724</v>
      </c>
      <c r="E597" s="1099">
        <v>1.0017118392898734</v>
      </c>
      <c r="F597" s="1099">
        <v>0.98745748361609409</v>
      </c>
      <c r="G597" s="1099">
        <v>0.97725361303534442</v>
      </c>
      <c r="H597" s="1099">
        <v>1.0018656750510559</v>
      </c>
      <c r="I597" s="1099">
        <v>0.99701548866719292</v>
      </c>
      <c r="K597">
        <v>1.7166589266335339</v>
      </c>
      <c r="L597">
        <v>0</v>
      </c>
      <c r="M597">
        <v>1.3560092288581035E-3</v>
      </c>
      <c r="N597">
        <v>0.12538390489674683</v>
      </c>
      <c r="O597">
        <v>0.12589252205283688</v>
      </c>
      <c r="P597">
        <v>1.8178844772423076E-2</v>
      </c>
      <c r="Q597">
        <v>8.8978468291914042E-4</v>
      </c>
      <c r="R597">
        <v>1.3525164232974843E-3</v>
      </c>
      <c r="S597">
        <v>0.10645192594502537</v>
      </c>
      <c r="T597">
        <v>1.0180730010130783</v>
      </c>
      <c r="U597">
        <v>0</v>
      </c>
      <c r="V597">
        <v>0.20646485735048825</v>
      </c>
      <c r="W597">
        <v>8.2284997333977136E-2</v>
      </c>
      <c r="X597">
        <v>2.9361477544302603E-2</v>
      </c>
      <c r="Y597">
        <v>3.6811038472966393E-3</v>
      </c>
    </row>
    <row r="598" spans="1:25" x14ac:dyDescent="0.25">
      <c r="A598" s="1095"/>
      <c r="B598" s="1454">
        <v>348</v>
      </c>
      <c r="C598" s="1099">
        <v>1.0430926847625093</v>
      </c>
      <c r="D598" s="1099">
        <v>1.0109206856333173</v>
      </c>
      <c r="E598" s="1099">
        <v>0.95546590078236904</v>
      </c>
      <c r="F598" s="1099">
        <v>0.99061063760608514</v>
      </c>
      <c r="G598" s="1099">
        <v>0.99841440419461547</v>
      </c>
      <c r="H598" s="1099">
        <v>0.9964025370395565</v>
      </c>
      <c r="I598" s="1099">
        <v>0.99834459169154932</v>
      </c>
      <c r="K598">
        <v>1.6966404915942155</v>
      </c>
      <c r="L598">
        <v>0</v>
      </c>
      <c r="M598">
        <v>1.4349349046916852E-3</v>
      </c>
      <c r="N598">
        <v>0.11535373467859826</v>
      </c>
      <c r="O598">
        <v>0.12397724765392702</v>
      </c>
      <c r="P598">
        <v>1.7536401806941521E-2</v>
      </c>
      <c r="Q598">
        <v>8.1876224342066514E-4</v>
      </c>
      <c r="R598">
        <v>1.4312227054762722E-3</v>
      </c>
      <c r="S598">
        <v>0.10250767769024215</v>
      </c>
      <c r="T598">
        <v>1.0227150710216617</v>
      </c>
      <c r="U598">
        <v>0</v>
      </c>
      <c r="V598">
        <v>0.20470236598764122</v>
      </c>
      <c r="W598">
        <v>7.784887735706135E-2</v>
      </c>
      <c r="X598">
        <v>2.7288748952069709E-2</v>
      </c>
      <c r="Y598">
        <v>3.8953164018683531E-3</v>
      </c>
    </row>
    <row r="599" spans="1:25" x14ac:dyDescent="0.25">
      <c r="A599" s="1095"/>
      <c r="B599" s="1454">
        <v>349</v>
      </c>
      <c r="C599" s="1099">
        <v>0.98961332085615905</v>
      </c>
      <c r="D599" s="1099">
        <v>1.0379924844418638</v>
      </c>
      <c r="E599" s="1099">
        <v>1.0454569033439651</v>
      </c>
      <c r="F599" s="1099">
        <v>1.0418237185721495</v>
      </c>
      <c r="G599" s="1099">
        <v>1.0429068928234084</v>
      </c>
      <c r="H599" s="1099">
        <v>1.0307219950147812</v>
      </c>
      <c r="I599" s="1099">
        <v>1.0054436977061962</v>
      </c>
      <c r="K599">
        <v>1.8026504211161556</v>
      </c>
      <c r="L599">
        <v>0</v>
      </c>
      <c r="M599">
        <v>1.2779906344771975E-3</v>
      </c>
      <c r="N599">
        <v>0.1348442574537016</v>
      </c>
      <c r="O599">
        <v>0.12963524624526748</v>
      </c>
      <c r="P599">
        <v>1.9682135998925824E-2</v>
      </c>
      <c r="Q599">
        <v>9.3743520256074034E-4</v>
      </c>
      <c r="R599">
        <v>1.2747782454584754E-3</v>
      </c>
      <c r="S599">
        <v>0.1095940227758375</v>
      </c>
      <c r="T599">
        <v>1.0728018697541135</v>
      </c>
      <c r="U599">
        <v>0</v>
      </c>
      <c r="V599">
        <v>0.21333717795440471</v>
      </c>
      <c r="W599">
        <v>8.6263470578999857E-2</v>
      </c>
      <c r="X599">
        <v>3.2088491387758995E-2</v>
      </c>
      <c r="Y599">
        <v>3.4695261536022951E-3</v>
      </c>
    </row>
    <row r="600" spans="1:25" x14ac:dyDescent="0.25">
      <c r="A600" s="1095"/>
      <c r="B600" s="1454">
        <v>350</v>
      </c>
      <c r="C600" s="1099">
        <v>0.98875804408961587</v>
      </c>
      <c r="D600" s="1099">
        <v>0.99298795494094427</v>
      </c>
      <c r="E600" s="1099">
        <v>0.9807740285117269</v>
      </c>
      <c r="F600" s="1099">
        <v>1.0098249925855531</v>
      </c>
      <c r="G600" s="1099">
        <v>1.0120856478034692</v>
      </c>
      <c r="H600" s="1099">
        <v>1.0036198200832431</v>
      </c>
      <c r="I600" s="1099">
        <v>1.0153254809405714</v>
      </c>
      <c r="K600">
        <v>1.7570479002146238</v>
      </c>
      <c r="L600">
        <v>0</v>
      </c>
      <c r="M600">
        <v>1.4585232790845645E-3</v>
      </c>
      <c r="N600">
        <v>0.12659202296124708</v>
      </c>
      <c r="O600">
        <v>0.12907774261797847</v>
      </c>
      <c r="P600">
        <v>1.8348944184093541E-2</v>
      </c>
      <c r="Q600">
        <v>8.9349435583844204E-4</v>
      </c>
      <c r="R600">
        <v>1.4547796781573287E-3</v>
      </c>
      <c r="S600">
        <v>0.11157278785960778</v>
      </c>
      <c r="T600">
        <v>1.0417680535109544</v>
      </c>
      <c r="U600">
        <v>0</v>
      </c>
      <c r="V600">
        <v>0.21141862664290978</v>
      </c>
      <c r="W600">
        <v>8.4125430303881962E-2</v>
      </c>
      <c r="X600">
        <v>2.9295110663086703E-2</v>
      </c>
      <c r="Y600">
        <v>3.9594307159522323E-3</v>
      </c>
    </row>
    <row r="601" spans="1:25" x14ac:dyDescent="0.25">
      <c r="A601" s="1095"/>
      <c r="B601" s="1454">
        <v>351</v>
      </c>
      <c r="C601" s="1099">
        <v>1.0056350665422116</v>
      </c>
      <c r="D601" s="1099">
        <v>1.0146953219727612</v>
      </c>
      <c r="E601" s="1099">
        <v>0.97739407648396281</v>
      </c>
      <c r="F601" s="1099">
        <v>1.0329353125787988</v>
      </c>
      <c r="G601" s="1099">
        <v>0.99323621359785719</v>
      </c>
      <c r="H601" s="1099">
        <v>0.99743927400951138</v>
      </c>
      <c r="I601" s="1099">
        <v>1.0125474162993955</v>
      </c>
      <c r="K601">
        <v>1.7679078289281012</v>
      </c>
      <c r="L601">
        <v>0</v>
      </c>
      <c r="M601">
        <v>1.421683892352324E-3</v>
      </c>
      <c r="N601">
        <v>0.12213679602668326</v>
      </c>
      <c r="O601">
        <v>0.1289113026363036</v>
      </c>
      <c r="P601">
        <v>1.8547153223267419E-2</v>
      </c>
      <c r="Q601">
        <v>8.678521429342325E-4</v>
      </c>
      <c r="R601">
        <v>1.4180092308261516E-3</v>
      </c>
      <c r="S601">
        <v>0.10773919637558756</v>
      </c>
      <c r="T601">
        <v>1.0657153699534063</v>
      </c>
      <c r="U601">
        <v>0</v>
      </c>
      <c r="V601">
        <v>0.20960233214175936</v>
      </c>
      <c r="W601">
        <v>8.1330693382893032E-2</v>
      </c>
      <c r="X601">
        <v>2.9201454027101257E-2</v>
      </c>
      <c r="Y601">
        <v>3.8593536796914713E-3</v>
      </c>
    </row>
    <row r="602" spans="1:25" x14ac:dyDescent="0.25">
      <c r="A602" s="1095"/>
      <c r="B602" s="1454">
        <v>352</v>
      </c>
      <c r="C602" s="1099">
        <v>1.0215906319487822</v>
      </c>
      <c r="D602" s="1099">
        <v>0.98007578847466903</v>
      </c>
      <c r="E602" s="1099">
        <v>1.0176084997647694</v>
      </c>
      <c r="F602" s="1099">
        <v>1.0292250284729596</v>
      </c>
      <c r="G602" s="1099">
        <v>0.99979885293754733</v>
      </c>
      <c r="H602" s="1099">
        <v>1.0291410581699256</v>
      </c>
      <c r="I602" s="1099">
        <v>0.98968669806325915</v>
      </c>
      <c r="K602">
        <v>1.7798919154700079</v>
      </c>
      <c r="L602">
        <v>0</v>
      </c>
      <c r="M602">
        <v>1.3573727295817569E-3</v>
      </c>
      <c r="N602">
        <v>0.13169234919213532</v>
      </c>
      <c r="O602">
        <v>0.12959431620828629</v>
      </c>
      <c r="P602">
        <v>1.9049869758963445E-2</v>
      </c>
      <c r="Q602">
        <v>9.0317517814029265E-4</v>
      </c>
      <c r="R602">
        <v>1.3539983165040317E-3</v>
      </c>
      <c r="S602">
        <v>0.10823506718366824</v>
      </c>
      <c r="T602">
        <v>1.0606538488660753</v>
      </c>
      <c r="U602">
        <v>0</v>
      </c>
      <c r="V602">
        <v>0.20957627440244722</v>
      </c>
      <c r="W602">
        <v>8.5618430947722923E-2</v>
      </c>
      <c r="X602">
        <v>3.0886821073546181E-2</v>
      </c>
      <c r="Y602">
        <v>3.685137072098897E-3</v>
      </c>
    </row>
    <row r="603" spans="1:25" x14ac:dyDescent="0.25">
      <c r="A603" s="1095"/>
      <c r="B603" s="1454">
        <v>353</v>
      </c>
      <c r="C603" s="1099">
        <v>1.0422893667188027</v>
      </c>
      <c r="D603" s="1099">
        <v>0.97315838681005662</v>
      </c>
      <c r="E603" s="1099">
        <v>0.97607295072274036</v>
      </c>
      <c r="F603" s="1099">
        <v>1.0034963648399058</v>
      </c>
      <c r="G603" s="1099">
        <v>0.99318121628515821</v>
      </c>
      <c r="H603" s="1099">
        <v>1.009419208447514</v>
      </c>
      <c r="I603" s="1099">
        <v>1.0056109288759609</v>
      </c>
      <c r="K603">
        <v>1.7302850064841369</v>
      </c>
      <c r="L603">
        <v>0</v>
      </c>
      <c r="M603">
        <v>1.4275064588656623E-3</v>
      </c>
      <c r="N603">
        <v>0.12215406322072841</v>
      </c>
      <c r="O603">
        <v>0.12677701029981495</v>
      </c>
      <c r="P603">
        <v>1.8066090360436694E-2</v>
      </c>
      <c r="Q603">
        <v>8.5026905833766647E-4</v>
      </c>
      <c r="R603">
        <v>1.4238913940961739E-3</v>
      </c>
      <c r="S603">
        <v>0.10680173647025881</v>
      </c>
      <c r="T603">
        <v>1.0353825126622178</v>
      </c>
      <c r="U603">
        <v>0</v>
      </c>
      <c r="V603">
        <v>0.2063543444501881</v>
      </c>
      <c r="W603">
        <v>8.140727471405608E-2</v>
      </c>
      <c r="X603">
        <v>2.8619957323808856E-2</v>
      </c>
      <c r="Y603">
        <v>3.8753629890578719E-3</v>
      </c>
    </row>
    <row r="604" spans="1:25" x14ac:dyDescent="0.25">
      <c r="A604" s="1095"/>
      <c r="B604" s="1454">
        <v>354</v>
      </c>
      <c r="C604" s="1099">
        <v>1.011265937041125</v>
      </c>
      <c r="D604" s="1099">
        <v>0.96082349068073969</v>
      </c>
      <c r="E604" s="1099">
        <v>0.98775857177634352</v>
      </c>
      <c r="F604" s="1099">
        <v>1.0333168726253932</v>
      </c>
      <c r="G604" s="1099">
        <v>0.99750415246493729</v>
      </c>
      <c r="H604" s="1099">
        <v>0.98492378166867089</v>
      </c>
      <c r="I604" s="1099">
        <v>1.0102044348879309</v>
      </c>
      <c r="K604">
        <v>1.7793006141130543</v>
      </c>
      <c r="L604">
        <v>0</v>
      </c>
      <c r="M604">
        <v>1.411975065193427E-3</v>
      </c>
      <c r="N604">
        <v>0.12516569097702912</v>
      </c>
      <c r="O604">
        <v>0.13124804176440708</v>
      </c>
      <c r="P604">
        <v>1.874087508771527E-2</v>
      </c>
      <c r="Q604">
        <v>8.9167817053190882E-4</v>
      </c>
      <c r="R604">
        <v>1.4083194727467939E-3</v>
      </c>
      <c r="S604">
        <v>0.10972514527400998</v>
      </c>
      <c r="T604">
        <v>1.0657851014231849</v>
      </c>
      <c r="U604">
        <v>0</v>
      </c>
      <c r="V604">
        <v>0.21105759766656426</v>
      </c>
      <c r="W604">
        <v>8.282869730043399E-2</v>
      </c>
      <c r="X604">
        <v>3.0028460689196661E-2</v>
      </c>
      <c r="Y604">
        <v>3.8329813524273526E-3</v>
      </c>
    </row>
    <row r="605" spans="1:25" x14ac:dyDescent="0.25">
      <c r="A605" s="1095"/>
      <c r="B605" s="1454">
        <v>355</v>
      </c>
      <c r="C605" s="1099">
        <v>1.0117825423695046</v>
      </c>
      <c r="D605" s="1099">
        <v>1.002367017030251</v>
      </c>
      <c r="E605" s="1099">
        <v>0.97849577578293434</v>
      </c>
      <c r="F605" s="1099">
        <v>1.0191022417988729</v>
      </c>
      <c r="G605" s="1099">
        <v>0.98420406246776859</v>
      </c>
      <c r="H605" s="1099">
        <v>0.97541304644894</v>
      </c>
      <c r="I605" s="1099">
        <v>1.0093966690568332</v>
      </c>
      <c r="K605">
        <v>1.7450440442643389</v>
      </c>
      <c r="L605">
        <v>0</v>
      </c>
      <c r="M605">
        <v>1.3878315693735713E-3</v>
      </c>
      <c r="N605">
        <v>0.11962024273394303</v>
      </c>
      <c r="O605">
        <v>0.12813414980081614</v>
      </c>
      <c r="P605">
        <v>1.8329841579599195E-2</v>
      </c>
      <c r="Q605">
        <v>8.6780965185599701E-4</v>
      </c>
      <c r="R605">
        <v>1.3841696810613768E-3</v>
      </c>
      <c r="S605">
        <v>0.10598433057387527</v>
      </c>
      <c r="T605">
        <v>1.0514091936295038</v>
      </c>
      <c r="U605">
        <v>0</v>
      </c>
      <c r="V605">
        <v>0.20831246898094927</v>
      </c>
      <c r="W605">
        <v>7.9601866933867158E-2</v>
      </c>
      <c r="X605">
        <v>2.9020548687803037E-2</v>
      </c>
      <c r="Y605">
        <v>3.7672535804363356E-3</v>
      </c>
    </row>
    <row r="606" spans="1:25" x14ac:dyDescent="0.25">
      <c r="A606" s="1095"/>
      <c r="B606" s="1454">
        <v>356</v>
      </c>
      <c r="C606" s="1099">
        <v>1.009479098185029</v>
      </c>
      <c r="D606" s="1099">
        <v>1.0277421981662835</v>
      </c>
      <c r="E606" s="1099">
        <v>1.0392039003389719</v>
      </c>
      <c r="F606" s="1099">
        <v>1.0182761387606587</v>
      </c>
      <c r="G606" s="1099">
        <v>1.035293584575969</v>
      </c>
      <c r="H606" s="1099">
        <v>0.9764591285844253</v>
      </c>
      <c r="I606" s="1099">
        <v>1.0293485597156464</v>
      </c>
      <c r="K606">
        <v>1.7532816902469679</v>
      </c>
      <c r="L606">
        <v>0</v>
      </c>
      <c r="M606">
        <v>1.2091850369015317E-3</v>
      </c>
      <c r="N606">
        <v>0.12518706208161348</v>
      </c>
      <c r="O606">
        <v>0.12728404671617971</v>
      </c>
      <c r="P606">
        <v>1.9175292634158094E-2</v>
      </c>
      <c r="Q606">
        <v>9.1681201202463035E-4</v>
      </c>
      <c r="R606">
        <v>1.2059817972401464E-3</v>
      </c>
      <c r="S606">
        <v>0.10682028778165971</v>
      </c>
      <c r="T606">
        <v>1.0487354256836237</v>
      </c>
      <c r="U606">
        <v>0</v>
      </c>
      <c r="V606">
        <v>0.21035829059221761</v>
      </c>
      <c r="W606">
        <v>8.0373915727031106E-2</v>
      </c>
      <c r="X606">
        <v>3.1151475357824688E-2</v>
      </c>
      <c r="Y606">
        <v>3.2822849002950624E-3</v>
      </c>
    </row>
    <row r="607" spans="1:25" x14ac:dyDescent="0.25">
      <c r="A607" s="1095"/>
      <c r="B607" s="1454">
        <v>357</v>
      </c>
      <c r="C607" s="1099">
        <v>1.0079365577849508</v>
      </c>
      <c r="D607" s="1099">
        <v>1.0033597230286164</v>
      </c>
      <c r="E607" s="1099">
        <v>0.97646538445069275</v>
      </c>
      <c r="F607" s="1099">
        <v>1.0319323376106004</v>
      </c>
      <c r="G607" s="1099">
        <v>1.0082944908567335</v>
      </c>
      <c r="H607" s="1099">
        <v>0.97184750930769748</v>
      </c>
      <c r="I607" s="1099">
        <v>1.0411835045584523</v>
      </c>
      <c r="K607">
        <v>1.7652508990215898</v>
      </c>
      <c r="L607">
        <v>0</v>
      </c>
      <c r="M607">
        <v>1.3940928122935115E-3</v>
      </c>
      <c r="N607">
        <v>0.11942288106182598</v>
      </c>
      <c r="O607">
        <v>0.12923646856178181</v>
      </c>
      <c r="P607">
        <v>1.8554686963947409E-2</v>
      </c>
      <c r="Q607">
        <v>8.6892279723832868E-4</v>
      </c>
      <c r="R607">
        <v>1.3904029536134428E-3</v>
      </c>
      <c r="S607">
        <v>0.10946292375612529</v>
      </c>
      <c r="T607">
        <v>1.0647097145759665</v>
      </c>
      <c r="U607">
        <v>0</v>
      </c>
      <c r="V607">
        <v>0.21042387853884706</v>
      </c>
      <c r="W607">
        <v>7.9568217161121432E-2</v>
      </c>
      <c r="X607">
        <v>2.9222676969891406E-2</v>
      </c>
      <c r="Y607">
        <v>3.784218493525315E-3</v>
      </c>
    </row>
    <row r="608" spans="1:25" x14ac:dyDescent="0.25">
      <c r="A608" s="1095"/>
      <c r="B608" s="1454">
        <v>358</v>
      </c>
      <c r="C608" s="1099">
        <v>1.0149367061101151</v>
      </c>
      <c r="D608" s="1099">
        <v>1.0130326546606541</v>
      </c>
      <c r="E608" s="1099">
        <v>0.99166406628804848</v>
      </c>
      <c r="F608" s="1099">
        <v>0.97458459549640586</v>
      </c>
      <c r="G608" s="1099">
        <v>0.99655011887279932</v>
      </c>
      <c r="H608" s="1099">
        <v>1.0194830933388621</v>
      </c>
      <c r="I608" s="1099">
        <v>1.0107338718435228</v>
      </c>
      <c r="K608">
        <v>1.7019647142741927</v>
      </c>
      <c r="L608">
        <v>0</v>
      </c>
      <c r="M608">
        <v>1.3934345433837742E-3</v>
      </c>
      <c r="N608">
        <v>0.1249956947162173</v>
      </c>
      <c r="O608">
        <v>0.12419526109174502</v>
      </c>
      <c r="P608">
        <v>1.7881330926135832E-2</v>
      </c>
      <c r="Q608">
        <v>8.733953223490369E-4</v>
      </c>
      <c r="R608">
        <v>1.3898971805378078E-3</v>
      </c>
      <c r="S608">
        <v>0.10792673628244559</v>
      </c>
      <c r="T608">
        <v>1.005093060988423</v>
      </c>
      <c r="U608">
        <v>0</v>
      </c>
      <c r="V608">
        <v>0.20606409054676994</v>
      </c>
      <c r="W608">
        <v>8.2522858676489369E-2</v>
      </c>
      <c r="X608">
        <v>2.8632981140523695E-2</v>
      </c>
      <c r="Y608">
        <v>3.7828419459414874E-3</v>
      </c>
    </row>
    <row r="609" spans="1:25" x14ac:dyDescent="0.25">
      <c r="A609" s="1095"/>
      <c r="B609" s="1454">
        <v>359</v>
      </c>
      <c r="C609" s="1099">
        <v>0.98234655991434283</v>
      </c>
      <c r="D609" s="1099">
        <v>1.0356666962454795</v>
      </c>
      <c r="E609" s="1099">
        <v>0.9856478504462729</v>
      </c>
      <c r="F609" s="1099">
        <v>0.99412415299695944</v>
      </c>
      <c r="G609" s="1099">
        <v>1.014598856012122</v>
      </c>
      <c r="H609" s="1099">
        <v>0.99950896794747301</v>
      </c>
      <c r="I609" s="1099">
        <v>1.0255190802722842</v>
      </c>
      <c r="K609">
        <v>1.7300182906476456</v>
      </c>
      <c r="L609">
        <v>0</v>
      </c>
      <c r="M609">
        <v>1.4093255446367661E-3</v>
      </c>
      <c r="N609">
        <v>0.12413420759224307</v>
      </c>
      <c r="O609">
        <v>0.12631307290724603</v>
      </c>
      <c r="P609">
        <v>1.8157601268984816E-2</v>
      </c>
      <c r="Q609">
        <v>8.8883478767328426E-4</v>
      </c>
      <c r="R609">
        <v>1.4056575780664535E-3</v>
      </c>
      <c r="S609">
        <v>0.11010132928470272</v>
      </c>
      <c r="T609">
        <v>1.0254241014738306</v>
      </c>
      <c r="U609">
        <v>0</v>
      </c>
      <c r="V609">
        <v>0.21002551329537344</v>
      </c>
      <c r="W609">
        <v>8.2250317766041831E-2</v>
      </c>
      <c r="X609">
        <v>2.890124368551715E-2</v>
      </c>
      <c r="Y609">
        <v>3.8257365526008112E-3</v>
      </c>
    </row>
    <row r="610" spans="1:25" x14ac:dyDescent="0.25">
      <c r="A610" s="1095"/>
      <c r="B610" s="1454">
        <v>360</v>
      </c>
      <c r="C610" s="1099">
        <v>1.0209984385106046</v>
      </c>
      <c r="D610" s="1099">
        <v>0.99083902611013164</v>
      </c>
      <c r="E610" s="1099">
        <v>1.0295788533115009</v>
      </c>
      <c r="F610" s="1099">
        <v>0.98152477988231812</v>
      </c>
      <c r="G610" s="1099">
        <v>1.0070641622800001</v>
      </c>
      <c r="H610" s="1099">
        <v>1.0107784541381011</v>
      </c>
      <c r="I610" s="1099">
        <v>1.0279078911882866</v>
      </c>
      <c r="K610">
        <v>1.7204350118510003</v>
      </c>
      <c r="L610">
        <v>0</v>
      </c>
      <c r="M610">
        <v>1.2873816149185863E-3</v>
      </c>
      <c r="N610">
        <v>0.1294855413267014</v>
      </c>
      <c r="O610">
        <v>0.12556338148755253</v>
      </c>
      <c r="P610">
        <v>1.8520665056467347E-2</v>
      </c>
      <c r="Q610">
        <v>9.1085518985409167E-4</v>
      </c>
      <c r="R610">
        <v>1.2841026995976512E-3</v>
      </c>
      <c r="S610">
        <v>0.11014255859855258</v>
      </c>
      <c r="T610">
        <v>1.0111559581634884</v>
      </c>
      <c r="U610">
        <v>0</v>
      </c>
      <c r="V610">
        <v>0.20719959748374484</v>
      </c>
      <c r="W610">
        <v>8.3597842666415068E-2</v>
      </c>
      <c r="X610">
        <v>3.0366986549581695E-2</v>
      </c>
      <c r="Y610">
        <v>3.494904243963648E-3</v>
      </c>
    </row>
    <row r="611" spans="1:25" x14ac:dyDescent="0.25">
      <c r="A611" s="1095"/>
      <c r="B611" s="1454">
        <v>361</v>
      </c>
      <c r="C611" s="1099">
        <v>0.97212881768967818</v>
      </c>
      <c r="D611" s="1099">
        <v>1.0077131278171714</v>
      </c>
      <c r="E611" s="1099">
        <v>0.98611146557951246</v>
      </c>
      <c r="F611" s="1099">
        <v>0.98985261182759654</v>
      </c>
      <c r="G611" s="1099">
        <v>0.99607137458469919</v>
      </c>
      <c r="H611" s="1099">
        <v>0.97613098608707216</v>
      </c>
      <c r="I611" s="1099">
        <v>0.99890538914679605</v>
      </c>
      <c r="K611">
        <v>1.7266093671414422</v>
      </c>
      <c r="L611">
        <v>0</v>
      </c>
      <c r="M611">
        <v>1.4102187680067359E-3</v>
      </c>
      <c r="N611">
        <v>0.12438067547646385</v>
      </c>
      <c r="O611">
        <v>0.12777674293661068</v>
      </c>
      <c r="P611">
        <v>1.809018465882728E-2</v>
      </c>
      <c r="Q611">
        <v>9.0850124803950282E-4</v>
      </c>
      <c r="R611">
        <v>1.4064750529239483E-3</v>
      </c>
      <c r="S611">
        <v>0.10846100386153214</v>
      </c>
      <c r="T611">
        <v>1.0210042358062594</v>
      </c>
      <c r="U611">
        <v>0</v>
      </c>
      <c r="V611">
        <v>0.21062017434138988</v>
      </c>
      <c r="W611">
        <v>8.2390664786027509E-2</v>
      </c>
      <c r="X611">
        <v>2.9152966291690532E-2</v>
      </c>
      <c r="Y611">
        <v>3.8279614496823985E-3</v>
      </c>
    </row>
    <row r="612" spans="1:25" x14ac:dyDescent="0.25">
      <c r="A612" s="1095"/>
      <c r="B612" s="1454">
        <v>362</v>
      </c>
      <c r="C612" s="1099">
        <v>1.0247742005596012</v>
      </c>
      <c r="D612" s="1099">
        <v>0.96460883975149325</v>
      </c>
      <c r="E612" s="1099">
        <v>0.99314443470851965</v>
      </c>
      <c r="F612" s="1099">
        <v>1.030950079876144</v>
      </c>
      <c r="G612" s="1099">
        <v>1.0017854310283574</v>
      </c>
      <c r="H612" s="1099">
        <v>0.97090489154927484</v>
      </c>
      <c r="I612" s="1099">
        <v>1.0040125429747775</v>
      </c>
      <c r="K612">
        <v>1.7658399394711719</v>
      </c>
      <c r="L612">
        <v>0</v>
      </c>
      <c r="M612">
        <v>1.3563654603931693E-3</v>
      </c>
      <c r="N612">
        <v>0.12220546501242451</v>
      </c>
      <c r="O612">
        <v>0.13020667079260601</v>
      </c>
      <c r="P612">
        <v>1.8721525071937556E-2</v>
      </c>
      <c r="Q612">
        <v>8.834862702504255E-4</v>
      </c>
      <c r="R612">
        <v>1.3528036791339963E-3</v>
      </c>
      <c r="S612">
        <v>0.10644017129916582</v>
      </c>
      <c r="T612">
        <v>1.0631773003036835</v>
      </c>
      <c r="U612">
        <v>0</v>
      </c>
      <c r="V612">
        <v>0.20991873913147346</v>
      </c>
      <c r="W612">
        <v>8.0609350736379579E-2</v>
      </c>
      <c r="X612">
        <v>2.9998906971519988E-2</v>
      </c>
      <c r="Y612">
        <v>3.6818856629897635E-3</v>
      </c>
    </row>
    <row r="613" spans="1:25" x14ac:dyDescent="0.25">
      <c r="A613" s="1095"/>
      <c r="B613" s="1454">
        <v>363</v>
      </c>
      <c r="C613" s="1099">
        <v>1.0095760107342764</v>
      </c>
      <c r="D613" s="1099">
        <v>0.97707656859038439</v>
      </c>
      <c r="E613" s="1099">
        <v>1.0199832028445228</v>
      </c>
      <c r="F613" s="1099">
        <v>0.98058455080168194</v>
      </c>
      <c r="G613" s="1099">
        <v>0.98560272350063227</v>
      </c>
      <c r="H613" s="1099">
        <v>0.97460552302525238</v>
      </c>
      <c r="I613" s="1099">
        <v>0.99631333341658679</v>
      </c>
      <c r="K613">
        <v>1.7115902620474652</v>
      </c>
      <c r="L613">
        <v>0</v>
      </c>
      <c r="M613">
        <v>1.289921843821846E-3</v>
      </c>
      <c r="N613">
        <v>0.12602899848656454</v>
      </c>
      <c r="O613">
        <v>0.12665996849906508</v>
      </c>
      <c r="P613">
        <v>1.8331668793502082E-2</v>
      </c>
      <c r="Q613">
        <v>9.1727793954016548E-4</v>
      </c>
      <c r="R613">
        <v>1.2865199315528928E-3</v>
      </c>
      <c r="S613">
        <v>0.10628375849919695</v>
      </c>
      <c r="T613">
        <v>1.0104601431748701</v>
      </c>
      <c r="U613">
        <v>0</v>
      </c>
      <c r="V613">
        <v>0.20743823367748321</v>
      </c>
      <c r="W613">
        <v>8.1822596298720074E-2</v>
      </c>
      <c r="X613">
        <v>3.0149535438284737E-2</v>
      </c>
      <c r="Y613">
        <v>3.5014831525055192E-3</v>
      </c>
    </row>
    <row r="614" spans="1:25" x14ac:dyDescent="0.25">
      <c r="A614" s="1095"/>
      <c r="B614" s="1454">
        <v>364</v>
      </c>
      <c r="C614" s="1099">
        <v>1.015915299145228</v>
      </c>
      <c r="D614" s="1099">
        <v>0.99672817241463385</v>
      </c>
      <c r="E614" s="1099">
        <v>0.97772035100468047</v>
      </c>
      <c r="F614" s="1099">
        <v>1.0009814912014643</v>
      </c>
      <c r="G614" s="1099">
        <v>1.0043887231831778</v>
      </c>
      <c r="H614" s="1099">
        <v>1.0308759921714226</v>
      </c>
      <c r="I614" s="1099">
        <v>0.96681275155435753</v>
      </c>
      <c r="K614">
        <v>1.7344533250423049</v>
      </c>
      <c r="L614">
        <v>0</v>
      </c>
      <c r="M614">
        <v>1.4662562881634022E-3</v>
      </c>
      <c r="N614">
        <v>0.12610154796494408</v>
      </c>
      <c r="O614">
        <v>0.12681893642837511</v>
      </c>
      <c r="P614">
        <v>1.8054570692278376E-2</v>
      </c>
      <c r="Q614">
        <v>8.6552756794578301E-4</v>
      </c>
      <c r="R614">
        <v>1.4625951937295412E-3</v>
      </c>
      <c r="S614">
        <v>0.10507406283194019</v>
      </c>
      <c r="T614">
        <v>1.0327375710438342</v>
      </c>
      <c r="U614">
        <v>0</v>
      </c>
      <c r="V614">
        <v>0.20817662978559195</v>
      </c>
      <c r="W614">
        <v>8.3954241527764289E-2</v>
      </c>
      <c r="X614">
        <v>2.8693196321108592E-2</v>
      </c>
      <c r="Y614">
        <v>3.9807019729557773E-3</v>
      </c>
    </row>
    <row r="615" spans="1:25" x14ac:dyDescent="0.25">
      <c r="A615" s="1095"/>
      <c r="B615" s="1454">
        <v>365</v>
      </c>
      <c r="C615" s="1099">
        <v>0.98801217866213309</v>
      </c>
      <c r="D615" s="1099">
        <v>1.000444513196739</v>
      </c>
      <c r="E615" s="1099">
        <v>1.0043974679670771</v>
      </c>
      <c r="F615" s="1099">
        <v>1.0081054669194272</v>
      </c>
      <c r="G615" s="1099">
        <v>0.99513812686777836</v>
      </c>
      <c r="H615" s="1099">
        <v>1.0407059072673384</v>
      </c>
      <c r="I615" s="1099">
        <v>1.010282499856983</v>
      </c>
      <c r="K615">
        <v>1.7667056217760981</v>
      </c>
      <c r="L615">
        <v>0</v>
      </c>
      <c r="M615">
        <v>1.4346231974726679E-3</v>
      </c>
      <c r="N615">
        <v>0.13374638108710182</v>
      </c>
      <c r="O615">
        <v>0.12873241551590439</v>
      </c>
      <c r="P615">
        <v>1.86527276843125E-2</v>
      </c>
      <c r="Q615">
        <v>9.1369092802148983E-4</v>
      </c>
      <c r="R615">
        <v>1.4310663850506751E-3</v>
      </c>
      <c r="S615">
        <v>0.11326532165177823</v>
      </c>
      <c r="T615">
        <v>1.039280925854468</v>
      </c>
      <c r="U615">
        <v>0</v>
      </c>
      <c r="V615">
        <v>0.21041187529080671</v>
      </c>
      <c r="W615">
        <v>8.7633339157366277E-2</v>
      </c>
      <c r="X615">
        <v>3.0177610469558896E-2</v>
      </c>
      <c r="Y615">
        <v>3.89489094920089E-3</v>
      </c>
    </row>
    <row r="616" spans="1:25" x14ac:dyDescent="0.25">
      <c r="A616" s="1095"/>
      <c r="B616" s="1454">
        <v>366</v>
      </c>
      <c r="C616" s="1099">
        <v>0.96888587816523175</v>
      </c>
      <c r="D616" s="1099">
        <v>1.0399276135263373</v>
      </c>
      <c r="E616" s="1099">
        <v>1.0122063368566461</v>
      </c>
      <c r="F616" s="1099">
        <v>1.0323122533308489</v>
      </c>
      <c r="G616" s="1099">
        <v>0.9797698286223594</v>
      </c>
      <c r="H616" s="1099">
        <v>1.0142758432647225</v>
      </c>
      <c r="I616" s="1099">
        <v>0.98214622354673009</v>
      </c>
      <c r="K616">
        <v>1.7838767738597836</v>
      </c>
      <c r="L616">
        <v>0</v>
      </c>
      <c r="M616">
        <v>1.3718164578265443E-3</v>
      </c>
      <c r="N616">
        <v>0.13093150680220297</v>
      </c>
      <c r="O616">
        <v>0.1298169564500283</v>
      </c>
      <c r="P616">
        <v>1.9040881247310959E-2</v>
      </c>
      <c r="Q616">
        <v>9.2483788824354487E-4</v>
      </c>
      <c r="R616">
        <v>1.3683026105301729E-3</v>
      </c>
      <c r="S616">
        <v>0.10784940220925671</v>
      </c>
      <c r="T616">
        <v>1.0639986567620072</v>
      </c>
      <c r="U616">
        <v>0</v>
      </c>
      <c r="V616">
        <v>0.21145626518741201</v>
      </c>
      <c r="W616">
        <v>8.5394324481463904E-2</v>
      </c>
      <c r="X616">
        <v>3.074338803412404E-2</v>
      </c>
      <c r="Y616">
        <v>3.7240686450287948E-3</v>
      </c>
    </row>
    <row r="617" spans="1:25" x14ac:dyDescent="0.25">
      <c r="A617" s="1095"/>
      <c r="B617" s="1454">
        <v>367</v>
      </c>
      <c r="C617" s="1099">
        <v>0.9904667649517146</v>
      </c>
      <c r="D617" s="1099">
        <v>0.96130356230942504</v>
      </c>
      <c r="E617" s="1099">
        <v>1.0203719272740281</v>
      </c>
      <c r="F617" s="1099">
        <v>0.98516024006343839</v>
      </c>
      <c r="G617" s="1099">
        <v>1.0066227801105068</v>
      </c>
      <c r="H617" s="1099">
        <v>0.99859385800846834</v>
      </c>
      <c r="I617" s="1099">
        <v>0.98837946930600007</v>
      </c>
      <c r="K617">
        <v>1.7376439923423188</v>
      </c>
      <c r="L617">
        <v>0</v>
      </c>
      <c r="M617">
        <v>1.3573020402453272E-3</v>
      </c>
      <c r="N617">
        <v>0.13277688358621831</v>
      </c>
      <c r="O617">
        <v>0.12874392233397089</v>
      </c>
      <c r="P617">
        <v>1.8502645308133683E-2</v>
      </c>
      <c r="Q617">
        <v>9.4145691696954231E-4</v>
      </c>
      <c r="R617">
        <v>1.3538146690622805E-3</v>
      </c>
      <c r="S617">
        <v>0.11017933321557456</v>
      </c>
      <c r="T617">
        <v>1.0151640856813033</v>
      </c>
      <c r="U617">
        <v>0</v>
      </c>
      <c r="V617">
        <v>0.21080610652404566</v>
      </c>
      <c r="W617">
        <v>8.6183968188522628E-2</v>
      </c>
      <c r="X617">
        <v>3.0664440714460905E-2</v>
      </c>
      <c r="Y617">
        <v>3.6846372443018129E-3</v>
      </c>
    </row>
    <row r="618" spans="1:25" x14ac:dyDescent="0.25">
      <c r="A618" s="1095"/>
      <c r="B618" s="1454">
        <v>368</v>
      </c>
      <c r="C618" s="1099">
        <v>0.99771260446566601</v>
      </c>
      <c r="D618" s="1099">
        <v>0.97476100496448859</v>
      </c>
      <c r="E618" s="1099">
        <v>0.97287659645823799</v>
      </c>
      <c r="F618" s="1099">
        <v>1.0006452391737692</v>
      </c>
      <c r="G618" s="1099">
        <v>1.0045799638411683</v>
      </c>
      <c r="H618" s="1099">
        <v>0.968701519582435</v>
      </c>
      <c r="I618" s="1099">
        <v>1.0052301158293606</v>
      </c>
      <c r="K618">
        <v>1.7341175831521092</v>
      </c>
      <c r="L618">
        <v>0</v>
      </c>
      <c r="M618">
        <v>1.4335769133312615E-3</v>
      </c>
      <c r="N618">
        <v>0.12147804673459335</v>
      </c>
      <c r="O618">
        <v>0.12873189651531047</v>
      </c>
      <c r="P618">
        <v>1.805641621402462E-2</v>
      </c>
      <c r="Q618">
        <v>8.8469658686729817E-4</v>
      </c>
      <c r="R618">
        <v>1.4297778112999473E-3</v>
      </c>
      <c r="S618">
        <v>0.10822040150914967</v>
      </c>
      <c r="T618">
        <v>1.0325383098713317</v>
      </c>
      <c r="U618">
        <v>0</v>
      </c>
      <c r="V618">
        <v>0.2103477150014415</v>
      </c>
      <c r="W618">
        <v>8.1113843930360474E-2</v>
      </c>
      <c r="X618">
        <v>2.885867201483109E-2</v>
      </c>
      <c r="Y618">
        <v>3.8913838762296322E-3</v>
      </c>
    </row>
    <row r="619" spans="1:25" x14ac:dyDescent="0.25">
      <c r="A619" s="1095"/>
      <c r="B619" s="1454">
        <v>369</v>
      </c>
      <c r="C619" s="1099">
        <v>1.0383338744595394</v>
      </c>
      <c r="D619" s="1099">
        <v>1.0101143578563443</v>
      </c>
      <c r="E619" s="1099">
        <v>0.99861600743728229</v>
      </c>
      <c r="F619" s="1099">
        <v>1.039941818403451</v>
      </c>
      <c r="G619" s="1099">
        <v>0.99255510302293171</v>
      </c>
      <c r="H619" s="1099">
        <v>1.0242666085891765</v>
      </c>
      <c r="I619" s="1099">
        <v>1.001976358576451</v>
      </c>
      <c r="K619">
        <v>1.7733364690367819</v>
      </c>
      <c r="L619">
        <v>0</v>
      </c>
      <c r="M619">
        <v>1.3609294831441725E-3</v>
      </c>
      <c r="N619">
        <v>0.12467594034926775</v>
      </c>
      <c r="O619">
        <v>0.12805883255641221</v>
      </c>
      <c r="P619">
        <v>1.8877379052421268E-2</v>
      </c>
      <c r="Q619">
        <v>8.6089937480224711E-4</v>
      </c>
      <c r="R619">
        <v>1.3575173597897086E-3</v>
      </c>
      <c r="S619">
        <v>0.10559594016888436</v>
      </c>
      <c r="T619">
        <v>1.0722802703181655</v>
      </c>
      <c r="U619">
        <v>0</v>
      </c>
      <c r="V619">
        <v>0.20746010139137647</v>
      </c>
      <c r="W619">
        <v>8.1971053426843812E-2</v>
      </c>
      <c r="X619">
        <v>2.986474977409154E-2</v>
      </c>
      <c r="Y619">
        <v>3.6947147478702028E-3</v>
      </c>
    </row>
    <row r="620" spans="1:25" x14ac:dyDescent="0.25">
      <c r="A620" s="1095"/>
      <c r="B620" s="1454">
        <v>370</v>
      </c>
      <c r="C620" s="1099">
        <v>1.03300644283431</v>
      </c>
      <c r="D620" s="1099">
        <v>1.000095107834444</v>
      </c>
      <c r="E620" s="1099">
        <v>1.0197597952439856</v>
      </c>
      <c r="F620" s="1099">
        <v>1.004307543008476</v>
      </c>
      <c r="G620" s="1099">
        <v>1.0046766980091926</v>
      </c>
      <c r="H620" s="1099">
        <v>0.97862214300963124</v>
      </c>
      <c r="I620" s="1099">
        <v>1.0117142058687181</v>
      </c>
      <c r="K620">
        <v>1.7276649148221015</v>
      </c>
      <c r="L620">
        <v>0</v>
      </c>
      <c r="M620">
        <v>1.2541647151900603E-3</v>
      </c>
      <c r="N620">
        <v>0.12245405735675061</v>
      </c>
      <c r="O620">
        <v>0.12622609445360275</v>
      </c>
      <c r="P620">
        <v>1.8636440922231785E-2</v>
      </c>
      <c r="Q620">
        <v>8.8795778713742001E-4</v>
      </c>
      <c r="R620">
        <v>1.2508692563495774E-3</v>
      </c>
      <c r="S620">
        <v>0.10451083844678408</v>
      </c>
      <c r="T620">
        <v>1.0349124443037372</v>
      </c>
      <c r="U620">
        <v>0</v>
      </c>
      <c r="V620">
        <v>0.206998628038113</v>
      </c>
      <c r="W620">
        <v>7.9512007882689653E-2</v>
      </c>
      <c r="X620">
        <v>3.0125287323052599E-2</v>
      </c>
      <c r="Y620">
        <v>3.4044537668440149E-3</v>
      </c>
    </row>
    <row r="621" spans="1:25" x14ac:dyDescent="0.25">
      <c r="A621" s="1095"/>
      <c r="B621" s="1454">
        <v>371</v>
      </c>
      <c r="C621" s="1099">
        <v>0.9987299788379268</v>
      </c>
      <c r="D621" s="1099">
        <v>1.0040145758324783</v>
      </c>
      <c r="E621" s="1099">
        <v>0.99652962248706578</v>
      </c>
      <c r="F621" s="1099">
        <v>0.97749364403170869</v>
      </c>
      <c r="G621" s="1099">
        <v>1.0049315531820018</v>
      </c>
      <c r="H621" s="1099">
        <v>1.0000153395413416</v>
      </c>
      <c r="I621" s="1099">
        <v>1.0117440455843385</v>
      </c>
      <c r="K621">
        <v>1.7109933575324285</v>
      </c>
      <c r="L621">
        <v>0</v>
      </c>
      <c r="M621">
        <v>1.3808032491642703E-3</v>
      </c>
      <c r="N621">
        <v>0.12569160556979736</v>
      </c>
      <c r="O621">
        <v>0.12564584927593156</v>
      </c>
      <c r="P621">
        <v>1.8029125788136494E-2</v>
      </c>
      <c r="Q621">
        <v>8.9526760277869528E-4</v>
      </c>
      <c r="R621">
        <v>1.3772317981192474E-3</v>
      </c>
      <c r="S621">
        <v>0.10895299544496009</v>
      </c>
      <c r="T621">
        <v>1.0079509555282455</v>
      </c>
      <c r="U621">
        <v>0</v>
      </c>
      <c r="V621">
        <v>0.20823754488789342</v>
      </c>
      <c r="W621">
        <v>8.2741561084972076E-2</v>
      </c>
      <c r="X621">
        <v>2.9103652850619322E-2</v>
      </c>
      <c r="Y621">
        <v>3.748370950140357E-3</v>
      </c>
    </row>
    <row r="622" spans="1:25" x14ac:dyDescent="0.25">
      <c r="A622" s="1095"/>
      <c r="B622" s="1454">
        <v>372</v>
      </c>
      <c r="C622" s="1099">
        <v>0.97423560662259878</v>
      </c>
      <c r="D622" s="1099">
        <v>0.99049243315024926</v>
      </c>
      <c r="E622" s="1099">
        <v>0.98314077385003285</v>
      </c>
      <c r="F622" s="1099">
        <v>0.96726490566507495</v>
      </c>
      <c r="G622" s="1099">
        <v>1.0179244527047369</v>
      </c>
      <c r="H622" s="1099">
        <v>0.97156200070060095</v>
      </c>
      <c r="I622" s="1099">
        <v>1.0083450797133506</v>
      </c>
      <c r="K622">
        <v>1.7031114028067376</v>
      </c>
      <c r="L622">
        <v>0</v>
      </c>
      <c r="M622">
        <v>1.4208074954805612E-3</v>
      </c>
      <c r="N622">
        <v>0.12419253290167759</v>
      </c>
      <c r="O622">
        <v>0.12668791121912149</v>
      </c>
      <c r="P622">
        <v>1.7759457372041567E-2</v>
      </c>
      <c r="Q622">
        <v>9.0997819507750404E-4</v>
      </c>
      <c r="R622">
        <v>1.4170228374987214E-3</v>
      </c>
      <c r="S622">
        <v>0.10994557211127801</v>
      </c>
      <c r="T622">
        <v>0.99779240889208143</v>
      </c>
      <c r="U622">
        <v>0</v>
      </c>
      <c r="V622">
        <v>0.21080327833222315</v>
      </c>
      <c r="W622">
        <v>8.2413196015984971E-2</v>
      </c>
      <c r="X622">
        <v>2.8754183383013603E-2</v>
      </c>
      <c r="Y622">
        <v>3.8566690422186787E-3</v>
      </c>
    </row>
    <row r="623" spans="1:25" x14ac:dyDescent="0.25">
      <c r="A623" s="1095"/>
      <c r="B623" s="1454">
        <v>373</v>
      </c>
      <c r="C623" s="1099">
        <v>0.99434297676755723</v>
      </c>
      <c r="D623" s="1099">
        <v>1.0019967614780869</v>
      </c>
      <c r="E623" s="1099">
        <v>0.9850567422840375</v>
      </c>
      <c r="F623" s="1099">
        <v>0.99011208174501919</v>
      </c>
      <c r="G623" s="1099">
        <v>1.0186848131571555</v>
      </c>
      <c r="H623" s="1099">
        <v>1.0129855968779671</v>
      </c>
      <c r="I623" s="1099">
        <v>0.97058322764449256</v>
      </c>
      <c r="K623">
        <v>1.7267176671693769</v>
      </c>
      <c r="L623">
        <v>0</v>
      </c>
      <c r="M623">
        <v>1.4414591275797967E-3</v>
      </c>
      <c r="N623">
        <v>0.12674439520593994</v>
      </c>
      <c r="O623">
        <v>0.12688272541828499</v>
      </c>
      <c r="P623">
        <v>1.8038098095914844E-2</v>
      </c>
      <c r="Q623">
        <v>8.8924777347275906E-4</v>
      </c>
      <c r="R623">
        <v>1.4377826946462505E-3</v>
      </c>
      <c r="S623">
        <v>0.10602607917307935</v>
      </c>
      <c r="T623">
        <v>1.0213033641082609</v>
      </c>
      <c r="U623">
        <v>0</v>
      </c>
      <c r="V623">
        <v>0.20996456185081172</v>
      </c>
      <c r="W623">
        <v>8.4009659841746062E-2</v>
      </c>
      <c r="X623">
        <v>2.8950041604911884E-2</v>
      </c>
      <c r="Y623">
        <v>3.913170529889186E-3</v>
      </c>
    </row>
    <row r="624" spans="1:25" x14ac:dyDescent="0.25">
      <c r="A624" s="1095"/>
      <c r="B624" s="1454">
        <v>374</v>
      </c>
      <c r="C624" s="1099">
        <v>1.0039438799698215</v>
      </c>
      <c r="D624" s="1099">
        <v>1.0064048703264918</v>
      </c>
      <c r="E624" s="1099">
        <v>0.97083329952927822</v>
      </c>
      <c r="F624" s="1099">
        <v>0.96436434817886241</v>
      </c>
      <c r="G624" s="1099">
        <v>1.001833026870248</v>
      </c>
      <c r="H624" s="1099">
        <v>1.0230091124965801</v>
      </c>
      <c r="I624" s="1099">
        <v>1.0402546030075746</v>
      </c>
      <c r="K624">
        <v>1.6970663416921565</v>
      </c>
      <c r="L624">
        <v>0</v>
      </c>
      <c r="M624">
        <v>1.4787837281414759E-3</v>
      </c>
      <c r="N624">
        <v>0.12455082258955176</v>
      </c>
      <c r="O624">
        <v>0.12417486061246102</v>
      </c>
      <c r="P624">
        <v>1.7544048252762755E-2</v>
      </c>
      <c r="Q624">
        <v>8.6617677491613448E-4</v>
      </c>
      <c r="R624">
        <v>1.4750403846076514E-3</v>
      </c>
      <c r="S624">
        <v>0.11283187552222503</v>
      </c>
      <c r="T624">
        <v>0.99516128942707727</v>
      </c>
      <c r="U624">
        <v>0</v>
      </c>
      <c r="V624">
        <v>0.20682278163783552</v>
      </c>
      <c r="W624">
        <v>8.3268949267055831E-2</v>
      </c>
      <c r="X624">
        <v>2.7834707271832709E-2</v>
      </c>
      <c r="Y624">
        <v>4.0145736799699228E-3</v>
      </c>
    </row>
    <row r="625" spans="1:25" x14ac:dyDescent="0.25">
      <c r="A625" s="1095"/>
      <c r="B625" s="1454">
        <v>375</v>
      </c>
      <c r="C625" s="1099">
        <v>0.98793482366660368</v>
      </c>
      <c r="D625" s="1099">
        <v>1.0042415432947691</v>
      </c>
      <c r="E625" s="1099">
        <v>1.0022077030006957</v>
      </c>
      <c r="F625" s="1099">
        <v>0.99111235057618696</v>
      </c>
      <c r="G625" s="1099">
        <v>1.0163903253088666</v>
      </c>
      <c r="H625" s="1099">
        <v>1.0179766665053072</v>
      </c>
      <c r="I625" s="1099">
        <v>0.99573358036684378</v>
      </c>
      <c r="K625">
        <v>1.7373807709274471</v>
      </c>
      <c r="L625">
        <v>0</v>
      </c>
      <c r="M625">
        <v>1.404569374718789E-3</v>
      </c>
      <c r="N625">
        <v>0.13007336312476328</v>
      </c>
      <c r="O625">
        <v>0.12726232458936937</v>
      </c>
      <c r="P625">
        <v>1.8335237245469149E-2</v>
      </c>
      <c r="Q625">
        <v>9.1031348104943265E-4</v>
      </c>
      <c r="R625">
        <v>1.4010014919554872E-3</v>
      </c>
      <c r="S625">
        <v>0.10967629956696498</v>
      </c>
      <c r="T625">
        <v>1.0218266040530795</v>
      </c>
      <c r="U625">
        <v>0</v>
      </c>
      <c r="V625">
        <v>0.21043922541210985</v>
      </c>
      <c r="W625">
        <v>8.533740701369974E-2</v>
      </c>
      <c r="X625">
        <v>2.9710500102618553E-2</v>
      </c>
      <c r="Y625">
        <v>3.8130642210851356E-3</v>
      </c>
    </row>
    <row r="626" spans="1:25" x14ac:dyDescent="0.25">
      <c r="A626" s="1095"/>
      <c r="B626" s="1454">
        <v>376</v>
      </c>
      <c r="C626" s="1099">
        <v>0.9805344282487386</v>
      </c>
      <c r="D626" s="1099">
        <v>1.0214634409133945</v>
      </c>
      <c r="E626" s="1099">
        <v>0.97021099942559064</v>
      </c>
      <c r="F626" s="1099">
        <v>1.027490555859004</v>
      </c>
      <c r="G626" s="1099">
        <v>1.0092755808227567</v>
      </c>
      <c r="H626" s="1099">
        <v>0.99380280828110312</v>
      </c>
      <c r="I626" s="1099">
        <v>0.98164996289927942</v>
      </c>
      <c r="K626">
        <v>1.7658773154255245</v>
      </c>
      <c r="L626">
        <v>0</v>
      </c>
      <c r="M626">
        <v>1.4650916333976442E-3</v>
      </c>
      <c r="N626">
        <v>0.12315636611920126</v>
      </c>
      <c r="O626">
        <v>0.12949227290558751</v>
      </c>
      <c r="P626">
        <v>1.8386263164347636E-2</v>
      </c>
      <c r="Q626">
        <v>8.8102538819244858E-4</v>
      </c>
      <c r="R626">
        <v>1.4612767240067921E-3</v>
      </c>
      <c r="S626">
        <v>0.10625230235531112</v>
      </c>
      <c r="T626">
        <v>1.0603230011915055</v>
      </c>
      <c r="U626">
        <v>0</v>
      </c>
      <c r="V626">
        <v>0.21202668076198841</v>
      </c>
      <c r="W626">
        <v>8.2367858030657493E-2</v>
      </c>
      <c r="X626">
        <v>2.901824688511823E-2</v>
      </c>
      <c r="Y626">
        <v>3.9771135330038824E-3</v>
      </c>
    </row>
    <row r="627" spans="1:25" x14ac:dyDescent="0.25">
      <c r="A627" s="1095"/>
      <c r="B627" s="1454">
        <v>377</v>
      </c>
      <c r="C627" s="1099">
        <v>1.0005022116633975</v>
      </c>
      <c r="D627" s="1099">
        <v>1.0119614228926428</v>
      </c>
      <c r="E627" s="1099">
        <v>1.0250063155588192</v>
      </c>
      <c r="F627" s="1099">
        <v>0.98495315733736744</v>
      </c>
      <c r="G627" s="1099">
        <v>1.0121719489324299</v>
      </c>
      <c r="H627" s="1099">
        <v>0.9854767775990283</v>
      </c>
      <c r="I627" s="1099">
        <v>0.9764420611900082</v>
      </c>
      <c r="K627">
        <v>1.7143998239431995</v>
      </c>
      <c r="L627">
        <v>0</v>
      </c>
      <c r="M627">
        <v>1.2754057588669578E-3</v>
      </c>
      <c r="N627">
        <v>0.12651445493938468</v>
      </c>
      <c r="O627">
        <v>0.12588385940389946</v>
      </c>
      <c r="P627">
        <v>1.8439262317610765E-2</v>
      </c>
      <c r="Q627">
        <v>9.1740840415115762E-4</v>
      </c>
      <c r="R627">
        <v>1.2720560331730758E-3</v>
      </c>
      <c r="S627">
        <v>0.10357544797385007</v>
      </c>
      <c r="T627">
        <v>1.0148180742941741</v>
      </c>
      <c r="U627">
        <v>0</v>
      </c>
      <c r="V627">
        <v>0.20867893226787115</v>
      </c>
      <c r="W627">
        <v>8.1897212446980949E-2</v>
      </c>
      <c r="X627">
        <v>3.0216404431832149E-2</v>
      </c>
      <c r="Y627">
        <v>3.4621171891384751E-3</v>
      </c>
    </row>
    <row r="628" spans="1:25" x14ac:dyDescent="0.25">
      <c r="A628" s="1095"/>
      <c r="B628" s="1454">
        <v>378</v>
      </c>
      <c r="C628" s="1099">
        <v>1.0171420349208291</v>
      </c>
      <c r="D628" s="1099">
        <v>1.0089324506925734</v>
      </c>
      <c r="E628" s="1099">
        <v>1.0315939030071888</v>
      </c>
      <c r="F628" s="1099">
        <v>0.99172804332667763</v>
      </c>
      <c r="G628" s="1099">
        <v>0.97146640619561131</v>
      </c>
      <c r="H628" s="1099">
        <v>1.0066863956918133</v>
      </c>
      <c r="I628" s="1099">
        <v>1.0078805046784829</v>
      </c>
      <c r="K628">
        <v>1.7247371848831594</v>
      </c>
      <c r="L628">
        <v>0</v>
      </c>
      <c r="M628">
        <v>1.2687816048009973E-3</v>
      </c>
      <c r="N628">
        <v>0.12838999559107858</v>
      </c>
      <c r="O628">
        <v>0.12572201550566636</v>
      </c>
      <c r="P628">
        <v>1.8629677020420066E-2</v>
      </c>
      <c r="Q628">
        <v>9.0958218876035178E-4</v>
      </c>
      <c r="R628">
        <v>1.2655276886700353E-3</v>
      </c>
      <c r="S628">
        <v>0.10696253341546282</v>
      </c>
      <c r="T628">
        <v>1.0216096518114028</v>
      </c>
      <c r="U628">
        <v>0</v>
      </c>
      <c r="V628">
        <v>0.20579511197062095</v>
      </c>
      <c r="W628">
        <v>8.2793686812674253E-2</v>
      </c>
      <c r="X628">
        <v>3.0483835295734722E-2</v>
      </c>
      <c r="Y628">
        <v>3.4443491874693848E-3</v>
      </c>
    </row>
    <row r="629" spans="1:25" x14ac:dyDescent="0.25">
      <c r="A629" s="1095"/>
      <c r="B629" s="1454">
        <v>379</v>
      </c>
      <c r="C629" s="1099">
        <v>1.024021423530221</v>
      </c>
      <c r="D629" s="1099">
        <v>1.0110197429163033</v>
      </c>
      <c r="E629" s="1099">
        <v>0.98947071717701884</v>
      </c>
      <c r="F629" s="1099">
        <v>1.0031397309295484</v>
      </c>
      <c r="G629" s="1099">
        <v>1.0071955734574398</v>
      </c>
      <c r="H629" s="1099">
        <v>0.97273541426931376</v>
      </c>
      <c r="I629" s="1099">
        <v>1.0061034889123239</v>
      </c>
      <c r="K629">
        <v>1.7199891901506934</v>
      </c>
      <c r="L629">
        <v>0</v>
      </c>
      <c r="M629">
        <v>1.3295191269427076E-3</v>
      </c>
      <c r="N629">
        <v>0.11846066912605556</v>
      </c>
      <c r="O629">
        <v>0.12597328915032011</v>
      </c>
      <c r="P629">
        <v>1.8210846681796452E-2</v>
      </c>
      <c r="Q629">
        <v>8.6435809093878652E-4</v>
      </c>
      <c r="R629">
        <v>1.3259943792067971E-3</v>
      </c>
      <c r="S629">
        <v>0.10363266133361376</v>
      </c>
      <c r="T629">
        <v>1.0346081131471583</v>
      </c>
      <c r="U629">
        <v>0</v>
      </c>
      <c r="V629">
        <v>0.20737513143975497</v>
      </c>
      <c r="W629">
        <v>7.8311181405498698E-2</v>
      </c>
      <c r="X629">
        <v>2.8947544937020571E-2</v>
      </c>
      <c r="Y629">
        <v>3.6089195862712745E-3</v>
      </c>
    </row>
    <row r="630" spans="1:25" x14ac:dyDescent="0.25">
      <c r="A630" s="1095"/>
      <c r="B630" s="1454">
        <v>380</v>
      </c>
      <c r="C630" s="1099">
        <v>0.99686323640775265</v>
      </c>
      <c r="D630" s="1099">
        <v>1.0326968332361566</v>
      </c>
      <c r="E630" s="1099">
        <v>1.0001929354789469</v>
      </c>
      <c r="F630" s="1099">
        <v>0.98068292168288518</v>
      </c>
      <c r="G630" s="1099">
        <v>0.95640505445280988</v>
      </c>
      <c r="H630" s="1099">
        <v>1.0158273929149013</v>
      </c>
      <c r="I630" s="1099">
        <v>0.96166438893894746</v>
      </c>
      <c r="K630">
        <v>1.7051912515607883</v>
      </c>
      <c r="L630">
        <v>0</v>
      </c>
      <c r="M630">
        <v>1.3719377606808848E-3</v>
      </c>
      <c r="N630">
        <v>0.12627806117371881</v>
      </c>
      <c r="O630">
        <v>0.12473792941302317</v>
      </c>
      <c r="P630">
        <v>1.8002300273545872E-2</v>
      </c>
      <c r="Q630">
        <v>8.9027298904283689E-4</v>
      </c>
      <c r="R630">
        <v>1.3684264861533657E-3</v>
      </c>
      <c r="S630">
        <v>0.10302624890015286</v>
      </c>
      <c r="T630">
        <v>1.0111326358396728</v>
      </c>
      <c r="U630">
        <v>0</v>
      </c>
      <c r="V630">
        <v>0.20539892919718572</v>
      </c>
      <c r="W630">
        <v>8.2946590590634334E-2</v>
      </c>
      <c r="X630">
        <v>2.9057388664700114E-2</v>
      </c>
      <c r="Y630">
        <v>3.7244057936395365E-3</v>
      </c>
    </row>
    <row r="631" spans="1:25" x14ac:dyDescent="0.25">
      <c r="A631" s="1095"/>
      <c r="B631" s="1454">
        <v>381</v>
      </c>
      <c r="C631" s="1099">
        <v>1.0406980214517874</v>
      </c>
      <c r="D631" s="1099">
        <v>0.99851896492019898</v>
      </c>
      <c r="E631" s="1099">
        <v>1.0215014809538483</v>
      </c>
      <c r="F631" s="1099">
        <v>1.0237128778529918</v>
      </c>
      <c r="G631" s="1099">
        <v>1.0139615786234617</v>
      </c>
      <c r="H631" s="1099">
        <v>1.0144685337189492</v>
      </c>
      <c r="I631" s="1099">
        <v>0.9872040215559158</v>
      </c>
      <c r="K631">
        <v>1.7565711309414298</v>
      </c>
      <c r="L631">
        <v>0</v>
      </c>
      <c r="M631">
        <v>1.2898438086773279E-3</v>
      </c>
      <c r="N631">
        <v>0.12661369938308012</v>
      </c>
      <c r="O631">
        <v>0.12737068113724612</v>
      </c>
      <c r="P631">
        <v>1.8939951362806705E-2</v>
      </c>
      <c r="Q631">
        <v>8.8352798682443244E-4</v>
      </c>
      <c r="R631">
        <v>1.2865824826625272E-3</v>
      </c>
      <c r="S631">
        <v>0.10386084403133417</v>
      </c>
      <c r="T631">
        <v>1.0548572187662653</v>
      </c>
      <c r="U631">
        <v>0</v>
      </c>
      <c r="V631">
        <v>0.20788962897045929</v>
      </c>
      <c r="W631">
        <v>8.2129262285248611E-2</v>
      </c>
      <c r="X631">
        <v>3.0527924948173107E-2</v>
      </c>
      <c r="Y631">
        <v>3.5016533960059749E-3</v>
      </c>
    </row>
    <row r="632" spans="1:25" x14ac:dyDescent="0.25">
      <c r="A632" s="1095"/>
      <c r="B632" s="1454">
        <v>382</v>
      </c>
      <c r="C632" s="1099">
        <v>1.0318717642189703</v>
      </c>
      <c r="D632" s="1099">
        <v>0.98592695165611888</v>
      </c>
      <c r="E632" s="1099">
        <v>1.0101985841558376</v>
      </c>
      <c r="F632" s="1099">
        <v>1.038918354652296</v>
      </c>
      <c r="G632" s="1099">
        <v>0.97458344366718053</v>
      </c>
      <c r="H632" s="1099">
        <v>0.99316971448261593</v>
      </c>
      <c r="I632" s="1099">
        <v>0.9832305908802178</v>
      </c>
      <c r="K632">
        <v>1.7720141113213479</v>
      </c>
      <c r="L632">
        <v>0</v>
      </c>
      <c r="M632">
        <v>1.3144536722324573E-3</v>
      </c>
      <c r="N632">
        <v>0.12469682288090894</v>
      </c>
      <c r="O632">
        <v>0.12948431521649534</v>
      </c>
      <c r="P632">
        <v>1.9000465273884364E-2</v>
      </c>
      <c r="Q632">
        <v>8.8527292588723016E-4</v>
      </c>
      <c r="R632">
        <v>1.3110690908920517E-3</v>
      </c>
      <c r="S632">
        <v>0.10373358391904643</v>
      </c>
      <c r="T632">
        <v>1.0708688425851451</v>
      </c>
      <c r="U632">
        <v>0</v>
      </c>
      <c r="V632">
        <v>0.20781833382825923</v>
      </c>
      <c r="W632">
        <v>8.1424277679382179E-2</v>
      </c>
      <c r="X632">
        <v>3.053728372208012E-2</v>
      </c>
      <c r="Y632">
        <v>3.5682978715985058E-3</v>
      </c>
    </row>
    <row r="633" spans="1:25" x14ac:dyDescent="0.25">
      <c r="A633" s="1095"/>
      <c r="B633" s="1454">
        <v>383</v>
      </c>
      <c r="C633" s="1099">
        <v>1.0012098394946907</v>
      </c>
      <c r="D633" s="1099">
        <v>1.0205568855905904</v>
      </c>
      <c r="E633" s="1099">
        <v>0.97170969079920655</v>
      </c>
      <c r="F633" s="1099">
        <v>1.0145696259529635</v>
      </c>
      <c r="G633" s="1099">
        <v>0.99539494334554057</v>
      </c>
      <c r="H633" s="1099">
        <v>1.0001947122938324</v>
      </c>
      <c r="I633" s="1099">
        <v>1.0127028785830348</v>
      </c>
      <c r="K633">
        <v>1.7459333178032199</v>
      </c>
      <c r="L633">
        <v>0</v>
      </c>
      <c r="M633">
        <v>1.4412387674637998E-3</v>
      </c>
      <c r="N633">
        <v>0.1217045372349667</v>
      </c>
      <c r="O633">
        <v>0.12748318614778692</v>
      </c>
      <c r="P633">
        <v>1.8209573096120719E-2</v>
      </c>
      <c r="Q633">
        <v>8.6450159273880449E-4</v>
      </c>
      <c r="R633">
        <v>1.4375128580068328E-3</v>
      </c>
      <c r="S633">
        <v>0.10790058860320557</v>
      </c>
      <c r="T633">
        <v>1.0469426756883999</v>
      </c>
      <c r="U633">
        <v>0</v>
      </c>
      <c r="V633">
        <v>0.20894300515620132</v>
      </c>
      <c r="W633">
        <v>8.1322708463610352E-2</v>
      </c>
      <c r="X633">
        <v>2.8653831606135462E-2</v>
      </c>
      <c r="Y633">
        <v>3.9124361235083121E-3</v>
      </c>
    </row>
    <row r="634" spans="1:25" x14ac:dyDescent="0.25">
      <c r="A634" s="1095"/>
      <c r="B634" s="1454">
        <v>384</v>
      </c>
      <c r="C634" s="1099">
        <v>1.0218917748487768</v>
      </c>
      <c r="D634" s="1099">
        <v>1.0345386826417329</v>
      </c>
      <c r="E634" s="1099">
        <v>0.99645117950549145</v>
      </c>
      <c r="F634" s="1099">
        <v>0.97128410251662156</v>
      </c>
      <c r="G634" s="1099">
        <v>1.0280343233691351</v>
      </c>
      <c r="H634" s="1099">
        <v>1.0138208710067944</v>
      </c>
      <c r="I634" s="1099">
        <v>0.97128373479251084</v>
      </c>
      <c r="K634">
        <v>1.6858309226274462</v>
      </c>
      <c r="L634">
        <v>0</v>
      </c>
      <c r="M634">
        <v>1.3462936044563627E-3</v>
      </c>
      <c r="N634">
        <v>0.12252420093363871</v>
      </c>
      <c r="O634">
        <v>0.12269049995542311</v>
      </c>
      <c r="P634">
        <v>1.7810414733112949E-2</v>
      </c>
      <c r="Q634">
        <v>8.6448602644423691E-4</v>
      </c>
      <c r="R634">
        <v>1.3428441070302559E-3</v>
      </c>
      <c r="S634">
        <v>0.10133892449395612</v>
      </c>
      <c r="T634">
        <v>1.0015502064014425</v>
      </c>
      <c r="U634">
        <v>0</v>
      </c>
      <c r="V634">
        <v>0.20625748087090193</v>
      </c>
      <c r="W634">
        <v>8.0660260338299677E-2</v>
      </c>
      <c r="X634">
        <v>2.8483119380756552E-2</v>
      </c>
      <c r="Y634">
        <v>3.654778990895443E-3</v>
      </c>
    </row>
    <row r="635" spans="1:25" x14ac:dyDescent="0.25">
      <c r="A635" s="1095"/>
      <c r="B635" s="1454">
        <v>385</v>
      </c>
      <c r="C635" s="1099">
        <v>0.99512366370447469</v>
      </c>
      <c r="D635" s="1099">
        <v>0.98665839912064979</v>
      </c>
      <c r="E635" s="1099">
        <v>0.98282945019310974</v>
      </c>
      <c r="F635" s="1099">
        <v>1.0081613878020583</v>
      </c>
      <c r="G635" s="1099">
        <v>0.96921352497568636</v>
      </c>
      <c r="H635" s="1099">
        <v>0.97180758663441991</v>
      </c>
      <c r="I635" s="1099">
        <v>1.0417492724035329</v>
      </c>
      <c r="K635">
        <v>1.7458899858286885</v>
      </c>
      <c r="L635">
        <v>0</v>
      </c>
      <c r="M635">
        <v>1.4031217459367625E-3</v>
      </c>
      <c r="N635">
        <v>0.1225332941404385</v>
      </c>
      <c r="O635">
        <v>0.12891768668975112</v>
      </c>
      <c r="P635">
        <v>1.8323971433911259E-2</v>
      </c>
      <c r="Q635">
        <v>8.9196991502933447E-4</v>
      </c>
      <c r="R635">
        <v>1.3994083861385202E-3</v>
      </c>
      <c r="S635">
        <v>0.1118816271351438</v>
      </c>
      <c r="T635">
        <v>1.0399890998833901</v>
      </c>
      <c r="U635">
        <v>0</v>
      </c>
      <c r="V635">
        <v>0.2089092345708822</v>
      </c>
      <c r="W635">
        <v>8.1327388855399585E-2</v>
      </c>
      <c r="X635">
        <v>2.9310698252321639E-2</v>
      </c>
      <c r="Y635">
        <v>3.8087283122185422E-3</v>
      </c>
    </row>
    <row r="636" spans="1:25" x14ac:dyDescent="0.25">
      <c r="A636" s="1095"/>
      <c r="B636" s="1454">
        <v>386</v>
      </c>
      <c r="C636" s="1099">
        <v>1.0162569691642529</v>
      </c>
      <c r="D636" s="1099">
        <v>0.99425031417349052</v>
      </c>
      <c r="E636" s="1099">
        <v>0.97510691332320698</v>
      </c>
      <c r="F636" s="1099">
        <v>0.96897779181225419</v>
      </c>
      <c r="G636" s="1099">
        <v>0.99152276383182369</v>
      </c>
      <c r="H636" s="1099">
        <v>1.0229529093830099</v>
      </c>
      <c r="I636" s="1099">
        <v>1.0108274553347976</v>
      </c>
      <c r="K636">
        <v>1.6975903323899104</v>
      </c>
      <c r="L636">
        <v>0</v>
      </c>
      <c r="M636">
        <v>1.4604236007388556E-3</v>
      </c>
      <c r="N636">
        <v>0.1246072642588736</v>
      </c>
      <c r="O636">
        <v>0.12447179448959206</v>
      </c>
      <c r="P636">
        <v>1.7603193588989957E-2</v>
      </c>
      <c r="Q636">
        <v>8.6372514655501745E-4</v>
      </c>
      <c r="R636">
        <v>1.4567402516075425E-3</v>
      </c>
      <c r="S636">
        <v>0.10923216519912037</v>
      </c>
      <c r="T636">
        <v>0.99979561904096759</v>
      </c>
      <c r="U636">
        <v>0</v>
      </c>
      <c r="V636">
        <v>0.20592054067347276</v>
      </c>
      <c r="W636">
        <v>8.3090788086810502E-2</v>
      </c>
      <c r="X636">
        <v>2.8044158504078841E-2</v>
      </c>
      <c r="Y636">
        <v>3.964766750580849E-3</v>
      </c>
    </row>
    <row r="637" spans="1:25" x14ac:dyDescent="0.25">
      <c r="A637" s="1095"/>
      <c r="B637" s="1454">
        <v>387</v>
      </c>
      <c r="C637" s="1099">
        <v>1.0020249278013993</v>
      </c>
      <c r="D637" s="1099">
        <v>1.0303438955083346</v>
      </c>
      <c r="E637" s="1099">
        <v>0.98508131001409527</v>
      </c>
      <c r="F637" s="1099">
        <v>0.99055524613391932</v>
      </c>
      <c r="G637" s="1099">
        <v>1.0209431230813717</v>
      </c>
      <c r="H637" s="1099">
        <v>0.97819216958709554</v>
      </c>
      <c r="I637" s="1099">
        <v>0.97057064396551751</v>
      </c>
      <c r="K637">
        <v>1.7067124620073115</v>
      </c>
      <c r="L637">
        <v>0</v>
      </c>
      <c r="M637">
        <v>1.3596497872209548E-3</v>
      </c>
      <c r="N637">
        <v>0.11954763513846742</v>
      </c>
      <c r="O637">
        <v>0.12526254553428806</v>
      </c>
      <c r="P637">
        <v>1.7960710091238674E-2</v>
      </c>
      <c r="Q637">
        <v>8.7266039899816278E-4</v>
      </c>
      <c r="R637">
        <v>1.3560422078193659E-3</v>
      </c>
      <c r="S637">
        <v>0.101150376372798</v>
      </c>
      <c r="T637">
        <v>1.0217597551449016</v>
      </c>
      <c r="U637">
        <v>0</v>
      </c>
      <c r="V637">
        <v>0.20862475073772715</v>
      </c>
      <c r="W637">
        <v>7.9238279206440804E-2</v>
      </c>
      <c r="X637">
        <v>2.860865709136156E-2</v>
      </c>
      <c r="Y637">
        <v>3.6906998704906457E-3</v>
      </c>
    </row>
    <row r="638" spans="1:25" x14ac:dyDescent="0.25">
      <c r="A638" s="1095"/>
      <c r="B638" s="1454">
        <v>388</v>
      </c>
      <c r="C638" s="1099">
        <v>0.99395251997962175</v>
      </c>
      <c r="D638" s="1099">
        <v>0.95444776153424871</v>
      </c>
      <c r="E638" s="1099">
        <v>1.0345979674127517</v>
      </c>
      <c r="F638" s="1099">
        <v>1.0105286955205526</v>
      </c>
      <c r="G638" s="1099">
        <v>1.0382127948223885</v>
      </c>
      <c r="H638" s="1099">
        <v>0.99150151162721833</v>
      </c>
      <c r="I638" s="1099">
        <v>0.97531720825326251</v>
      </c>
      <c r="K638">
        <v>1.7696209743668831</v>
      </c>
      <c r="L638">
        <v>0</v>
      </c>
      <c r="M638">
        <v>1.3126443113352785E-3</v>
      </c>
      <c r="N638">
        <v>0.13403487643504738</v>
      </c>
      <c r="O638">
        <v>0.13091840590408874</v>
      </c>
      <c r="P638">
        <v>1.907174982036041E-2</v>
      </c>
      <c r="Q638">
        <v>9.5462106487420053E-4</v>
      </c>
      <c r="R638">
        <v>1.3092609651262686E-3</v>
      </c>
      <c r="S638">
        <v>0.10853039226122903</v>
      </c>
      <c r="T638">
        <v>1.0408895163206198</v>
      </c>
      <c r="U638">
        <v>0</v>
      </c>
      <c r="V638">
        <v>0.2136405589011835</v>
      </c>
      <c r="W638">
        <v>8.6283623775663343E-2</v>
      </c>
      <c r="X638">
        <v>3.1737236480713367E-2</v>
      </c>
      <c r="Y638">
        <v>3.563376749312543E-3</v>
      </c>
    </row>
    <row r="639" spans="1:25" x14ac:dyDescent="0.25">
      <c r="A639" s="1095"/>
      <c r="B639" s="1454">
        <v>389</v>
      </c>
      <c r="C639" s="1099">
        <v>1.0459175483653476</v>
      </c>
      <c r="D639" s="1099">
        <v>1.0035430414862998</v>
      </c>
      <c r="E639" s="1099">
        <v>1.0104143373374634</v>
      </c>
      <c r="F639" s="1099">
        <v>0.97920417184593145</v>
      </c>
      <c r="G639" s="1099">
        <v>0.95472502403372661</v>
      </c>
      <c r="H639" s="1099">
        <v>1.0381739590549888</v>
      </c>
      <c r="I639" s="1099">
        <v>1.001107105356162</v>
      </c>
      <c r="K639">
        <v>1.7021884971633907</v>
      </c>
      <c r="L639">
        <v>0</v>
      </c>
      <c r="M639">
        <v>1.3356089503619543E-3</v>
      </c>
      <c r="N639">
        <v>0.12679818662296199</v>
      </c>
      <c r="O639">
        <v>0.12352734833585126</v>
      </c>
      <c r="P639">
        <v>1.8107992800265395E-2</v>
      </c>
      <c r="Q639">
        <v>8.6741229430303628E-4</v>
      </c>
      <c r="R639">
        <v>1.3322948774678535E-3</v>
      </c>
      <c r="S639">
        <v>0.10581407497228297</v>
      </c>
      <c r="T639">
        <v>1.0093120175991528</v>
      </c>
      <c r="U639">
        <v>0</v>
      </c>
      <c r="V639">
        <v>0.20214453515434455</v>
      </c>
      <c r="W639">
        <v>8.2785891379522913E-2</v>
      </c>
      <c r="X639">
        <v>2.9208284612020685E-2</v>
      </c>
      <c r="Y639">
        <v>3.6260674655791752E-3</v>
      </c>
    </row>
    <row r="640" spans="1:25" x14ac:dyDescent="0.25">
      <c r="A640" s="1095"/>
      <c r="B640" s="1454">
        <v>390</v>
      </c>
      <c r="C640" s="1099">
        <v>0.96740031370787927</v>
      </c>
      <c r="D640" s="1099">
        <v>1.018119824336237</v>
      </c>
      <c r="E640" s="1099">
        <v>1.0162350265024094</v>
      </c>
      <c r="F640" s="1099">
        <v>0.95595748692835758</v>
      </c>
      <c r="G640" s="1099">
        <v>0.98479968979399779</v>
      </c>
      <c r="H640" s="1099">
        <v>1.0133087386050983</v>
      </c>
      <c r="I640" s="1099">
        <v>1.0098425104882045</v>
      </c>
      <c r="K640">
        <v>1.7013655419803957</v>
      </c>
      <c r="L640">
        <v>0</v>
      </c>
      <c r="M640">
        <v>1.3688634840027232E-3</v>
      </c>
      <c r="N640">
        <v>0.13224661826910905</v>
      </c>
      <c r="O640">
        <v>0.12505741970341455</v>
      </c>
      <c r="P640">
        <v>1.8025229068843251E-2</v>
      </c>
      <c r="Q640">
        <v>9.3802425864974428E-4</v>
      </c>
      <c r="R640">
        <v>1.3653438804179738E-3</v>
      </c>
      <c r="S640">
        <v>0.11196233796287668</v>
      </c>
      <c r="T640">
        <v>0.98518735227320609</v>
      </c>
      <c r="U640">
        <v>0</v>
      </c>
      <c r="V640">
        <v>0.20847774511567052</v>
      </c>
      <c r="W640">
        <v>8.6048067345447302E-2</v>
      </c>
      <c r="X640">
        <v>2.9710251629753506E-2</v>
      </c>
      <c r="Y640">
        <v>3.7160159570085081E-3</v>
      </c>
    </row>
    <row r="641" spans="1:25" x14ac:dyDescent="0.25">
      <c r="A641" s="1095"/>
      <c r="B641" s="1454">
        <v>391</v>
      </c>
      <c r="C641" s="1099">
        <v>0.99927056384507573</v>
      </c>
      <c r="D641" s="1099">
        <v>0.99381294789880037</v>
      </c>
      <c r="E641" s="1099">
        <v>0.98424448408491039</v>
      </c>
      <c r="F641" s="1099">
        <v>0.99782911747921244</v>
      </c>
      <c r="G641" s="1099">
        <v>0.9965724902301899</v>
      </c>
      <c r="H641" s="1099">
        <v>0.98713741058880966</v>
      </c>
      <c r="I641" s="1099">
        <v>1.0257027510938885</v>
      </c>
      <c r="K641">
        <v>1.7337003245953992</v>
      </c>
      <c r="L641">
        <v>0</v>
      </c>
      <c r="M641">
        <v>1.4084152175409302E-3</v>
      </c>
      <c r="N641">
        <v>0.12352762734916839</v>
      </c>
      <c r="O641">
        <v>0.12759197267070269</v>
      </c>
      <c r="P641">
        <v>1.8180715329361066E-2</v>
      </c>
      <c r="Q641">
        <v>8.870167433807926E-4</v>
      </c>
      <c r="R641">
        <v>1.4047387189694768E-3</v>
      </c>
      <c r="S641">
        <v>0.1102792899721963</v>
      </c>
      <c r="T641">
        <v>1.0292879724908683</v>
      </c>
      <c r="U641">
        <v>0</v>
      </c>
      <c r="V641">
        <v>0.20912774313745866</v>
      </c>
      <c r="W641">
        <v>8.1917517681878368E-2</v>
      </c>
      <c r="X641">
        <v>2.908090999791612E-2</v>
      </c>
      <c r="Y641">
        <v>3.823235721040662E-3</v>
      </c>
    </row>
    <row r="642" spans="1:25" x14ac:dyDescent="0.25">
      <c r="A642" s="1095"/>
      <c r="B642" s="1454">
        <v>392</v>
      </c>
      <c r="C642" s="1099">
        <v>0.99972385608261294</v>
      </c>
      <c r="D642" s="1099">
        <v>0.98275385849221897</v>
      </c>
      <c r="E642" s="1099">
        <v>1.0084892260721599</v>
      </c>
      <c r="F642" s="1099">
        <v>0.98988951834513461</v>
      </c>
      <c r="G642" s="1099">
        <v>0.99254635481721931</v>
      </c>
      <c r="H642" s="1099">
        <v>0.98043644019381404</v>
      </c>
      <c r="I642" s="1099">
        <v>0.99376108868766888</v>
      </c>
      <c r="K642">
        <v>1.7254667973963858</v>
      </c>
      <c r="L642">
        <v>0</v>
      </c>
      <c r="M642">
        <v>1.3375625666228294E-3</v>
      </c>
      <c r="N642">
        <v>0.12622963503484652</v>
      </c>
      <c r="O642">
        <v>0.12757110134606608</v>
      </c>
      <c r="P642">
        <v>1.8343872344210071E-2</v>
      </c>
      <c r="Q642">
        <v>9.133074029667789E-4</v>
      </c>
      <c r="R642">
        <v>1.3340521979264613E-3</v>
      </c>
      <c r="S642">
        <v>0.1070631902988777</v>
      </c>
      <c r="T642">
        <v>1.0203820230173406</v>
      </c>
      <c r="U642">
        <v>0</v>
      </c>
      <c r="V642">
        <v>0.20888414122208204</v>
      </c>
      <c r="W642">
        <v>8.2508337043392055E-2</v>
      </c>
      <c r="X642">
        <v>2.9943849742730462E-2</v>
      </c>
      <c r="Y642">
        <v>3.630850312566972E-3</v>
      </c>
    </row>
    <row r="643" spans="1:25" x14ac:dyDescent="0.25">
      <c r="A643" s="1095"/>
      <c r="B643" s="1454">
        <v>393</v>
      </c>
      <c r="C643" s="1099">
        <v>0.99569147524528079</v>
      </c>
      <c r="D643" s="1099">
        <v>1.0000411020734066</v>
      </c>
      <c r="E643" s="1099">
        <v>1.0187967021438451</v>
      </c>
      <c r="F643" s="1099">
        <v>0.97403027357667604</v>
      </c>
      <c r="G643" s="1099">
        <v>1.0006485127497371</v>
      </c>
      <c r="H643" s="1099">
        <v>1.0067917612750166</v>
      </c>
      <c r="I643" s="1099">
        <v>1.037014210932147</v>
      </c>
      <c r="K643">
        <v>1.7176955517357579</v>
      </c>
      <c r="L643">
        <v>0</v>
      </c>
      <c r="M643">
        <v>1.3337340150291661E-3</v>
      </c>
      <c r="N643">
        <v>0.12985288972709644</v>
      </c>
      <c r="O643">
        <v>0.12580766437879448</v>
      </c>
      <c r="P643">
        <v>1.8324464322423531E-2</v>
      </c>
      <c r="Q643">
        <v>9.2034509496271536E-4</v>
      </c>
      <c r="R643">
        <v>1.3303081228540209E-3</v>
      </c>
      <c r="S643">
        <v>0.11278040913798511</v>
      </c>
      <c r="T643">
        <v>1.0037398661038544</v>
      </c>
      <c r="U643">
        <v>0</v>
      </c>
      <c r="V643">
        <v>0.20828941833274689</v>
      </c>
      <c r="W643">
        <v>8.436377538134146E-2</v>
      </c>
      <c r="X643">
        <v>2.9999484974273943E-2</v>
      </c>
      <c r="Y643">
        <v>3.6206601744538055E-3</v>
      </c>
    </row>
    <row r="644" spans="1:25" x14ac:dyDescent="0.25">
      <c r="A644" s="1095"/>
      <c r="B644" s="1454">
        <v>394</v>
      </c>
      <c r="C644" s="1099">
        <v>0.97685241278274715</v>
      </c>
      <c r="D644" s="1099">
        <v>0.98608113798570329</v>
      </c>
      <c r="E644" s="1099">
        <v>1.0157272649882081</v>
      </c>
      <c r="F644" s="1099">
        <v>1.030680209522816</v>
      </c>
      <c r="G644" s="1099">
        <v>0.99520759783117418</v>
      </c>
      <c r="H644" s="1099">
        <v>1.0074018473445645</v>
      </c>
      <c r="I644" s="1099">
        <v>0.95445092900607265</v>
      </c>
      <c r="K644">
        <v>1.7896062647821394</v>
      </c>
      <c r="L644">
        <v>0</v>
      </c>
      <c r="M644">
        <v>1.3849930609191327E-3</v>
      </c>
      <c r="N644">
        <v>0.13360264320050358</v>
      </c>
      <c r="O644">
        <v>0.1317738015755639</v>
      </c>
      <c r="P644">
        <v>1.9075869290875184E-2</v>
      </c>
      <c r="Q644">
        <v>9.4041411136790349E-4</v>
      </c>
      <c r="R644">
        <v>1.3814589183633297E-3</v>
      </c>
      <c r="S644">
        <v>0.10699425434822112</v>
      </c>
      <c r="T644">
        <v>1.0622101456273798</v>
      </c>
      <c r="U644">
        <v>0</v>
      </c>
      <c r="V644">
        <v>0.21305115377213552</v>
      </c>
      <c r="W644">
        <v>8.6956293289119121E-2</v>
      </c>
      <c r="X644">
        <v>3.1245347931554698E-2</v>
      </c>
      <c r="Y644">
        <v>3.7598757779749355E-3</v>
      </c>
    </row>
    <row r="645" spans="1:25" x14ac:dyDescent="0.25">
      <c r="A645" s="1095"/>
      <c r="B645" s="1454">
        <v>395</v>
      </c>
      <c r="C645" s="1099">
        <v>1.0035569773279898</v>
      </c>
      <c r="D645" s="1099">
        <v>0.99090407772383438</v>
      </c>
      <c r="E645" s="1099">
        <v>0.99946495059103013</v>
      </c>
      <c r="F645" s="1099">
        <v>1.0108526998675433</v>
      </c>
      <c r="G645" s="1099">
        <v>1.0120923089224207</v>
      </c>
      <c r="H645" s="1099">
        <v>0.96387785952160088</v>
      </c>
      <c r="I645" s="1099">
        <v>0.99355660742313812</v>
      </c>
      <c r="K645">
        <v>1.7416388913435374</v>
      </c>
      <c r="L645">
        <v>0</v>
      </c>
      <c r="M645">
        <v>1.3311133070074469E-3</v>
      </c>
      <c r="N645">
        <v>0.12223794529465064</v>
      </c>
      <c r="O645">
        <v>0.12855100439057804</v>
      </c>
      <c r="P645">
        <v>1.8511973162859394E-2</v>
      </c>
      <c r="Q645">
        <v>8.9839103220606931E-4</v>
      </c>
      <c r="R645">
        <v>1.3275619803789396E-3</v>
      </c>
      <c r="S645">
        <v>0.10506795955177625</v>
      </c>
      <c r="T645">
        <v>1.0422610499073468</v>
      </c>
      <c r="U645">
        <v>0</v>
      </c>
      <c r="V645">
        <v>0.21032595853057126</v>
      </c>
      <c r="W645">
        <v>8.0327566256948243E-2</v>
      </c>
      <c r="X645">
        <v>2.9847408463324902E-2</v>
      </c>
      <c r="Y645">
        <v>3.6131860799022567E-3</v>
      </c>
    </row>
    <row r="646" spans="1:25" x14ac:dyDescent="0.25">
      <c r="A646" s="1095"/>
      <c r="B646" s="1454">
        <v>396</v>
      </c>
      <c r="C646" s="1099">
        <v>1.0023724872815414</v>
      </c>
      <c r="D646" s="1099">
        <v>0.98273419193015177</v>
      </c>
      <c r="E646" s="1099">
        <v>0.99462307495798263</v>
      </c>
      <c r="F646" s="1099">
        <v>1.0050750298230009</v>
      </c>
      <c r="G646" s="1099">
        <v>1.0024093823791711</v>
      </c>
      <c r="H646" s="1099">
        <v>1.0082530943340846</v>
      </c>
      <c r="I646" s="1099">
        <v>0.99759825355757681</v>
      </c>
      <c r="K646">
        <v>1.7493060841001298</v>
      </c>
      <c r="L646">
        <v>0</v>
      </c>
      <c r="M646">
        <v>1.4141535023615805E-3</v>
      </c>
      <c r="N646">
        <v>0.12799275538014662</v>
      </c>
      <c r="O646">
        <v>0.12854093705192693</v>
      </c>
      <c r="P646">
        <v>1.8416871818552241E-2</v>
      </c>
      <c r="Q646">
        <v>8.9791017601007612E-4</v>
      </c>
      <c r="R646">
        <v>1.4105501927512097E-3</v>
      </c>
      <c r="S646">
        <v>0.10923339386181048</v>
      </c>
      <c r="T646">
        <v>1.0364489539326016</v>
      </c>
      <c r="U646">
        <v>0</v>
      </c>
      <c r="V646">
        <v>0.20989572879503465</v>
      </c>
      <c r="W646">
        <v>8.4352249198584167E-2</v>
      </c>
      <c r="X646">
        <v>2.9691834558147712E-2</v>
      </c>
      <c r="Y646">
        <v>3.8390526369227211E-3</v>
      </c>
    </row>
    <row r="647" spans="1:25" x14ac:dyDescent="0.25">
      <c r="A647" s="1095"/>
      <c r="B647" s="1454">
        <v>397</v>
      </c>
      <c r="C647" s="1099">
        <v>0.98297908897684794</v>
      </c>
      <c r="D647" s="1099">
        <v>0.96996759448351721</v>
      </c>
      <c r="E647" s="1099">
        <v>1.0167704869237664</v>
      </c>
      <c r="F647" s="1099">
        <v>0.99632511745392838</v>
      </c>
      <c r="G647" s="1099">
        <v>1.0153747894270519</v>
      </c>
      <c r="H647" s="1099">
        <v>0.99972862102214866</v>
      </c>
      <c r="I647" s="1099">
        <v>1.0042040792653704</v>
      </c>
      <c r="K647">
        <v>1.7541355260298881</v>
      </c>
      <c r="L647">
        <v>0</v>
      </c>
      <c r="M647">
        <v>1.3727564292863002E-3</v>
      </c>
      <c r="N647">
        <v>0.13283736833565124</v>
      </c>
      <c r="O647">
        <v>0.12958011210616435</v>
      </c>
      <c r="P647">
        <v>1.8662222479737981E-2</v>
      </c>
      <c r="Q647">
        <v>9.4174144311597627E-4</v>
      </c>
      <c r="R647">
        <v>1.3692287526697606E-3</v>
      </c>
      <c r="S647">
        <v>0.11227616417426783</v>
      </c>
      <c r="T647">
        <v>1.0267736872247888</v>
      </c>
      <c r="U647">
        <v>0</v>
      </c>
      <c r="V647">
        <v>0.21218925415974649</v>
      </c>
      <c r="W647">
        <v>8.6405299686769424E-2</v>
      </c>
      <c r="X647">
        <v>3.0746614797630353E-2</v>
      </c>
      <c r="Y647">
        <v>3.7265892986300783E-3</v>
      </c>
    </row>
    <row r="648" spans="1:25" x14ac:dyDescent="0.25">
      <c r="A648" s="1095"/>
      <c r="B648" s="1454">
        <v>398</v>
      </c>
      <c r="C648" s="1099">
        <v>0.99906293344545138</v>
      </c>
      <c r="D648" s="1099">
        <v>0.99071316993372205</v>
      </c>
      <c r="E648" s="1099">
        <v>0.98859349200551982</v>
      </c>
      <c r="F648" s="1099">
        <v>0.98269861818134985</v>
      </c>
      <c r="G648" s="1099">
        <v>1.0034058606119205</v>
      </c>
      <c r="H648" s="1099">
        <v>0.98987855220996113</v>
      </c>
      <c r="I648" s="1099">
        <v>0.96886650395133544</v>
      </c>
      <c r="K648">
        <v>1.7118444034871607</v>
      </c>
      <c r="L648">
        <v>0</v>
      </c>
      <c r="M648">
        <v>1.4006181856730984E-3</v>
      </c>
      <c r="N648">
        <v>0.12447078660147307</v>
      </c>
      <c r="O648">
        <v>0.12660355128662312</v>
      </c>
      <c r="P648">
        <v>1.7944815040554573E-2</v>
      </c>
      <c r="Q648">
        <v>8.92354183263129E-4</v>
      </c>
      <c r="R648">
        <v>1.3969693204786411E-3</v>
      </c>
      <c r="S648">
        <v>0.10449323909902758</v>
      </c>
      <c r="T648">
        <v>1.0135516728189926</v>
      </c>
      <c r="U648">
        <v>0</v>
      </c>
      <c r="V648">
        <v>0.20878636299027134</v>
      </c>
      <c r="W648">
        <v>8.2327595229242809E-2</v>
      </c>
      <c r="X648">
        <v>2.8975585123376467E-2</v>
      </c>
      <c r="Y648">
        <v>3.8020899795301309E-3</v>
      </c>
    </row>
    <row r="649" spans="1:25" x14ac:dyDescent="0.25">
      <c r="A649" s="1095"/>
      <c r="B649" s="1454">
        <v>399</v>
      </c>
      <c r="C649" s="1099">
        <v>0.98902739454132904</v>
      </c>
      <c r="D649" s="1099">
        <v>0.98584149074224914</v>
      </c>
      <c r="E649" s="1099">
        <v>0.99777752591997126</v>
      </c>
      <c r="F649" s="1099">
        <v>0.9721557250255477</v>
      </c>
      <c r="G649" s="1099">
        <v>0.96740687358503119</v>
      </c>
      <c r="H649" s="1099">
        <v>0.99551039817968501</v>
      </c>
      <c r="I649" s="1099">
        <v>1.0218877719789177</v>
      </c>
      <c r="K649">
        <v>1.7121620783156339</v>
      </c>
      <c r="L649">
        <v>0</v>
      </c>
      <c r="M649">
        <v>1.3975313346928024E-3</v>
      </c>
      <c r="N649">
        <v>0.12769414656541217</v>
      </c>
      <c r="O649">
        <v>0.12656646604361513</v>
      </c>
      <c r="P649">
        <v>1.8001676547427414E-2</v>
      </c>
      <c r="Q649">
        <v>9.1186083225644238E-4</v>
      </c>
      <c r="R649">
        <v>1.3939077872791514E-3</v>
      </c>
      <c r="S649">
        <v>0.11196196639884611</v>
      </c>
      <c r="T649">
        <v>1.0024105483338595</v>
      </c>
      <c r="U649">
        <v>0</v>
      </c>
      <c r="V649">
        <v>0.20751526578452559</v>
      </c>
      <c r="W649">
        <v>8.3997351311451043E-2</v>
      </c>
      <c r="X649">
        <v>2.9312662550257666E-2</v>
      </c>
      <c r="Y649">
        <v>3.7937574953952678E-3</v>
      </c>
    </row>
    <row r="650" spans="1:25" x14ac:dyDescent="0.25">
      <c r="A650" s="1095"/>
      <c r="B650" s="1454">
        <v>400</v>
      </c>
      <c r="C650" s="1099">
        <v>0.96838690255604654</v>
      </c>
      <c r="D650" s="1099">
        <v>0.97929545893342484</v>
      </c>
      <c r="E650" s="1099">
        <v>0.99684939373424009</v>
      </c>
      <c r="F650" s="1099">
        <v>1.0079415639056775</v>
      </c>
      <c r="G650" s="1099">
        <v>0.97457987344729269</v>
      </c>
      <c r="H650" s="1099">
        <v>1.0000252380122538</v>
      </c>
      <c r="I650" s="1099">
        <v>0.98793260920499049</v>
      </c>
      <c r="K650">
        <v>1.7650965064138819</v>
      </c>
      <c r="L650">
        <v>0</v>
      </c>
      <c r="M650">
        <v>1.4442316563949408E-3</v>
      </c>
      <c r="N650">
        <v>0.13159407768643749</v>
      </c>
      <c r="O650">
        <v>0.13073708170363801</v>
      </c>
      <c r="P650">
        <v>1.8542346756450064E-2</v>
      </c>
      <c r="Q650">
        <v>9.3288218476634329E-4</v>
      </c>
      <c r="R650">
        <v>1.4405138525616006E-3</v>
      </c>
      <c r="S650">
        <v>0.11142927711289959</v>
      </c>
      <c r="T650">
        <v>1.0393379761968182</v>
      </c>
      <c r="U650">
        <v>0</v>
      </c>
      <c r="V650">
        <v>0.21177145540826475</v>
      </c>
      <c r="W650">
        <v>8.6610595654243561E-2</v>
      </c>
      <c r="X650">
        <v>3.0223927672785197E-2</v>
      </c>
      <c r="Y650">
        <v>3.9206038414088019E-3</v>
      </c>
    </row>
    <row r="651" spans="1:25" x14ac:dyDescent="0.25">
      <c r="A651" s="1095"/>
      <c r="B651" s="1454">
        <v>401</v>
      </c>
      <c r="C651" s="1099">
        <v>0.99011181877284682</v>
      </c>
      <c r="D651" s="1099">
        <v>0.9882435891942678</v>
      </c>
      <c r="E651" s="1099">
        <v>0.99304011590576757</v>
      </c>
      <c r="F651" s="1099">
        <v>0.98668854267613992</v>
      </c>
      <c r="G651" s="1099">
        <v>0.97032664818162784</v>
      </c>
      <c r="H651" s="1099">
        <v>0.97902123507591654</v>
      </c>
      <c r="I651" s="1099">
        <v>0.9728249636908799</v>
      </c>
      <c r="K651">
        <v>1.7178491592428753</v>
      </c>
      <c r="L651">
        <v>0</v>
      </c>
      <c r="M651">
        <v>1.386429153402066E-3</v>
      </c>
      <c r="N651">
        <v>0.12487375839705635</v>
      </c>
      <c r="O651">
        <v>0.12750580811144518</v>
      </c>
      <c r="P651">
        <v>1.8062107156580326E-2</v>
      </c>
      <c r="Q651">
        <v>9.0550632907717007E-4</v>
      </c>
      <c r="R651">
        <v>1.3827774125400049E-3</v>
      </c>
      <c r="S651">
        <v>0.10526261859878662</v>
      </c>
      <c r="T651">
        <v>1.0175352404107871</v>
      </c>
      <c r="U651">
        <v>0</v>
      </c>
      <c r="V651">
        <v>0.2082470590013657</v>
      </c>
      <c r="W651">
        <v>8.2374549515165194E-2</v>
      </c>
      <c r="X651">
        <v>2.9322699178990202E-2</v>
      </c>
      <c r="Y651">
        <v>3.763464284482358E-3</v>
      </c>
    </row>
    <row r="652" spans="1:25" x14ac:dyDescent="0.25">
      <c r="A652" s="1095"/>
      <c r="B652" s="1454">
        <v>402</v>
      </c>
      <c r="C652" s="1099">
        <v>0.98550602825477229</v>
      </c>
      <c r="D652" s="1099">
        <v>1.0097690303682343</v>
      </c>
      <c r="E652" s="1099">
        <v>0.97675158323563516</v>
      </c>
      <c r="F652" s="1099">
        <v>0.98708733337412324</v>
      </c>
      <c r="G652" s="1099">
        <v>1.0311197073823668</v>
      </c>
      <c r="H652" s="1099">
        <v>1.0140925231058149</v>
      </c>
      <c r="I652" s="1099">
        <v>1.002480637903183</v>
      </c>
      <c r="K652">
        <v>1.7279218758576653</v>
      </c>
      <c r="L652">
        <v>0</v>
      </c>
      <c r="M652">
        <v>1.472999191686042E-3</v>
      </c>
      <c r="N652">
        <v>0.12630336992565988</v>
      </c>
      <c r="O652">
        <v>0.12672774177538501</v>
      </c>
      <c r="P652">
        <v>1.795170164982858E-2</v>
      </c>
      <c r="Q652">
        <v>8.86705578786131E-4</v>
      </c>
      <c r="R652">
        <v>1.4692371758695763E-3</v>
      </c>
      <c r="S652">
        <v>0.109958412405722</v>
      </c>
      <c r="T652">
        <v>1.0184316984170145</v>
      </c>
      <c r="U652">
        <v>0</v>
      </c>
      <c r="V652">
        <v>0.21091136141903125</v>
      </c>
      <c r="W652">
        <v>8.4137919145177875E-2</v>
      </c>
      <c r="X652">
        <v>2.8617948298063235E-2</v>
      </c>
      <c r="Y652">
        <v>3.998779258812128E-3</v>
      </c>
    </row>
    <row r="653" spans="1:25" x14ac:dyDescent="0.25">
      <c r="A653" s="1095"/>
      <c r="B653" s="1454">
        <v>403</v>
      </c>
      <c r="C653" s="1099">
        <v>1.0241593963914537</v>
      </c>
      <c r="D653" s="1099">
        <v>0.98794575886225755</v>
      </c>
      <c r="E653" s="1099">
        <v>0.97673884804771394</v>
      </c>
      <c r="F653" s="1099">
        <v>0.99608115761489457</v>
      </c>
      <c r="G653" s="1099">
        <v>1.0283381728520908</v>
      </c>
      <c r="H653" s="1099">
        <v>0.97013061028316905</v>
      </c>
      <c r="I653" s="1099">
        <v>1.0170585752922165</v>
      </c>
      <c r="K653">
        <v>1.7169650580804232</v>
      </c>
      <c r="L653">
        <v>0</v>
      </c>
      <c r="M653">
        <v>1.3790499724050491E-3</v>
      </c>
      <c r="N653">
        <v>0.11823190881819844</v>
      </c>
      <c r="O653">
        <v>0.12643450637004741</v>
      </c>
      <c r="P653">
        <v>1.7992917867642382E-2</v>
      </c>
      <c r="Q653">
        <v>8.607181167528124E-4</v>
      </c>
      <c r="R653">
        <v>1.3753980683649861E-3</v>
      </c>
      <c r="S653">
        <v>0.10601207727905197</v>
      </c>
      <c r="T653">
        <v>1.0277115020438992</v>
      </c>
      <c r="U653">
        <v>0</v>
      </c>
      <c r="V653">
        <v>0.20867007728330714</v>
      </c>
      <c r="W653">
        <v>7.8761663167623966E-2</v>
      </c>
      <c r="X653">
        <v>2.8549958895701357E-2</v>
      </c>
      <c r="Y653">
        <v>3.7433801422381112E-3</v>
      </c>
    </row>
    <row r="654" spans="1:25" x14ac:dyDescent="0.25">
      <c r="A654" s="1095"/>
      <c r="B654" s="1454">
        <v>404</v>
      </c>
      <c r="C654" s="1099">
        <v>0.98456048224508186</v>
      </c>
      <c r="D654" s="1099">
        <v>0.97838198591945891</v>
      </c>
      <c r="E654" s="1099">
        <v>1.0025555585306745</v>
      </c>
      <c r="F654" s="1099">
        <v>1.0173289180521548</v>
      </c>
      <c r="G654" s="1099">
        <v>0.98448544662025406</v>
      </c>
      <c r="H654" s="1099">
        <v>1.0184046598322105</v>
      </c>
      <c r="I654" s="1099">
        <v>0.98870706959034127</v>
      </c>
      <c r="K654">
        <v>1.7761899445350295</v>
      </c>
      <c r="L654">
        <v>0</v>
      </c>
      <c r="M654">
        <v>1.4335977703587234E-3</v>
      </c>
      <c r="N654">
        <v>0.13290364747708655</v>
      </c>
      <c r="O654">
        <v>0.1306516825336505</v>
      </c>
      <c r="P654">
        <v>1.8742909343808834E-2</v>
      </c>
      <c r="Q654">
        <v>9.2334753827651357E-4</v>
      </c>
      <c r="R654">
        <v>1.4299827156113664E-3</v>
      </c>
      <c r="S654">
        <v>0.11122428989482001</v>
      </c>
      <c r="T654">
        <v>1.0488451197402007</v>
      </c>
      <c r="U654">
        <v>0</v>
      </c>
      <c r="V654">
        <v>0.21135720135750971</v>
      </c>
      <c r="W654">
        <v>8.717628411174233E-2</v>
      </c>
      <c r="X654">
        <v>3.0477136034463777E-2</v>
      </c>
      <c r="Y654">
        <v>3.8919415582186296E-3</v>
      </c>
    </row>
    <row r="655" spans="1:25" x14ac:dyDescent="0.25">
      <c r="A655" s="1095"/>
      <c r="B655" s="1454">
        <v>405</v>
      </c>
      <c r="C655" s="1099">
        <v>0.99107255553717766</v>
      </c>
      <c r="D655" s="1099">
        <v>1.0022361674196132</v>
      </c>
      <c r="E655" s="1099">
        <v>1.0155806039112298</v>
      </c>
      <c r="F655" s="1099">
        <v>0.99034100795866919</v>
      </c>
      <c r="G655" s="1099">
        <v>1.0031165761986196</v>
      </c>
      <c r="H655" s="1099">
        <v>1.0133418899412856</v>
      </c>
      <c r="I655" s="1099">
        <v>1.0123578306614247</v>
      </c>
      <c r="K655">
        <v>1.7378048863952602</v>
      </c>
      <c r="L655">
        <v>0</v>
      </c>
      <c r="M655">
        <v>1.357421797705519E-3</v>
      </c>
      <c r="N655">
        <v>0.1308852353396919</v>
      </c>
      <c r="O655">
        <v>0.12718197636630149</v>
      </c>
      <c r="P655">
        <v>1.85076969073159E-2</v>
      </c>
      <c r="Q655">
        <v>9.2077640532009476E-4</v>
      </c>
      <c r="R655">
        <v>1.3539598776219244E-3</v>
      </c>
      <c r="S655">
        <v>0.11099962616288515</v>
      </c>
      <c r="T655">
        <v>1.0206411621482787</v>
      </c>
      <c r="U655">
        <v>0</v>
      </c>
      <c r="V655">
        <v>0.20958360317692684</v>
      </c>
      <c r="W655">
        <v>8.5194982612248907E-2</v>
      </c>
      <c r="X655">
        <v>3.0208256742242208E-2</v>
      </c>
      <c r="Y655">
        <v>3.6850324541331742E-3</v>
      </c>
    </row>
    <row r="656" spans="1:25" x14ac:dyDescent="0.25">
      <c r="A656" s="1095"/>
      <c r="B656" s="1454">
        <v>406</v>
      </c>
      <c r="C656" s="1099">
        <v>0.98889310662261287</v>
      </c>
      <c r="D656" s="1099">
        <v>1.0150477714201169</v>
      </c>
      <c r="E656" s="1099">
        <v>0.98076020557217392</v>
      </c>
      <c r="F656" s="1099">
        <v>1.0339333749660693</v>
      </c>
      <c r="G656" s="1099">
        <v>0.99701188733115254</v>
      </c>
      <c r="H656" s="1099">
        <v>0.95511649693293854</v>
      </c>
      <c r="I656" s="1099">
        <v>0.99705538945325356</v>
      </c>
      <c r="K656">
        <v>1.7635764076672178</v>
      </c>
      <c r="L656">
        <v>0</v>
      </c>
      <c r="M656">
        <v>1.3728078399857769E-3</v>
      </c>
      <c r="N656">
        <v>0.11913113971373304</v>
      </c>
      <c r="O656">
        <v>0.12986844878682158</v>
      </c>
      <c r="P656">
        <v>1.8590206258782473E-2</v>
      </c>
      <c r="Q656">
        <v>8.8554208279688199E-4</v>
      </c>
      <c r="R656">
        <v>1.3690973980421304E-3</v>
      </c>
      <c r="S656">
        <v>0.10482214375103718</v>
      </c>
      <c r="T656">
        <v>1.0666394719103445</v>
      </c>
      <c r="U656">
        <v>0</v>
      </c>
      <c r="V656">
        <v>0.21126358403008952</v>
      </c>
      <c r="W656">
        <v>7.9168037254601739E-2</v>
      </c>
      <c r="X656">
        <v>2.9485312526318842E-2</v>
      </c>
      <c r="Y656">
        <v>3.7262317946347091E-3</v>
      </c>
    </row>
    <row r="657" spans="1:25" x14ac:dyDescent="0.25">
      <c r="A657" s="1095"/>
      <c r="B657" s="1454">
        <v>407</v>
      </c>
      <c r="C657" s="1099">
        <v>0.9936098965457002</v>
      </c>
      <c r="D657" s="1099">
        <v>1.0298794511630154</v>
      </c>
      <c r="E657" s="1099">
        <v>1.0177851336065411</v>
      </c>
      <c r="F657" s="1099">
        <v>1.0371086947641808</v>
      </c>
      <c r="G657" s="1099">
        <v>0.98404566053093234</v>
      </c>
      <c r="H657" s="1099">
        <v>0.98446997460316776</v>
      </c>
      <c r="I657" s="1099">
        <v>1.0321877894599305</v>
      </c>
      <c r="K657">
        <v>1.779048986594117</v>
      </c>
      <c r="L657">
        <v>0</v>
      </c>
      <c r="M657">
        <v>1.2938436519968723E-3</v>
      </c>
      <c r="N657">
        <v>0.12557780840732605</v>
      </c>
      <c r="O657">
        <v>0.12932580943167449</v>
      </c>
      <c r="P657">
        <v>1.9185111458510293E-2</v>
      </c>
      <c r="Q657">
        <v>9.1054430759085004E-4</v>
      </c>
      <c r="R657">
        <v>1.2904435731255703E-3</v>
      </c>
      <c r="S657">
        <v>0.10923937311707786</v>
      </c>
      <c r="T657">
        <v>1.0687729044782359</v>
      </c>
      <c r="U657">
        <v>0</v>
      </c>
      <c r="V657">
        <v>0.21005939157995415</v>
      </c>
      <c r="W657">
        <v>8.1634673058623153E-2</v>
      </c>
      <c r="X657">
        <v>3.0834608822558163E-2</v>
      </c>
      <c r="Y657">
        <v>3.5121620114382484E-3</v>
      </c>
    </row>
    <row r="658" spans="1:25" x14ac:dyDescent="0.25">
      <c r="A658" s="1095"/>
      <c r="B658" s="1454">
        <v>408</v>
      </c>
      <c r="C658" s="1099">
        <v>0.97697058692468541</v>
      </c>
      <c r="D658" s="1099">
        <v>0.97274455368271795</v>
      </c>
      <c r="E658" s="1099">
        <v>1.0002427942774266</v>
      </c>
      <c r="F658" s="1099">
        <v>1.0202662194073799</v>
      </c>
      <c r="G658" s="1099">
        <v>1.0194136549458759</v>
      </c>
      <c r="H658" s="1099">
        <v>1.0154998808657221</v>
      </c>
      <c r="I658" s="1099">
        <v>0.9957526682147535</v>
      </c>
      <c r="K658">
        <v>1.7863137423289537</v>
      </c>
      <c r="L658">
        <v>0</v>
      </c>
      <c r="M658">
        <v>1.4518886573669869E-3</v>
      </c>
      <c r="N658">
        <v>0.13366147526126745</v>
      </c>
      <c r="O658">
        <v>0.13155301427136948</v>
      </c>
      <c r="P658">
        <v>1.8814464320489305E-2</v>
      </c>
      <c r="Q658">
        <v>9.304420954327552E-4</v>
      </c>
      <c r="R658">
        <v>1.4482195233529911E-3</v>
      </c>
      <c r="S658">
        <v>0.1130464550707445</v>
      </c>
      <c r="T658">
        <v>1.0519434633012723</v>
      </c>
      <c r="U658">
        <v>0</v>
      </c>
      <c r="V658">
        <v>0.21404505747267644</v>
      </c>
      <c r="W658">
        <v>8.7793834390042264E-2</v>
      </c>
      <c r="X658">
        <v>3.0587629142541067E-2</v>
      </c>
      <c r="Y658">
        <v>3.9415761371292745E-3</v>
      </c>
    </row>
    <row r="659" spans="1:25" x14ac:dyDescent="0.25">
      <c r="A659" s="1095"/>
      <c r="B659" s="1454">
        <v>409</v>
      </c>
      <c r="C659" s="1099">
        <v>0.99217933597307073</v>
      </c>
      <c r="D659" s="1099">
        <v>0.98065801076195058</v>
      </c>
      <c r="E659" s="1099">
        <v>1.0028246453288649</v>
      </c>
      <c r="F659" s="1099">
        <v>1.0075852687365638</v>
      </c>
      <c r="G659" s="1099">
        <v>0.99017768060921663</v>
      </c>
      <c r="H659" s="1099">
        <v>0.98017853570433466</v>
      </c>
      <c r="I659" s="1099">
        <v>1.0124440065078653</v>
      </c>
      <c r="K659">
        <v>1.7519151243199749</v>
      </c>
      <c r="L659">
        <v>0</v>
      </c>
      <c r="M659">
        <v>1.3662932737373327E-3</v>
      </c>
      <c r="N659">
        <v>0.12675437883723203</v>
      </c>
      <c r="O659">
        <v>0.12939580688141053</v>
      </c>
      <c r="P659">
        <v>1.8580493192861952E-2</v>
      </c>
      <c r="Q659">
        <v>9.1566108159554219E-4</v>
      </c>
      <c r="R659">
        <v>1.3627113120381952E-3</v>
      </c>
      <c r="S659">
        <v>0.11008716929855483</v>
      </c>
      <c r="T659">
        <v>1.0387915802742322</v>
      </c>
      <c r="U659">
        <v>0</v>
      </c>
      <c r="V659">
        <v>0.21039121347677858</v>
      </c>
      <c r="W659">
        <v>8.3129489769230736E-2</v>
      </c>
      <c r="X659">
        <v>3.0164062496071956E-2</v>
      </c>
      <c r="Y659">
        <v>3.7088509737046842E-3</v>
      </c>
    </row>
    <row r="660" spans="1:25" x14ac:dyDescent="0.25">
      <c r="A660" s="1095"/>
      <c r="B660" s="1454">
        <v>410</v>
      </c>
      <c r="C660" s="1099">
        <v>1.0145159924662583</v>
      </c>
      <c r="D660" s="1099">
        <v>1.0001559870107071</v>
      </c>
      <c r="E660" s="1099">
        <v>1.0160147334575556</v>
      </c>
      <c r="F660" s="1099">
        <v>0.99701450094037214</v>
      </c>
      <c r="G660" s="1099">
        <v>0.98387241578905371</v>
      </c>
      <c r="H660" s="1099">
        <v>0.99286032170915806</v>
      </c>
      <c r="I660" s="1099">
        <v>0.99888892014519837</v>
      </c>
      <c r="K660">
        <v>1.7277460784260974</v>
      </c>
      <c r="L660">
        <v>0</v>
      </c>
      <c r="M660">
        <v>1.3029675820246558E-3</v>
      </c>
      <c r="N660">
        <v>0.12579367782802309</v>
      </c>
      <c r="O660">
        <v>0.12658933393883215</v>
      </c>
      <c r="P660">
        <v>1.8503599702578592E-2</v>
      </c>
      <c r="Q660">
        <v>9.0064887680241842E-4</v>
      </c>
      <c r="R660">
        <v>1.2995859022161566E-3</v>
      </c>
      <c r="S660">
        <v>0.10589620454288269</v>
      </c>
      <c r="T660">
        <v>1.0275061713621492</v>
      </c>
      <c r="U660">
        <v>0</v>
      </c>
      <c r="V660">
        <v>0.20710112713631676</v>
      </c>
      <c r="W660">
        <v>8.1859955455391792E-2</v>
      </c>
      <c r="X660">
        <v>3.0061696845474811E-2</v>
      </c>
      <c r="Y660">
        <v>3.5370444174548494E-3</v>
      </c>
    </row>
    <row r="661" spans="1:25" x14ac:dyDescent="0.25">
      <c r="A661" s="1095"/>
      <c r="B661" s="1454">
        <v>411</v>
      </c>
      <c r="C661" s="1099">
        <v>1.0159788149217943</v>
      </c>
      <c r="D661" s="1099">
        <v>0.97720596707009577</v>
      </c>
      <c r="E661" s="1099">
        <v>0.98499771688509707</v>
      </c>
      <c r="F661" s="1099">
        <v>1.0305901448086778</v>
      </c>
      <c r="G661" s="1099">
        <v>0.98446532907258399</v>
      </c>
      <c r="H661" s="1099">
        <v>0.95908737332534599</v>
      </c>
      <c r="I661" s="1099">
        <v>1.0138885714985959</v>
      </c>
      <c r="K661">
        <v>1.7610918416904047</v>
      </c>
      <c r="L661">
        <v>0</v>
      </c>
      <c r="M661">
        <v>1.3629092683607579E-3</v>
      </c>
      <c r="N661">
        <v>0.11980229313145817</v>
      </c>
      <c r="O661">
        <v>0.12999083087793054</v>
      </c>
      <c r="P661">
        <v>1.8600644028650686E-2</v>
      </c>
      <c r="Q661">
        <v>8.7902178159714249E-4</v>
      </c>
      <c r="R661">
        <v>1.3592744447688653E-3</v>
      </c>
      <c r="S661">
        <v>0.10664413460525643</v>
      </c>
      <c r="T661">
        <v>1.0630584341406915</v>
      </c>
      <c r="U661">
        <v>0</v>
      </c>
      <c r="V661">
        <v>0.20936417083489173</v>
      </c>
      <c r="W661">
        <v>7.9411063251829908E-2</v>
      </c>
      <c r="X661">
        <v>2.9645386907728159E-2</v>
      </c>
      <c r="Y661">
        <v>3.6994969539605586E-3</v>
      </c>
    </row>
    <row r="662" spans="1:25" x14ac:dyDescent="0.25">
      <c r="A662" s="1095"/>
      <c r="B662" s="1454">
        <v>412</v>
      </c>
      <c r="C662" s="1099">
        <v>1.003971871781326</v>
      </c>
      <c r="D662" s="1099">
        <v>0.99355570154512352</v>
      </c>
      <c r="E662" s="1099">
        <v>0.994063264198907</v>
      </c>
      <c r="F662" s="1099">
        <v>1.0309123291055859</v>
      </c>
      <c r="G662" s="1099">
        <v>0.99717107386399817</v>
      </c>
      <c r="H662" s="1099">
        <v>0.9929082080739664</v>
      </c>
      <c r="I662" s="1099">
        <v>0.97971957942292742</v>
      </c>
      <c r="K662">
        <v>1.7702187930531834</v>
      </c>
      <c r="L662">
        <v>0</v>
      </c>
      <c r="M662">
        <v>1.3862755615047606E-3</v>
      </c>
      <c r="N662">
        <v>0.1252525844647924</v>
      </c>
      <c r="O662">
        <v>0.12989881213360299</v>
      </c>
      <c r="P662">
        <v>1.8728709207444533E-2</v>
      </c>
      <c r="Q662">
        <v>8.9204177324802441E-4</v>
      </c>
      <c r="R662">
        <v>1.3826895590891477E-3</v>
      </c>
      <c r="S662">
        <v>0.10548807439912974</v>
      </c>
      <c r="T662">
        <v>1.0631100306635699</v>
      </c>
      <c r="U662">
        <v>0</v>
      </c>
      <c r="V662">
        <v>0.21051657272278024</v>
      </c>
      <c r="W662">
        <v>8.2573961532137113E-2</v>
      </c>
      <c r="X662">
        <v>2.9998366982544208E-2</v>
      </c>
      <c r="Y662">
        <v>3.763225176350006E-3</v>
      </c>
    </row>
    <row r="663" spans="1:25" x14ac:dyDescent="0.25">
      <c r="A663" s="1095"/>
      <c r="B663" s="1454">
        <v>413</v>
      </c>
      <c r="C663" s="1099">
        <v>1.0080774195286293</v>
      </c>
      <c r="D663" s="1099">
        <v>1.0177282665986211</v>
      </c>
      <c r="E663" s="1099">
        <v>1.0010135330286598</v>
      </c>
      <c r="F663" s="1099">
        <v>0.99578990126241718</v>
      </c>
      <c r="G663" s="1099">
        <v>1.001099451468271</v>
      </c>
      <c r="H663" s="1099">
        <v>1.0169191025722566</v>
      </c>
      <c r="I663" s="1099">
        <v>1.0026210761245122</v>
      </c>
      <c r="K663">
        <v>1.7297332743519187</v>
      </c>
      <c r="L663">
        <v>0</v>
      </c>
      <c r="M663">
        <v>1.3705526138707788E-3</v>
      </c>
      <c r="N663">
        <v>0.12646564774218202</v>
      </c>
      <c r="O663">
        <v>0.125970554452114</v>
      </c>
      <c r="P663">
        <v>1.8318840542013191E-2</v>
      </c>
      <c r="Q663">
        <v>8.862794349328583E-4</v>
      </c>
      <c r="R663">
        <v>1.3670660022790354E-3</v>
      </c>
      <c r="S663">
        <v>0.10741150819921723</v>
      </c>
      <c r="T663">
        <v>1.0266844031015536</v>
      </c>
      <c r="U663">
        <v>0</v>
      </c>
      <c r="V663">
        <v>0.20784205718847887</v>
      </c>
      <c r="W663">
        <v>8.3029322581911591E-2</v>
      </c>
      <c r="X663">
        <v>2.9407444716090206E-2</v>
      </c>
      <c r="Y663">
        <v>3.7207030050169974E-3</v>
      </c>
    </row>
    <row r="664" spans="1:25" x14ac:dyDescent="0.25">
      <c r="A664" s="1095"/>
      <c r="B664" s="1454">
        <v>414</v>
      </c>
      <c r="C664" s="1099">
        <v>0.98551936746289348</v>
      </c>
      <c r="D664" s="1099">
        <v>1.0199733871744709</v>
      </c>
      <c r="E664" s="1099">
        <v>1.0094724702091125</v>
      </c>
      <c r="F664" s="1099">
        <v>1.01989963212137</v>
      </c>
      <c r="G664" s="1099">
        <v>0.98509672819199157</v>
      </c>
      <c r="H664" s="1099">
        <v>1.014326231195966</v>
      </c>
      <c r="I664" s="1099">
        <v>1.0124526908159628</v>
      </c>
      <c r="K664">
        <v>1.7696883821929859</v>
      </c>
      <c r="L664">
        <v>0</v>
      </c>
      <c r="M664">
        <v>1.3724845328081088E-3</v>
      </c>
      <c r="N664">
        <v>0.12991996963406557</v>
      </c>
      <c r="O664">
        <v>0.12888512735569085</v>
      </c>
      <c r="P664">
        <v>1.8848801851935201E-2</v>
      </c>
      <c r="Q664">
        <v>9.1372363756050284E-4</v>
      </c>
      <c r="R664">
        <v>1.3689832837941887E-3</v>
      </c>
      <c r="S664">
        <v>0.11064130065551667</v>
      </c>
      <c r="T664">
        <v>1.0512870239451515</v>
      </c>
      <c r="U664">
        <v>0</v>
      </c>
      <c r="V664">
        <v>0.21018775689247038</v>
      </c>
      <c r="W664">
        <v>8.487121382962208E-2</v>
      </c>
      <c r="X664">
        <v>3.0411044426716254E-2</v>
      </c>
      <c r="Y664">
        <v>3.7259212132695649E-3</v>
      </c>
    </row>
    <row r="665" spans="1:25" x14ac:dyDescent="0.25">
      <c r="A665" s="1095"/>
      <c r="B665" s="1454">
        <v>415</v>
      </c>
      <c r="C665" s="1099">
        <v>0.99401103440512739</v>
      </c>
      <c r="D665" s="1099">
        <v>1.0013988704674042</v>
      </c>
      <c r="E665" s="1099">
        <v>1.001463861782808</v>
      </c>
      <c r="F665" s="1099">
        <v>0.98314649559120904</v>
      </c>
      <c r="G665" s="1099">
        <v>1.0382211744444119</v>
      </c>
      <c r="H665" s="1099">
        <v>1.0191094410573791</v>
      </c>
      <c r="I665" s="1099">
        <v>0.97803786793596648</v>
      </c>
      <c r="K665">
        <v>1.7249725823998801</v>
      </c>
      <c r="L665">
        <v>0</v>
      </c>
      <c r="M665">
        <v>1.4017563729147875E-3</v>
      </c>
      <c r="N665">
        <v>0.12952197421105033</v>
      </c>
      <c r="O665">
        <v>0.12646361462205072</v>
      </c>
      <c r="P665">
        <v>1.8183774509755401E-2</v>
      </c>
      <c r="Q665">
        <v>9.05077750971041E-4</v>
      </c>
      <c r="R665">
        <v>1.3982007934773674E-3</v>
      </c>
      <c r="S665">
        <v>0.10731880131692274</v>
      </c>
      <c r="T665">
        <v>1.0136355892867326</v>
      </c>
      <c r="U665">
        <v>0</v>
      </c>
      <c r="V665">
        <v>0.21063968732941984</v>
      </c>
      <c r="W665">
        <v>8.5013178036561582E-2</v>
      </c>
      <c r="X665">
        <v>2.9488999272774902E-2</v>
      </c>
      <c r="Y665">
        <v>3.8054416430776984E-3</v>
      </c>
    </row>
    <row r="666" spans="1:25" x14ac:dyDescent="0.25">
      <c r="A666" s="1095"/>
      <c r="B666" s="1454">
        <v>416</v>
      </c>
      <c r="C666" s="1099">
        <v>1.0009159882997483</v>
      </c>
      <c r="D666" s="1099">
        <v>0.98593675776882539</v>
      </c>
      <c r="E666" s="1099">
        <v>0.99487782996540564</v>
      </c>
      <c r="F666" s="1099">
        <v>1.0058262473046633</v>
      </c>
      <c r="G666" s="1099">
        <v>1.0397244310552971</v>
      </c>
      <c r="H666" s="1099">
        <v>1.0088750665666866</v>
      </c>
      <c r="I666" s="1099">
        <v>1.0428499842839078</v>
      </c>
      <c r="K666">
        <v>1.7570655448526851</v>
      </c>
      <c r="L666">
        <v>0</v>
      </c>
      <c r="M666">
        <v>1.4135443733628991E-3</v>
      </c>
      <c r="N666">
        <v>0.1280361515720434</v>
      </c>
      <c r="O666">
        <v>0.12852393663123543</v>
      </c>
      <c r="P666">
        <v>1.8523284620736494E-2</v>
      </c>
      <c r="Q666">
        <v>8.9828519134730646E-4</v>
      </c>
      <c r="R666">
        <v>1.4099424158681947E-3</v>
      </c>
      <c r="S666">
        <v>0.11416670328939797</v>
      </c>
      <c r="T666">
        <v>1.0372159637783831</v>
      </c>
      <c r="U666">
        <v>0</v>
      </c>
      <c r="V666">
        <v>0.21176483099074855</v>
      </c>
      <c r="W666">
        <v>8.4368020569903265E-2</v>
      </c>
      <c r="X666">
        <v>2.9734571697780723E-2</v>
      </c>
      <c r="Y666">
        <v>3.8373984686007499E-3</v>
      </c>
    </row>
    <row r="667" spans="1:25" x14ac:dyDescent="0.25">
      <c r="A667" s="1095"/>
      <c r="B667" s="1454">
        <v>417</v>
      </c>
      <c r="C667" s="1099">
        <v>1.0034373917637833</v>
      </c>
      <c r="D667" s="1099">
        <v>1.0019758262526017</v>
      </c>
      <c r="E667" s="1099">
        <v>0.99956325164456361</v>
      </c>
      <c r="F667" s="1099">
        <v>0.97295174138793628</v>
      </c>
      <c r="G667" s="1099">
        <v>1.0040265315249095</v>
      </c>
      <c r="H667" s="1099">
        <v>0.98032478528122025</v>
      </c>
      <c r="I667" s="1099">
        <v>0.99387784260338874</v>
      </c>
      <c r="K667">
        <v>1.69687335193036</v>
      </c>
      <c r="L667">
        <v>0</v>
      </c>
      <c r="M667">
        <v>1.3404012177289841E-3</v>
      </c>
      <c r="N667">
        <v>0.12313119054646235</v>
      </c>
      <c r="O667">
        <v>0.12516562036045076</v>
      </c>
      <c r="P667">
        <v>1.7946976846945711E-2</v>
      </c>
      <c r="Q667">
        <v>8.9460472059547675E-4</v>
      </c>
      <c r="R667">
        <v>1.336865939717407E-3</v>
      </c>
      <c r="S667">
        <v>0.10530683585635978</v>
      </c>
      <c r="T667">
        <v>1.0031796207486676</v>
      </c>
      <c r="U667">
        <v>0</v>
      </c>
      <c r="V667">
        <v>0.20763142280105112</v>
      </c>
      <c r="W667">
        <v>8.0909825250407408E-2</v>
      </c>
      <c r="X667">
        <v>2.907228168725768E-2</v>
      </c>
      <c r="Y667">
        <v>3.6385083901721935E-3</v>
      </c>
    </row>
    <row r="668" spans="1:25" x14ac:dyDescent="0.25">
      <c r="A668" s="1095"/>
      <c r="B668" s="1454">
        <v>418</v>
      </c>
      <c r="C668" s="1099">
        <v>1.0342053402603371</v>
      </c>
      <c r="D668" s="1099">
        <v>0.97196553337257974</v>
      </c>
      <c r="E668" s="1099">
        <v>1.0109373939764408</v>
      </c>
      <c r="F668" s="1099">
        <v>0.9730380834960366</v>
      </c>
      <c r="G668" s="1099">
        <v>0.99068731691034573</v>
      </c>
      <c r="H668" s="1099">
        <v>0.97949774582699911</v>
      </c>
      <c r="I668" s="1099">
        <v>0.99099064828465899</v>
      </c>
      <c r="K668">
        <v>1.6927817100543816</v>
      </c>
      <c r="L668">
        <v>0</v>
      </c>
      <c r="M668">
        <v>1.2953148065767842E-3</v>
      </c>
      <c r="N668">
        <v>0.12315025931801296</v>
      </c>
      <c r="O668">
        <v>0.12505539536215474</v>
      </c>
      <c r="P668">
        <v>1.8046685598200333E-2</v>
      </c>
      <c r="Q668">
        <v>8.8900558634078366E-4</v>
      </c>
      <c r="R668">
        <v>1.2919237517633581E-3</v>
      </c>
      <c r="S668">
        <v>0.1039427993942033</v>
      </c>
      <c r="T668">
        <v>1.0029413707241852</v>
      </c>
      <c r="U668">
        <v>0</v>
      </c>
      <c r="V668">
        <v>0.20541808209426088</v>
      </c>
      <c r="W668">
        <v>8.0379395827355996E-2</v>
      </c>
      <c r="X668">
        <v>2.9445916634731655E-2</v>
      </c>
      <c r="Y668">
        <v>3.5161905697495507E-3</v>
      </c>
    </row>
    <row r="669" spans="1:25" x14ac:dyDescent="0.25">
      <c r="A669" s="1095"/>
      <c r="B669" s="1454">
        <v>419</v>
      </c>
      <c r="C669" s="1099">
        <v>0.96273150041872768</v>
      </c>
      <c r="D669" s="1099">
        <v>1.0388111036764072</v>
      </c>
      <c r="E669" s="1099">
        <v>0.96027767676284503</v>
      </c>
      <c r="F669" s="1099">
        <v>1.0063337787562174</v>
      </c>
      <c r="G669" s="1099">
        <v>0.9698141552113092</v>
      </c>
      <c r="H669" s="1099">
        <v>0.99407897308234228</v>
      </c>
      <c r="I669" s="1099">
        <v>1.0357495875209599</v>
      </c>
      <c r="K669">
        <v>1.7461201479621726</v>
      </c>
      <c r="L669">
        <v>0</v>
      </c>
      <c r="M669">
        <v>1.5035733099130894E-3</v>
      </c>
      <c r="N669">
        <v>0.12264302310999299</v>
      </c>
      <c r="O669">
        <v>0.1280328621761157</v>
      </c>
      <c r="P669">
        <v>1.8021517449913822E-2</v>
      </c>
      <c r="Q669">
        <v>8.8199033706403318E-4</v>
      </c>
      <c r="R669">
        <v>1.4996340415575299E-3</v>
      </c>
      <c r="S669">
        <v>0.11276483898840671</v>
      </c>
      <c r="T669">
        <v>1.0387977276264189</v>
      </c>
      <c r="U669">
        <v>0</v>
      </c>
      <c r="V669">
        <v>0.2100590473358559</v>
      </c>
      <c r="W669">
        <v>8.2523822862875615E-2</v>
      </c>
      <c r="X669">
        <v>2.8317747836993375E-2</v>
      </c>
      <c r="Y669">
        <v>4.0815095068906576E-3</v>
      </c>
    </row>
    <row r="670" spans="1:25" x14ac:dyDescent="0.25">
      <c r="A670" s="1095"/>
      <c r="B670" s="1454">
        <v>420</v>
      </c>
      <c r="C670" s="1099">
        <v>0.96146102646024689</v>
      </c>
      <c r="D670" s="1099">
        <v>1.0159687487837779</v>
      </c>
      <c r="E670" s="1099">
        <v>1.0071714885299159</v>
      </c>
      <c r="F670" s="1099">
        <v>1.027148159450711</v>
      </c>
      <c r="G670" s="1099">
        <v>1.002383551732448</v>
      </c>
      <c r="H670" s="1099">
        <v>0.99461037493881566</v>
      </c>
      <c r="I670" s="1099">
        <v>0.99499050590790239</v>
      </c>
      <c r="K670">
        <v>1.7837123779586965</v>
      </c>
      <c r="L670">
        <v>0</v>
      </c>
      <c r="M670">
        <v>1.3873446218716804E-3</v>
      </c>
      <c r="N670">
        <v>0.13041056067134332</v>
      </c>
      <c r="O670">
        <v>0.13090997773574545</v>
      </c>
      <c r="P670">
        <v>1.8961674903082808E-2</v>
      </c>
      <c r="Q670">
        <v>9.358370413048967E-4</v>
      </c>
      <c r="R670">
        <v>1.3837328908463781E-3</v>
      </c>
      <c r="S670">
        <v>0.11020685068804721</v>
      </c>
      <c r="T670">
        <v>1.0588282980541033</v>
      </c>
      <c r="U670">
        <v>0</v>
      </c>
      <c r="V670">
        <v>0.2136510383658248</v>
      </c>
      <c r="W670">
        <v>8.5307518793286075E-2</v>
      </c>
      <c r="X670">
        <v>3.0738168655524371E-2</v>
      </c>
      <c r="Y670">
        <v>3.7660647814589661E-3</v>
      </c>
    </row>
    <row r="671" spans="1:25" x14ac:dyDescent="0.25">
      <c r="A671" s="1095"/>
      <c r="B671" s="1454">
        <v>421</v>
      </c>
      <c r="C671" s="1099">
        <v>0.98414078266440619</v>
      </c>
      <c r="D671" s="1099">
        <v>0.99861444239284769</v>
      </c>
      <c r="E671" s="1099">
        <v>0.98750380203412502</v>
      </c>
      <c r="F671" s="1099">
        <v>0.97155839868687621</v>
      </c>
      <c r="G671" s="1099">
        <v>1.0323793175699909</v>
      </c>
      <c r="H671" s="1099">
        <v>0.96180744887456016</v>
      </c>
      <c r="I671" s="1099">
        <v>0.99980642784990703</v>
      </c>
      <c r="K671">
        <v>1.6993223640994641</v>
      </c>
      <c r="L671">
        <v>0</v>
      </c>
      <c r="M671">
        <v>1.3750521316887364E-3</v>
      </c>
      <c r="N671">
        <v>0.12178625312082926</v>
      </c>
      <c r="O671">
        <v>0.1261490074923825</v>
      </c>
      <c r="P671">
        <v>1.7831149330922905E-2</v>
      </c>
      <c r="Q671">
        <v>9.019845842071399E-4</v>
      </c>
      <c r="R671">
        <v>1.3713513514485699E-3</v>
      </c>
      <c r="S671">
        <v>0.10678109516329033</v>
      </c>
      <c r="T671">
        <v>1.0020935411971388</v>
      </c>
      <c r="U671">
        <v>0</v>
      </c>
      <c r="V671">
        <v>0.21063265239357121</v>
      </c>
      <c r="W671">
        <v>8.0604670394117089E-2</v>
      </c>
      <c r="X671">
        <v>2.8813344890451981E-2</v>
      </c>
      <c r="Y671">
        <v>3.7323663127914975E-3</v>
      </c>
    </row>
    <row r="672" spans="1:25" x14ac:dyDescent="0.25">
      <c r="A672" s="1095"/>
      <c r="B672" s="1454">
        <v>422</v>
      </c>
      <c r="C672" s="1099">
        <v>0.97824347132343759</v>
      </c>
      <c r="D672" s="1099">
        <v>1.0069037597113417</v>
      </c>
      <c r="E672" s="1099">
        <v>1.018826180716327</v>
      </c>
      <c r="F672" s="1099">
        <v>0.98992263579755702</v>
      </c>
      <c r="G672" s="1099">
        <v>1.0138142679492619</v>
      </c>
      <c r="H672" s="1099">
        <v>1.0023399735347058</v>
      </c>
      <c r="I672" s="1099">
        <v>0.99863132651812425</v>
      </c>
      <c r="K672">
        <v>1.7382995098527541</v>
      </c>
      <c r="L672">
        <v>0</v>
      </c>
      <c r="M672">
        <v>1.345938860629605E-3</v>
      </c>
      <c r="N672">
        <v>0.1310508596879528</v>
      </c>
      <c r="O672">
        <v>0.12762601359264134</v>
      </c>
      <c r="P672">
        <v>1.8547896259010363E-2</v>
      </c>
      <c r="Q672">
        <v>9.3422961300240076E-4</v>
      </c>
      <c r="R672">
        <v>1.3424616032046218E-3</v>
      </c>
      <c r="S672">
        <v>0.10975821152930831</v>
      </c>
      <c r="T672">
        <v>1.0201161214200798</v>
      </c>
      <c r="U672">
        <v>0</v>
      </c>
      <c r="V672">
        <v>0.21106224832501413</v>
      </c>
      <c r="W672">
        <v>8.5140611503872865E-2</v>
      </c>
      <c r="X672">
        <v>3.0413057237722776E-2</v>
      </c>
      <c r="Y672">
        <v>3.6537379415744202E-3</v>
      </c>
    </row>
    <row r="673" spans="1:25" x14ac:dyDescent="0.25">
      <c r="A673" s="1095"/>
      <c r="B673" s="1454">
        <v>423</v>
      </c>
      <c r="C673" s="1099">
        <v>0.99568465778956483</v>
      </c>
      <c r="D673" s="1099">
        <v>0.96821023830858299</v>
      </c>
      <c r="E673" s="1099">
        <v>1.0205384616054884</v>
      </c>
      <c r="F673" s="1099">
        <v>1.0015689602129316</v>
      </c>
      <c r="G673" s="1099">
        <v>1.0272584802276314</v>
      </c>
      <c r="H673" s="1099">
        <v>0.99655458427474097</v>
      </c>
      <c r="I673" s="1099">
        <v>0.98480120761154721</v>
      </c>
      <c r="K673">
        <v>1.7532827084828146</v>
      </c>
      <c r="L673">
        <v>0</v>
      </c>
      <c r="M673">
        <v>1.3439475870123201E-3</v>
      </c>
      <c r="N673">
        <v>0.13153607820879626</v>
      </c>
      <c r="O673">
        <v>0.1294141808421381</v>
      </c>
      <c r="P673">
        <v>1.873540241267415E-2</v>
      </c>
      <c r="Q673">
        <v>9.3400472107103003E-4</v>
      </c>
      <c r="R673">
        <v>1.3404896098166566E-3</v>
      </c>
      <c r="S673">
        <v>0.10871817737466534</v>
      </c>
      <c r="T673">
        <v>1.0320676894660037</v>
      </c>
      <c r="U673">
        <v>0</v>
      </c>
      <c r="V673">
        <v>0.21200937715560825</v>
      </c>
      <c r="W673">
        <v>8.5370260326136524E-2</v>
      </c>
      <c r="X673">
        <v>3.0852625127277621E-2</v>
      </c>
      <c r="Y673">
        <v>3.6483708256398258E-3</v>
      </c>
    </row>
    <row r="674" spans="1:25" x14ac:dyDescent="0.25">
      <c r="A674" s="1095"/>
      <c r="B674" s="1454">
        <v>424</v>
      </c>
      <c r="C674" s="1099">
        <v>1.0092323297740848</v>
      </c>
      <c r="D674" s="1099">
        <v>1.0195820281557089</v>
      </c>
      <c r="E674" s="1099">
        <v>0.97121168524859591</v>
      </c>
      <c r="F674" s="1099">
        <v>1.0111253548078591</v>
      </c>
      <c r="G674" s="1099">
        <v>0.96533097325087347</v>
      </c>
      <c r="H674" s="1099">
        <v>0.99301317809996026</v>
      </c>
      <c r="I674" s="1099">
        <v>0.9621229932106804</v>
      </c>
      <c r="K674">
        <v>1.7295346716675164</v>
      </c>
      <c r="L674">
        <v>0</v>
      </c>
      <c r="M674">
        <v>1.4222881935235859E-3</v>
      </c>
      <c r="N674">
        <v>0.11992123873879813</v>
      </c>
      <c r="O674">
        <v>0.12685977198560988</v>
      </c>
      <c r="P674">
        <v>1.8037008666348577E-2</v>
      </c>
      <c r="Q674">
        <v>8.575078026863142E-4</v>
      </c>
      <c r="R674">
        <v>1.4185866839278259E-3</v>
      </c>
      <c r="S674">
        <v>0.10130602867862593</v>
      </c>
      <c r="T674">
        <v>1.0434039024684165</v>
      </c>
      <c r="U674">
        <v>0</v>
      </c>
      <c r="V674">
        <v>0.20667098203658454</v>
      </c>
      <c r="W674">
        <v>8.0155375743715576E-2</v>
      </c>
      <c r="X674">
        <v>2.8465631739650527E-2</v>
      </c>
      <c r="Y674">
        <v>3.8609253166768651E-3</v>
      </c>
    </row>
    <row r="675" spans="1:25" x14ac:dyDescent="0.25">
      <c r="A675" s="1095"/>
      <c r="B675" s="1454">
        <v>425</v>
      </c>
      <c r="C675" s="1099">
        <v>1.0284152493455416</v>
      </c>
      <c r="D675" s="1099">
        <v>1.0063995262095784</v>
      </c>
      <c r="E675" s="1099">
        <v>1.0124399362858596</v>
      </c>
      <c r="F675" s="1099">
        <v>0.95545900637680503</v>
      </c>
      <c r="G675" s="1099">
        <v>1.0151164507010737</v>
      </c>
      <c r="H675" s="1099">
        <v>0.96756795929115214</v>
      </c>
      <c r="I675" s="1099">
        <v>1.03728121182539</v>
      </c>
      <c r="K675">
        <v>1.6673950566112605</v>
      </c>
      <c r="L675">
        <v>0</v>
      </c>
      <c r="M675">
        <v>1.2541286391191898E-3</v>
      </c>
      <c r="N675">
        <v>0.11976993802114429</v>
      </c>
      <c r="O675">
        <v>0.12244963985346148</v>
      </c>
      <c r="P675">
        <v>1.784245680687551E-2</v>
      </c>
      <c r="Q675">
        <v>8.8301341982387346E-4</v>
      </c>
      <c r="R675">
        <v>1.2507761356387813E-3</v>
      </c>
      <c r="S675">
        <v>0.10610597517597305</v>
      </c>
      <c r="T675">
        <v>0.98477987755708596</v>
      </c>
      <c r="U675">
        <v>0</v>
      </c>
      <c r="V675">
        <v>0.20512405405062667</v>
      </c>
      <c r="W675">
        <v>7.8103941756650072E-2</v>
      </c>
      <c r="X675">
        <v>2.8935312150133195E-2</v>
      </c>
      <c r="Y675">
        <v>3.4042003229664626E-3</v>
      </c>
    </row>
    <row r="676" spans="1:25" x14ac:dyDescent="0.25">
      <c r="A676" s="1095"/>
      <c r="B676" s="1454">
        <v>426</v>
      </c>
      <c r="C676" s="1099">
        <v>1.0107196791060378</v>
      </c>
      <c r="D676" s="1099">
        <v>1.0068835806969521</v>
      </c>
      <c r="E676" s="1099">
        <v>1.0203965696425588</v>
      </c>
      <c r="F676" s="1099">
        <v>1.0256630588462001</v>
      </c>
      <c r="G676" s="1099">
        <v>0.98069925376260869</v>
      </c>
      <c r="H676" s="1099">
        <v>0.99483942349970023</v>
      </c>
      <c r="I676" s="1099">
        <v>0.98525837650184667</v>
      </c>
      <c r="K676">
        <v>1.7620235301256859</v>
      </c>
      <c r="L676">
        <v>0</v>
      </c>
      <c r="M676">
        <v>1.2961508912340027E-3</v>
      </c>
      <c r="N676">
        <v>0.12680186642385705</v>
      </c>
      <c r="O676">
        <v>0.12864050413963299</v>
      </c>
      <c r="P676">
        <v>1.8973640793239051E-2</v>
      </c>
      <c r="Q676">
        <v>9.0567656425366691E-4</v>
      </c>
      <c r="R676">
        <v>1.2927963154406653E-3</v>
      </c>
      <c r="S676">
        <v>0.10469237108624535</v>
      </c>
      <c r="T676">
        <v>1.0568997142535961</v>
      </c>
      <c r="U676">
        <v>0</v>
      </c>
      <c r="V676">
        <v>0.2085539082160188</v>
      </c>
      <c r="W676">
        <v>8.2304466120435002E-2</v>
      </c>
      <c r="X676">
        <v>3.0736171703763283E-2</v>
      </c>
      <c r="Y676">
        <v>3.5185654004386419E-3</v>
      </c>
    </row>
    <row r="677" spans="1:25" x14ac:dyDescent="0.25">
      <c r="A677" s="1095"/>
      <c r="B677" s="1454">
        <v>427</v>
      </c>
      <c r="C677" s="1099">
        <v>1.0334204083187544</v>
      </c>
      <c r="D677" s="1099">
        <v>0.96813541424026484</v>
      </c>
      <c r="E677" s="1099">
        <v>1.0169650894778313</v>
      </c>
      <c r="F677" s="1099">
        <v>1.006391802558291</v>
      </c>
      <c r="G677" s="1099">
        <v>0.98069853967197085</v>
      </c>
      <c r="H677" s="1099">
        <v>0.98676303632505957</v>
      </c>
      <c r="I677" s="1099">
        <v>0.97078096999751151</v>
      </c>
      <c r="K677">
        <v>1.7352166211756819</v>
      </c>
      <c r="L677">
        <v>0</v>
      </c>
      <c r="M677">
        <v>1.2964166726551851E-3</v>
      </c>
      <c r="N677">
        <v>0.1255214513901666</v>
      </c>
      <c r="O677">
        <v>0.12784032932446052</v>
      </c>
      <c r="P677">
        <v>1.8604282544713621E-2</v>
      </c>
      <c r="Q677">
        <v>8.9663196748371408E-4</v>
      </c>
      <c r="R677">
        <v>1.293060002282483E-3</v>
      </c>
      <c r="S677">
        <v>0.10283812439242918</v>
      </c>
      <c r="T677">
        <v>1.0371422952050242</v>
      </c>
      <c r="U677">
        <v>0</v>
      </c>
      <c r="V677">
        <v>0.2068785650398155</v>
      </c>
      <c r="W677">
        <v>8.1637275485843278E-2</v>
      </c>
      <c r="X677">
        <v>3.0341739427019027E-2</v>
      </c>
      <c r="Y677">
        <v>3.519283069097726E-3</v>
      </c>
    </row>
    <row r="678" spans="1:25" x14ac:dyDescent="0.25">
      <c r="A678" s="1095"/>
      <c r="B678" s="1454">
        <v>428</v>
      </c>
      <c r="C678" s="1099">
        <v>1.0183943874784882</v>
      </c>
      <c r="D678" s="1099">
        <v>0.99893244402082071</v>
      </c>
      <c r="E678" s="1099">
        <v>0.97760580494480587</v>
      </c>
      <c r="F678" s="1099">
        <v>1.0277885759638266</v>
      </c>
      <c r="G678" s="1099">
        <v>1.0002344274426809</v>
      </c>
      <c r="H678" s="1099">
        <v>1.0421587807690276</v>
      </c>
      <c r="I678" s="1099">
        <v>1.024441548902721</v>
      </c>
      <c r="K678">
        <v>1.7746161514857255</v>
      </c>
      <c r="L678">
        <v>0</v>
      </c>
      <c r="M678">
        <v>1.480720653585449E-3</v>
      </c>
      <c r="N678">
        <v>0.12730546740484233</v>
      </c>
      <c r="O678">
        <v>0.12860127599428225</v>
      </c>
      <c r="P678">
        <v>1.8527675136971379E-2</v>
      </c>
      <c r="Q678">
        <v>8.6255432595575628E-4</v>
      </c>
      <c r="R678">
        <v>1.4770708330724086E-3</v>
      </c>
      <c r="S678">
        <v>0.11188765464410658</v>
      </c>
      <c r="T678">
        <v>1.0603986872529312</v>
      </c>
      <c r="U678">
        <v>0</v>
      </c>
      <c r="V678">
        <v>0.20909299048510385</v>
      </c>
      <c r="W678">
        <v>8.4761644544896458E-2</v>
      </c>
      <c r="X678">
        <v>2.9161751625792515E-2</v>
      </c>
      <c r="Y678">
        <v>4.0200998913538354E-3</v>
      </c>
    </row>
    <row r="679" spans="1:25" x14ac:dyDescent="0.25">
      <c r="A679" s="1095"/>
      <c r="B679" s="1454">
        <v>429</v>
      </c>
      <c r="C679" s="1099">
        <v>0.96522293029049755</v>
      </c>
      <c r="D679" s="1099">
        <v>0.99689363773288875</v>
      </c>
      <c r="E679" s="1099">
        <v>1.0333470320345424</v>
      </c>
      <c r="F679" s="1099">
        <v>0.9962044651008185</v>
      </c>
      <c r="G679" s="1099">
        <v>0.98968385073228216</v>
      </c>
      <c r="H679" s="1099">
        <v>0.96914967277360997</v>
      </c>
      <c r="I679" s="1099">
        <v>1.039310449054847</v>
      </c>
      <c r="K679">
        <v>1.7509998423908715</v>
      </c>
      <c r="L679">
        <v>0</v>
      </c>
      <c r="M679">
        <v>1.2863932907107318E-3</v>
      </c>
      <c r="N679">
        <v>0.13084815116037565</v>
      </c>
      <c r="O679">
        <v>0.12932140319244328</v>
      </c>
      <c r="P679">
        <v>1.8898083031217743E-2</v>
      </c>
      <c r="Q679">
        <v>9.6484409722805381E-4</v>
      </c>
      <c r="R679">
        <v>1.2829604115576322E-3</v>
      </c>
      <c r="S679">
        <v>0.11397311509352133</v>
      </c>
      <c r="T679">
        <v>1.0261707137616094</v>
      </c>
      <c r="U679">
        <v>0</v>
      </c>
      <c r="V679">
        <v>0.2117246046560452</v>
      </c>
      <c r="W679">
        <v>8.4293196915245908E-2</v>
      </c>
      <c r="X679">
        <v>3.1317368049864097E-2</v>
      </c>
      <c r="Y679">
        <v>3.4917953124738704E-3</v>
      </c>
    </row>
    <row r="680" spans="1:25" x14ac:dyDescent="0.25">
      <c r="A680" s="1095"/>
      <c r="B680" s="1454">
        <v>430</v>
      </c>
      <c r="C680" s="1099">
        <v>1.0232896342969047</v>
      </c>
      <c r="D680" s="1099">
        <v>1.0094789345552779</v>
      </c>
      <c r="E680" s="1099">
        <v>0.97173387143935164</v>
      </c>
      <c r="F680" s="1099">
        <v>1.0059898974647288</v>
      </c>
      <c r="G680" s="1099">
        <v>1.0300482537728464</v>
      </c>
      <c r="H680" s="1099">
        <v>1.0426775465811842</v>
      </c>
      <c r="I680" s="1099">
        <v>1.0199783760735532</v>
      </c>
      <c r="K680">
        <v>1.7431222186184372</v>
      </c>
      <c r="L680">
        <v>0</v>
      </c>
      <c r="M680">
        <v>1.4810164062721159E-3</v>
      </c>
      <c r="N680">
        <v>0.12508687066008919</v>
      </c>
      <c r="O680">
        <v>0.12622055655990386</v>
      </c>
      <c r="P680">
        <v>1.8117204834346846E-2</v>
      </c>
      <c r="Q680">
        <v>8.4957039178234302E-4</v>
      </c>
      <c r="R680">
        <v>1.4773551247171134E-3</v>
      </c>
      <c r="S680">
        <v>0.11007193060508405</v>
      </c>
      <c r="T680">
        <v>1.0380884401776658</v>
      </c>
      <c r="U680">
        <v>0</v>
      </c>
      <c r="V680">
        <v>0.20868098788846287</v>
      </c>
      <c r="W680">
        <v>8.3581547930461284E-2</v>
      </c>
      <c r="X680">
        <v>2.8407897212702145E-2</v>
      </c>
      <c r="Y680">
        <v>4.0208736394940076E-3</v>
      </c>
    </row>
    <row r="681" spans="1:25" x14ac:dyDescent="0.25">
      <c r="A681" s="1095"/>
      <c r="B681" s="1454">
        <v>431</v>
      </c>
      <c r="C681" s="1099">
        <v>0.9930258077944869</v>
      </c>
      <c r="D681" s="1099">
        <v>0.97704011020632942</v>
      </c>
      <c r="E681" s="1099">
        <v>1.0365268369354521</v>
      </c>
      <c r="F681" s="1099">
        <v>1.0179024142690194</v>
      </c>
      <c r="G681" s="1099">
        <v>0.9872536785190098</v>
      </c>
      <c r="H681" s="1099">
        <v>0.99403117446472322</v>
      </c>
      <c r="I681" s="1099">
        <v>0.98389261648372806</v>
      </c>
      <c r="K681">
        <v>1.7718800882382397</v>
      </c>
      <c r="L681">
        <v>0</v>
      </c>
      <c r="M681">
        <v>1.2947386729747321E-3</v>
      </c>
      <c r="N681">
        <v>0.13297674659346709</v>
      </c>
      <c r="O681">
        <v>0.13044893269309704</v>
      </c>
      <c r="P681">
        <v>1.9161818864641463E-2</v>
      </c>
      <c r="Q681">
        <v>9.4847160312242233E-4</v>
      </c>
      <c r="R681">
        <v>1.2913971808852396E-3</v>
      </c>
      <c r="S681">
        <v>0.10823487485394576</v>
      </c>
      <c r="T681">
        <v>1.048428475204789</v>
      </c>
      <c r="U681">
        <v>0</v>
      </c>
      <c r="V681">
        <v>0.21092830379174135</v>
      </c>
      <c r="W681">
        <v>8.550708769979383E-2</v>
      </c>
      <c r="X681">
        <v>3.1733961008328482E-2</v>
      </c>
      <c r="Y681">
        <v>3.5147574174033557E-3</v>
      </c>
    </row>
    <row r="682" spans="1:25" x14ac:dyDescent="0.25">
      <c r="A682" s="1095"/>
      <c r="B682" s="1454">
        <v>432</v>
      </c>
      <c r="C682" s="1099">
        <v>0.96774936914676923</v>
      </c>
      <c r="D682" s="1099">
        <v>1.0119728829159489</v>
      </c>
      <c r="E682" s="1099">
        <v>1.0034954315720457</v>
      </c>
      <c r="F682" s="1099">
        <v>0.97389084146207716</v>
      </c>
      <c r="G682" s="1099">
        <v>1.006156260315288</v>
      </c>
      <c r="H682" s="1099">
        <v>0.99486714725564718</v>
      </c>
      <c r="I682" s="1099">
        <v>1.0092281299487835</v>
      </c>
      <c r="K682">
        <v>1.7181211114504951</v>
      </c>
      <c r="L682">
        <v>0</v>
      </c>
      <c r="M682">
        <v>1.3867238699858645E-3</v>
      </c>
      <c r="N682">
        <v>0.12891201069272701</v>
      </c>
      <c r="O682">
        <v>0.12665345512774859</v>
      </c>
      <c r="P682">
        <v>1.8130076341713375E-2</v>
      </c>
      <c r="Q682">
        <v>9.2769037664406219E-4</v>
      </c>
      <c r="R682">
        <v>1.3831024147564284E-3</v>
      </c>
      <c r="S682">
        <v>0.11104310489994665</v>
      </c>
      <c r="T682">
        <v>1.0040342315299255</v>
      </c>
      <c r="U682">
        <v>0</v>
      </c>
      <c r="V682">
        <v>0.21057533751142951</v>
      </c>
      <c r="W682">
        <v>8.4510916833292288E-2</v>
      </c>
      <c r="X682">
        <v>2.957356075891799E-2</v>
      </c>
      <c r="Y682">
        <v>3.7643488333785101E-3</v>
      </c>
    </row>
    <row r="683" spans="1:25" x14ac:dyDescent="0.25">
      <c r="A683" s="1095"/>
      <c r="B683" s="1454">
        <v>433</v>
      </c>
      <c r="C683" s="1099">
        <v>1.0256171486492964</v>
      </c>
      <c r="D683" s="1099">
        <v>0.98251269355221926</v>
      </c>
      <c r="E683" s="1099">
        <v>1.0082712720006144</v>
      </c>
      <c r="F683" s="1099">
        <v>0.96784601263391867</v>
      </c>
      <c r="G683" s="1099">
        <v>0.98820273757414978</v>
      </c>
      <c r="H683" s="1099">
        <v>1.0370204118469826</v>
      </c>
      <c r="I683" s="1099">
        <v>1.0138542114740259</v>
      </c>
      <c r="K683">
        <v>1.7053462678502542</v>
      </c>
      <c r="L683">
        <v>0</v>
      </c>
      <c r="M683">
        <v>1.380108492802867E-3</v>
      </c>
      <c r="N683">
        <v>0.13017789367542698</v>
      </c>
      <c r="O683">
        <v>0.12458188209677727</v>
      </c>
      <c r="P683">
        <v>1.8027544254201004E-2</v>
      </c>
      <c r="Q683">
        <v>8.9013666783213197E-4</v>
      </c>
      <c r="R683">
        <v>1.3766848633796113E-3</v>
      </c>
      <c r="S683">
        <v>0.11044479876566388</v>
      </c>
      <c r="T683">
        <v>0.99766570854903458</v>
      </c>
      <c r="U683">
        <v>0</v>
      </c>
      <c r="V683">
        <v>0.20538367736180452</v>
      </c>
      <c r="W683">
        <v>8.5100014774890251E-2</v>
      </c>
      <c r="X683">
        <v>2.9331152959969624E-2</v>
      </c>
      <c r="Y683">
        <v>3.7468823740760566E-3</v>
      </c>
    </row>
    <row r="684" spans="1:25" x14ac:dyDescent="0.25">
      <c r="A684" s="1095"/>
      <c r="B684" s="1454">
        <v>434</v>
      </c>
      <c r="C684" s="1099">
        <v>0.96536811507641895</v>
      </c>
      <c r="D684" s="1099">
        <v>1.0073953029466491</v>
      </c>
      <c r="E684" s="1099">
        <v>1.0283421272916649</v>
      </c>
      <c r="F684" s="1099">
        <v>1.0067356516336448</v>
      </c>
      <c r="G684" s="1099">
        <v>0.97748851779120605</v>
      </c>
      <c r="H684" s="1099">
        <v>0.97309812899610992</v>
      </c>
      <c r="I684" s="1099">
        <v>1.01823802469442</v>
      </c>
      <c r="K684">
        <v>1.7581460488372276</v>
      </c>
      <c r="L684">
        <v>0</v>
      </c>
      <c r="M684">
        <v>1.2982292767052196E-3</v>
      </c>
      <c r="N684">
        <v>0.13007586063092935</v>
      </c>
      <c r="O684">
        <v>0.12962257494161647</v>
      </c>
      <c r="P684">
        <v>1.8939769500438026E-2</v>
      </c>
      <c r="Q684">
        <v>9.5577212115872977E-4</v>
      </c>
      <c r="R684">
        <v>1.2947754333774797E-3</v>
      </c>
      <c r="S684">
        <v>0.1112742215338684</v>
      </c>
      <c r="T684">
        <v>1.0371638624831629</v>
      </c>
      <c r="U684">
        <v>0</v>
      </c>
      <c r="V684">
        <v>0.21134569380896073</v>
      </c>
      <c r="W684">
        <v>8.403932030762129E-2</v>
      </c>
      <c r="X684">
        <v>3.1208475445753933E-2</v>
      </c>
      <c r="Y684">
        <v>3.5239519070465984E-3</v>
      </c>
    </row>
    <row r="685" spans="1:25" x14ac:dyDescent="0.25">
      <c r="A685" s="1095"/>
      <c r="B685" s="1454">
        <v>435</v>
      </c>
      <c r="C685" s="1099">
        <v>1.0024118834756006</v>
      </c>
      <c r="D685" s="1099">
        <v>1.0108784023744344</v>
      </c>
      <c r="E685" s="1099">
        <v>0.99426639858770316</v>
      </c>
      <c r="F685" s="1099">
        <v>0.95744572827479379</v>
      </c>
      <c r="G685" s="1099">
        <v>0.99241144876503939</v>
      </c>
      <c r="H685" s="1099">
        <v>0.96844602002338709</v>
      </c>
      <c r="I685" s="1099">
        <v>0.99007526744169561</v>
      </c>
      <c r="K685">
        <v>1.6708143235085344</v>
      </c>
      <c r="L685">
        <v>0</v>
      </c>
      <c r="M685">
        <v>1.3312167615170292E-3</v>
      </c>
      <c r="N685">
        <v>0.12034075311149181</v>
      </c>
      <c r="O685">
        <v>0.12360928515684527</v>
      </c>
      <c r="P685">
        <v>1.7615329320178157E-2</v>
      </c>
      <c r="Q685">
        <v>8.8746166877649976E-4</v>
      </c>
      <c r="R685">
        <v>1.3276514259782934E-3</v>
      </c>
      <c r="S685">
        <v>0.10351891137266293</v>
      </c>
      <c r="T685">
        <v>0.98734308790625747</v>
      </c>
      <c r="U685">
        <v>0</v>
      </c>
      <c r="V685">
        <v>0.20606274024949214</v>
      </c>
      <c r="W685">
        <v>7.9326167806475209E-2</v>
      </c>
      <c r="X685">
        <v>2.8500722730555896E-2</v>
      </c>
      <c r="Y685">
        <v>3.6134295213379642E-3</v>
      </c>
    </row>
    <row r="686" spans="1:25" x14ac:dyDescent="0.25">
      <c r="A686" s="1095"/>
      <c r="B686" s="1454">
        <v>436</v>
      </c>
      <c r="C686" s="1099">
        <v>0.99526478520169981</v>
      </c>
      <c r="D686" s="1099">
        <v>1.0257726856660254</v>
      </c>
      <c r="E686" s="1099">
        <v>0.99248891924635985</v>
      </c>
      <c r="F686" s="1099">
        <v>0.99119036943947281</v>
      </c>
      <c r="G686" s="1099">
        <v>0.98389660377777222</v>
      </c>
      <c r="H686" s="1099">
        <v>0.95800875294579568</v>
      </c>
      <c r="I686" s="1099">
        <v>1.0110868304730147</v>
      </c>
      <c r="K686">
        <v>1.7096498894300887</v>
      </c>
      <c r="L686">
        <v>0</v>
      </c>
      <c r="M686">
        <v>1.3230379673493068E-3</v>
      </c>
      <c r="N686">
        <v>0.11895694892659821</v>
      </c>
      <c r="O686">
        <v>0.12588589320486179</v>
      </c>
      <c r="P686">
        <v>1.8104606770980768E-2</v>
      </c>
      <c r="Q686">
        <v>8.8697850515794484E-4</v>
      </c>
      <c r="R686">
        <v>1.3194548032454472E-3</v>
      </c>
      <c r="S686">
        <v>0.10494973446635415</v>
      </c>
      <c r="T686">
        <v>1.0221941659181755</v>
      </c>
      <c r="U686">
        <v>0</v>
      </c>
      <c r="V686">
        <v>0.20758633494724676</v>
      </c>
      <c r="W686">
        <v>7.8497310501288109E-2</v>
      </c>
      <c r="X686">
        <v>2.9000378337256126E-2</v>
      </c>
      <c r="Y686">
        <v>3.591121016275115E-3</v>
      </c>
    </row>
    <row r="687" spans="1:25" x14ac:dyDescent="0.25">
      <c r="A687" s="1095"/>
      <c r="B687" s="1454">
        <v>437</v>
      </c>
      <c r="C687" s="1099">
        <v>1.0039923234154919</v>
      </c>
      <c r="D687" s="1099">
        <v>0.98642166669618003</v>
      </c>
      <c r="E687" s="1099">
        <v>0.99044565117288375</v>
      </c>
      <c r="F687" s="1099">
        <v>1.0206348733824924</v>
      </c>
      <c r="G687" s="1099">
        <v>0.96905582178933058</v>
      </c>
      <c r="H687" s="1099">
        <v>1.0225787214145399</v>
      </c>
      <c r="I687" s="1099">
        <v>0.99716034735429604</v>
      </c>
      <c r="K687">
        <v>1.7681295516160354</v>
      </c>
      <c r="L687">
        <v>0</v>
      </c>
      <c r="M687">
        <v>1.4433180656844415E-3</v>
      </c>
      <c r="N687">
        <v>0.12899802628175161</v>
      </c>
      <c r="O687">
        <v>0.12944688493826786</v>
      </c>
      <c r="P687">
        <v>1.8572246833342007E-2</v>
      </c>
      <c r="Q687">
        <v>8.9123557859302038E-4</v>
      </c>
      <c r="R687">
        <v>1.4396947297365692E-3</v>
      </c>
      <c r="S687">
        <v>0.10985797602202223</v>
      </c>
      <c r="T687">
        <v>1.0526221986523552</v>
      </c>
      <c r="U687">
        <v>0</v>
      </c>
      <c r="V687">
        <v>0.20883188864662669</v>
      </c>
      <c r="W687">
        <v>8.5227353735022091E-2</v>
      </c>
      <c r="X687">
        <v>2.9766989804897739E-2</v>
      </c>
      <c r="Y687">
        <v>3.9183744591028353E-3</v>
      </c>
    </row>
    <row r="688" spans="1:25" x14ac:dyDescent="0.25">
      <c r="A688" s="1095"/>
      <c r="B688" s="1454">
        <v>438</v>
      </c>
      <c r="C688" s="1099">
        <v>1.0094327723443832</v>
      </c>
      <c r="D688" s="1099">
        <v>1.0070147177717692</v>
      </c>
      <c r="E688" s="1099">
        <v>0.9966003316673423</v>
      </c>
      <c r="F688" s="1099">
        <v>1.0134239182506914</v>
      </c>
      <c r="G688" s="1099">
        <v>1.0058101188586408</v>
      </c>
      <c r="H688" s="1099">
        <v>0.97846817982996748</v>
      </c>
      <c r="I688" s="1099">
        <v>0.99475175589342635</v>
      </c>
      <c r="K688">
        <v>1.741276361903682</v>
      </c>
      <c r="L688">
        <v>0</v>
      </c>
      <c r="M688">
        <v>1.3395299588184022E-3</v>
      </c>
      <c r="N688">
        <v>0.12195478681002889</v>
      </c>
      <c r="O688">
        <v>0.12768979846630082</v>
      </c>
      <c r="P688">
        <v>1.8487366696465807E-2</v>
      </c>
      <c r="Q688">
        <v>8.8478373783921853E-4</v>
      </c>
      <c r="R688">
        <v>1.3360011071616618E-3</v>
      </c>
      <c r="S688">
        <v>0.10458615476969653</v>
      </c>
      <c r="T688">
        <v>1.0449986284698822</v>
      </c>
      <c r="U688">
        <v>0</v>
      </c>
      <c r="V688">
        <v>0.2091721830149581</v>
      </c>
      <c r="W688">
        <v>8.0278266667554485E-2</v>
      </c>
      <c r="X688">
        <v>2.9591767521563849E-2</v>
      </c>
      <c r="Y688">
        <v>3.6361546010474318E-3</v>
      </c>
    </row>
    <row r="689" spans="1:25" x14ac:dyDescent="0.25">
      <c r="A689" s="1095"/>
      <c r="B689" s="1454">
        <v>439</v>
      </c>
      <c r="C689" s="1099">
        <v>0.98436346518409124</v>
      </c>
      <c r="D689" s="1099">
        <v>1.0180431414538804</v>
      </c>
      <c r="E689" s="1099">
        <v>1.0028180714077133</v>
      </c>
      <c r="F689" s="1099">
        <v>1.0221279277741906</v>
      </c>
      <c r="G689" s="1099">
        <v>0.98941706944468544</v>
      </c>
      <c r="H689" s="1099">
        <v>0.96436812295361984</v>
      </c>
      <c r="I689" s="1099">
        <v>0.98411250527431282</v>
      </c>
      <c r="K689">
        <v>1.7550175667637125</v>
      </c>
      <c r="L689">
        <v>0</v>
      </c>
      <c r="M689">
        <v>1.3261978825365455E-3</v>
      </c>
      <c r="N689">
        <v>0.12302474894554703</v>
      </c>
      <c r="O689">
        <v>0.12917792025875716</v>
      </c>
      <c r="P689">
        <v>1.8710255518360652E-2</v>
      </c>
      <c r="Q689">
        <v>9.0921596013961712E-4</v>
      </c>
      <c r="R689">
        <v>1.3226410606884456E-3</v>
      </c>
      <c r="S689">
        <v>0.10433632280948013</v>
      </c>
      <c r="T689">
        <v>1.0537848447904219</v>
      </c>
      <c r="U689">
        <v>0</v>
      </c>
      <c r="V689">
        <v>0.21065281073167116</v>
      </c>
      <c r="W689">
        <v>8.068379627197457E-2</v>
      </c>
      <c r="X689">
        <v>3.0141415340520152E-2</v>
      </c>
      <c r="Y689">
        <v>3.5997929586854722E-3</v>
      </c>
    </row>
    <row r="690" spans="1:25" x14ac:dyDescent="0.25">
      <c r="A690" s="1095"/>
      <c r="B690" s="1454">
        <v>440</v>
      </c>
      <c r="C690" s="1099">
        <v>0.96813479023234827</v>
      </c>
      <c r="D690" s="1099">
        <v>1.0120126149353643</v>
      </c>
      <c r="E690" s="1099">
        <v>1.0189173384298749</v>
      </c>
      <c r="F690" s="1099">
        <v>0.96424612542455512</v>
      </c>
      <c r="G690" s="1099">
        <v>0.9991872334556382</v>
      </c>
      <c r="H690" s="1099">
        <v>1.0224344300814696</v>
      </c>
      <c r="I690" s="1099">
        <v>0.97094931879780233</v>
      </c>
      <c r="K690">
        <v>1.7123258924722728</v>
      </c>
      <c r="L690">
        <v>0</v>
      </c>
      <c r="M690">
        <v>1.3784456165406231E-3</v>
      </c>
      <c r="N690">
        <v>0.13425829700253025</v>
      </c>
      <c r="O690">
        <v>0.12594622261349284</v>
      </c>
      <c r="P690">
        <v>1.814961327936282E-2</v>
      </c>
      <c r="Q690">
        <v>9.4216336234124911E-4</v>
      </c>
      <c r="R690">
        <v>1.3749398222373428E-3</v>
      </c>
      <c r="S690">
        <v>0.10866150996582216</v>
      </c>
      <c r="T690">
        <v>0.99365389182890496</v>
      </c>
      <c r="U690">
        <v>0</v>
      </c>
      <c r="V690">
        <v>0.20973671943319733</v>
      </c>
      <c r="W690">
        <v>8.7219751005818011E-2</v>
      </c>
      <c r="X690">
        <v>3.0019096827767225E-2</v>
      </c>
      <c r="Y690">
        <v>3.7421329473394591E-3</v>
      </c>
    </row>
    <row r="691" spans="1:25" x14ac:dyDescent="0.25">
      <c r="A691" s="1095"/>
      <c r="B691" s="1454">
        <v>441</v>
      </c>
      <c r="C691" s="1099">
        <v>0.97917635254234847</v>
      </c>
      <c r="D691" s="1099">
        <v>1.0109715455244479</v>
      </c>
      <c r="E691" s="1099">
        <v>1.0261879030729539</v>
      </c>
      <c r="F691" s="1099">
        <v>0.96918701981118038</v>
      </c>
      <c r="G691" s="1099">
        <v>0.97424268110270895</v>
      </c>
      <c r="H691" s="1099">
        <v>0.96203916571379489</v>
      </c>
      <c r="I691" s="1099">
        <v>0.98500932700051669</v>
      </c>
      <c r="K691">
        <v>1.6974843870700247</v>
      </c>
      <c r="L691">
        <v>0</v>
      </c>
      <c r="M691">
        <v>1.2656964749066981E-3</v>
      </c>
      <c r="N691">
        <v>0.12599037107040301</v>
      </c>
      <c r="O691">
        <v>0.12582338396124171</v>
      </c>
      <c r="P691">
        <v>1.8237043111297563E-2</v>
      </c>
      <c r="Q691">
        <v>9.3889002077291426E-4</v>
      </c>
      <c r="R691">
        <v>1.2622808687603904E-3</v>
      </c>
      <c r="S691">
        <v>0.10497437328770826</v>
      </c>
      <c r="T691">
        <v>0.99854071552879053</v>
      </c>
      <c r="U691">
        <v>0</v>
      </c>
      <c r="V691">
        <v>0.2078708083749595</v>
      </c>
      <c r="W691">
        <v>8.1501841141741457E-2</v>
      </c>
      <c r="X691">
        <v>3.0174863765266256E-2</v>
      </c>
      <c r="Y691">
        <v>3.4355124139892278E-3</v>
      </c>
    </row>
    <row r="692" spans="1:25" x14ac:dyDescent="0.25">
      <c r="A692" s="1095"/>
      <c r="B692" s="1454">
        <v>442</v>
      </c>
      <c r="C692" s="1099">
        <v>1.013142681412988</v>
      </c>
      <c r="D692" s="1099">
        <v>0.97045593177245137</v>
      </c>
      <c r="E692" s="1099">
        <v>0.99578426639195039</v>
      </c>
      <c r="F692" s="1099">
        <v>1.0117399229090172</v>
      </c>
      <c r="G692" s="1099">
        <v>0.95804725064399499</v>
      </c>
      <c r="H692" s="1099">
        <v>1.0421495730319883</v>
      </c>
      <c r="I692" s="1099">
        <v>0.99802458182081799</v>
      </c>
      <c r="K692">
        <v>1.7639383827446493</v>
      </c>
      <c r="L692">
        <v>0</v>
      </c>
      <c r="M692">
        <v>1.455567190296317E-3</v>
      </c>
      <c r="N692">
        <v>0.13221643628654051</v>
      </c>
      <c r="O692">
        <v>0.12907777288235872</v>
      </c>
      <c r="P692">
        <v>1.8524526661126899E-2</v>
      </c>
      <c r="Q692">
        <v>8.9392218795957478E-4</v>
      </c>
      <c r="R692">
        <v>1.4519928251585203E-3</v>
      </c>
      <c r="S692">
        <v>0.11144837940741284</v>
      </c>
      <c r="T692">
        <v>1.043286803306912</v>
      </c>
      <c r="U692">
        <v>0</v>
      </c>
      <c r="V692">
        <v>0.207581976164886</v>
      </c>
      <c r="W692">
        <v>8.7075476665435386E-2</v>
      </c>
      <c r="X692">
        <v>2.9884817726380804E-2</v>
      </c>
      <c r="Y692">
        <v>3.9518458207753173E-3</v>
      </c>
    </row>
    <row r="693" spans="1:25" x14ac:dyDescent="0.25">
      <c r="A693" s="1095"/>
      <c r="B693" s="1454">
        <v>443</v>
      </c>
      <c r="C693" s="1099">
        <v>0.96952072833858971</v>
      </c>
      <c r="D693" s="1099">
        <v>1.0212960847169816</v>
      </c>
      <c r="E693" s="1099">
        <v>0.95988671495520284</v>
      </c>
      <c r="F693" s="1099">
        <v>1.0293823440044907</v>
      </c>
      <c r="G693" s="1099">
        <v>0.99954988472858253</v>
      </c>
      <c r="H693" s="1099">
        <v>0.99239144599379225</v>
      </c>
      <c r="I693" s="1099">
        <v>0.96774451118410132</v>
      </c>
      <c r="K693">
        <v>1.7690731369599857</v>
      </c>
      <c r="L693">
        <v>0</v>
      </c>
      <c r="M693">
        <v>1.5104762515972283E-3</v>
      </c>
      <c r="N693">
        <v>0.12306150067731303</v>
      </c>
      <c r="O693">
        <v>0.13019215311042817</v>
      </c>
      <c r="P693">
        <v>1.8272201452113092E-2</v>
      </c>
      <c r="Q693">
        <v>8.8142635232038981E-4</v>
      </c>
      <c r="R693">
        <v>1.506534696688681E-3</v>
      </c>
      <c r="S693">
        <v>0.10578107379485367</v>
      </c>
      <c r="T693">
        <v>1.06260227523021</v>
      </c>
      <c r="U693">
        <v>0</v>
      </c>
      <c r="V693">
        <v>0.21260210456420092</v>
      </c>
      <c r="W693">
        <v>8.2825269401914883E-2</v>
      </c>
      <c r="X693">
        <v>2.8758783116182338E-2</v>
      </c>
      <c r="Y693">
        <v>4.1002908153572994E-3</v>
      </c>
    </row>
    <row r="694" spans="1:25" x14ac:dyDescent="0.25">
      <c r="A694" s="1095"/>
      <c r="B694" s="1454">
        <v>444</v>
      </c>
      <c r="C694" s="1099">
        <v>0.96183087073432483</v>
      </c>
      <c r="D694" s="1099">
        <v>1.0202736655078228</v>
      </c>
      <c r="E694" s="1099">
        <v>1.0189283644958389</v>
      </c>
      <c r="F694" s="1099">
        <v>1.0179863527645818</v>
      </c>
      <c r="G694" s="1099">
        <v>0.9723725523618354</v>
      </c>
      <c r="H694" s="1099">
        <v>0.99900025719840546</v>
      </c>
      <c r="I694" s="1099">
        <v>1.0268572535899454</v>
      </c>
      <c r="K694">
        <v>1.7766824869450961</v>
      </c>
      <c r="L694">
        <v>0</v>
      </c>
      <c r="M694">
        <v>1.3549200022035563E-3</v>
      </c>
      <c r="N694">
        <v>0.13196437184376658</v>
      </c>
      <c r="O694">
        <v>0.13003876801739414</v>
      </c>
      <c r="P694">
        <v>1.9010883766076188E-2</v>
      </c>
      <c r="Q694">
        <v>9.4527014507095244E-4</v>
      </c>
      <c r="R694">
        <v>1.3514027680331026E-3</v>
      </c>
      <c r="S694">
        <v>0.11368647134003222</v>
      </c>
      <c r="T694">
        <v>1.0490327717402608</v>
      </c>
      <c r="U694">
        <v>0</v>
      </c>
      <c r="V694">
        <v>0.21158812985879061</v>
      </c>
      <c r="W694">
        <v>8.5728968709541359E-2</v>
      </c>
      <c r="X694">
        <v>3.1012295913548808E-2</v>
      </c>
      <c r="Y694">
        <v>3.678072844783351E-3</v>
      </c>
    </row>
    <row r="695" spans="1:25" x14ac:dyDescent="0.25">
      <c r="A695" s="1095"/>
      <c r="B695" s="1454">
        <v>445</v>
      </c>
      <c r="C695" s="1099">
        <v>1.002623545239812</v>
      </c>
      <c r="D695" s="1099">
        <v>0.96569616942055014</v>
      </c>
      <c r="E695" s="1099">
        <v>0.98600481635425141</v>
      </c>
      <c r="F695" s="1099">
        <v>0.9992387755459835</v>
      </c>
      <c r="G695" s="1099">
        <v>0.98285941505342489</v>
      </c>
      <c r="H695" s="1099">
        <v>1.0181867854792477</v>
      </c>
      <c r="I695" s="1099">
        <v>0.96908745938591978</v>
      </c>
      <c r="K695">
        <v>1.7441618179523239</v>
      </c>
      <c r="L695">
        <v>0</v>
      </c>
      <c r="M695">
        <v>1.4677406019698394E-3</v>
      </c>
      <c r="N695">
        <v>0.12943030899631638</v>
      </c>
      <c r="O695">
        <v>0.12884844392590708</v>
      </c>
      <c r="P695">
        <v>1.8191300775957566E-2</v>
      </c>
      <c r="Q695">
        <v>8.9590431644095351E-4</v>
      </c>
      <c r="R695">
        <v>1.4640475694093198E-3</v>
      </c>
      <c r="S695">
        <v>0.10787207105475052</v>
      </c>
      <c r="T695">
        <v>1.030689003467312</v>
      </c>
      <c r="U695">
        <v>0</v>
      </c>
      <c r="V695">
        <v>0.20912563709896817</v>
      </c>
      <c r="W695">
        <v>8.5741073667788562E-2</v>
      </c>
      <c r="X695">
        <v>2.9387112820661535E-2</v>
      </c>
      <c r="Y695">
        <v>3.9846548607806202E-3</v>
      </c>
    </row>
    <row r="696" spans="1:25" x14ac:dyDescent="0.25">
      <c r="A696" s="1095"/>
      <c r="B696" s="1454">
        <v>446</v>
      </c>
      <c r="C696" s="1099">
        <v>1.0354786220202303</v>
      </c>
      <c r="D696" s="1099">
        <v>0.98097880482956512</v>
      </c>
      <c r="E696" s="1099">
        <v>0.99577243412875449</v>
      </c>
      <c r="F696" s="1099">
        <v>1.0203424760233173</v>
      </c>
      <c r="G696" s="1099">
        <v>0.98223810030370728</v>
      </c>
      <c r="H696" s="1099">
        <v>1.0004474240384604</v>
      </c>
      <c r="I696" s="1099">
        <v>0.9982177686157897</v>
      </c>
      <c r="K696">
        <v>1.7509289965089008</v>
      </c>
      <c r="L696">
        <v>0</v>
      </c>
      <c r="M696">
        <v>1.3619679405588584E-3</v>
      </c>
      <c r="N696">
        <v>0.12369737993324531</v>
      </c>
      <c r="O696">
        <v>0.12809572692865856</v>
      </c>
      <c r="P696">
        <v>1.8559155677020871E-2</v>
      </c>
      <c r="Q696">
        <v>8.7086398331491326E-4</v>
      </c>
      <c r="R696">
        <v>1.3584856458716049E-3</v>
      </c>
      <c r="S696">
        <v>0.10566649925862659</v>
      </c>
      <c r="T696">
        <v>1.0521579514909725</v>
      </c>
      <c r="U696">
        <v>0</v>
      </c>
      <c r="V696">
        <v>0.20705562622110676</v>
      </c>
      <c r="W696">
        <v>8.1465547115744094E-2</v>
      </c>
      <c r="X696">
        <v>2.9666378091508579E-2</v>
      </c>
      <c r="Y696">
        <v>3.697350103389702E-3</v>
      </c>
    </row>
    <row r="697" spans="1:25" x14ac:dyDescent="0.25">
      <c r="A697" s="1095"/>
      <c r="B697" s="1454">
        <v>447</v>
      </c>
      <c r="C697" s="1099">
        <v>0.95766995048236492</v>
      </c>
      <c r="D697" s="1099">
        <v>1.0066335731192053</v>
      </c>
      <c r="E697" s="1099">
        <v>0.9855246468989397</v>
      </c>
      <c r="F697" s="1099">
        <v>1.0382788188112477</v>
      </c>
      <c r="G697" s="1099">
        <v>0.99092634708053118</v>
      </c>
      <c r="H697" s="1099">
        <v>1.012914614591506</v>
      </c>
      <c r="I697" s="1099">
        <v>0.99061189731153676</v>
      </c>
      <c r="K697">
        <v>1.8021835032173366</v>
      </c>
      <c r="L697">
        <v>0</v>
      </c>
      <c r="M697">
        <v>1.4925514878561864E-3</v>
      </c>
      <c r="N697">
        <v>0.1314227128214307</v>
      </c>
      <c r="O697">
        <v>0.1323100876837372</v>
      </c>
      <c r="P697">
        <v>1.8854469869866601E-2</v>
      </c>
      <c r="Q697">
        <v>9.2204782496336862E-4</v>
      </c>
      <c r="R697">
        <v>1.488745000288881E-3</v>
      </c>
      <c r="S697">
        <v>0.11210730915035358</v>
      </c>
      <c r="T697">
        <v>1.0709728323426744</v>
      </c>
      <c r="U697">
        <v>0</v>
      </c>
      <c r="V697">
        <v>0.21424501873161386</v>
      </c>
      <c r="W697">
        <v>8.7086071899276668E-2</v>
      </c>
      <c r="X697">
        <v>3.0214886254854807E-2</v>
      </c>
      <c r="Y697">
        <v>4.0518731261288852E-3</v>
      </c>
    </row>
    <row r="698" spans="1:25" x14ac:dyDescent="0.25">
      <c r="A698" s="1095"/>
      <c r="B698" s="1454">
        <v>448</v>
      </c>
      <c r="C698" s="1099">
        <v>1.0162890487438554</v>
      </c>
      <c r="D698" s="1099">
        <v>1.0138981587906157</v>
      </c>
      <c r="E698" s="1099">
        <v>1.0250341681654129</v>
      </c>
      <c r="F698" s="1099">
        <v>1.0297438408022881</v>
      </c>
      <c r="G698" s="1099">
        <v>0.9750635942827538</v>
      </c>
      <c r="H698" s="1099">
        <v>1.0214504483152396</v>
      </c>
      <c r="I698" s="1099">
        <v>0.95767147505390648</v>
      </c>
      <c r="K698">
        <v>1.7676516646343241</v>
      </c>
      <c r="L698">
        <v>0</v>
      </c>
      <c r="M698">
        <v>1.3064313138312625E-3</v>
      </c>
      <c r="N698">
        <v>0.12961648474184007</v>
      </c>
      <c r="O698">
        <v>0.12835982091760617</v>
      </c>
      <c r="P698">
        <v>1.905513707095028E-2</v>
      </c>
      <c r="Q698">
        <v>9.0249280140216107E-4</v>
      </c>
      <c r="R698">
        <v>1.3031363343564604E-3</v>
      </c>
      <c r="S698">
        <v>0.10257114608377897</v>
      </c>
      <c r="T698">
        <v>1.0609660316711111</v>
      </c>
      <c r="U698">
        <v>0</v>
      </c>
      <c r="V698">
        <v>0.20783843527708443</v>
      </c>
      <c r="W698">
        <v>8.3903902500954697E-2</v>
      </c>
      <c r="X698">
        <v>3.0894801025726719E-2</v>
      </c>
      <c r="Y698">
        <v>3.5467075233411157E-3</v>
      </c>
    </row>
    <row r="699" spans="1:25" x14ac:dyDescent="0.25">
      <c r="A699" s="1095"/>
      <c r="B699" s="1454">
        <v>449</v>
      </c>
      <c r="C699" s="1099">
        <v>0.97127639381999298</v>
      </c>
      <c r="D699" s="1099">
        <v>0.96890203466226277</v>
      </c>
      <c r="E699" s="1099">
        <v>1.0077676904668145</v>
      </c>
      <c r="F699" s="1099">
        <v>1.0432039305803293</v>
      </c>
      <c r="G699" s="1099">
        <v>0.99941471128357107</v>
      </c>
      <c r="H699" s="1099">
        <v>1.0002001720326614</v>
      </c>
      <c r="I699" s="1099">
        <v>0.96266794936940037</v>
      </c>
      <c r="K699">
        <v>1.8101655890426143</v>
      </c>
      <c r="L699">
        <v>0</v>
      </c>
      <c r="M699">
        <v>1.4215035267602025E-3</v>
      </c>
      <c r="N699">
        <v>0.13386807480063376</v>
      </c>
      <c r="O699">
        <v>0.13383987900026689</v>
      </c>
      <c r="P699">
        <v>1.9201192590641739E-2</v>
      </c>
      <c r="Q699">
        <v>9.4470598372151029E-4</v>
      </c>
      <c r="R699">
        <v>1.4178643200117014E-3</v>
      </c>
      <c r="S699">
        <v>0.10923834588473667</v>
      </c>
      <c r="T699">
        <v>1.0753609234657122</v>
      </c>
      <c r="U699">
        <v>0</v>
      </c>
      <c r="V699">
        <v>0.21493616342144006</v>
      </c>
      <c r="W699">
        <v>8.7538394699935296E-2</v>
      </c>
      <c r="X699">
        <v>3.1382589122051191E-2</v>
      </c>
      <c r="Y699">
        <v>3.8589592802243757E-3</v>
      </c>
    </row>
    <row r="700" spans="1:25" x14ac:dyDescent="0.25">
      <c r="A700" s="1095"/>
      <c r="B700" s="1454">
        <v>450</v>
      </c>
      <c r="C700" s="1099">
        <v>1.0088793473479434</v>
      </c>
      <c r="D700" s="1099">
        <v>1.0094889470239512</v>
      </c>
      <c r="E700" s="1099">
        <v>0.96503021561446267</v>
      </c>
      <c r="F700" s="1099">
        <v>0.98107215216341626</v>
      </c>
      <c r="G700" s="1099">
        <v>1.0035430633619598</v>
      </c>
      <c r="H700" s="1099">
        <v>1.0415893959170404</v>
      </c>
      <c r="I700" s="1099">
        <v>0.99419280359141271</v>
      </c>
      <c r="K700">
        <v>1.713540196137842</v>
      </c>
      <c r="L700">
        <v>0</v>
      </c>
      <c r="M700">
        <v>1.5165008148491136E-3</v>
      </c>
      <c r="N700">
        <v>0.12550860578174861</v>
      </c>
      <c r="O700">
        <v>0.12504162737578545</v>
      </c>
      <c r="P700">
        <v>1.764566629537654E-2</v>
      </c>
      <c r="Q700">
        <v>8.5563191362288344E-4</v>
      </c>
      <c r="R700">
        <v>1.512735515024702E-3</v>
      </c>
      <c r="S700">
        <v>0.1084999325923293</v>
      </c>
      <c r="T700">
        <v>1.0125773571001635</v>
      </c>
      <c r="U700">
        <v>0</v>
      </c>
      <c r="V700">
        <v>0.20726557489552735</v>
      </c>
      <c r="W700">
        <v>8.4206655741168535E-2</v>
      </c>
      <c r="X700">
        <v>2.7825742343176245E-2</v>
      </c>
      <c r="Y700">
        <v>4.1171673987687321E-3</v>
      </c>
    </row>
    <row r="701" spans="1:25" x14ac:dyDescent="0.25">
      <c r="A701" s="1095"/>
      <c r="B701" s="1454">
        <v>451</v>
      </c>
      <c r="C701" s="1099">
        <v>0.98448991071674019</v>
      </c>
      <c r="D701" s="1099">
        <v>1.0028542587450764</v>
      </c>
      <c r="E701" s="1099">
        <v>1.0235039548114879</v>
      </c>
      <c r="F701" s="1099">
        <v>0.99625935072978855</v>
      </c>
      <c r="G701" s="1099">
        <v>1.0151076745271634</v>
      </c>
      <c r="H701" s="1099">
        <v>1.003766258744033</v>
      </c>
      <c r="I701" s="1099">
        <v>1.0087039737650876</v>
      </c>
      <c r="K701">
        <v>1.7466964729969991</v>
      </c>
      <c r="L701">
        <v>0</v>
      </c>
      <c r="M701">
        <v>1.3309223150931321E-3</v>
      </c>
      <c r="N701">
        <v>0.13143138561481074</v>
      </c>
      <c r="O701">
        <v>0.12798290283214053</v>
      </c>
      <c r="P701">
        <v>1.8712060533570073E-2</v>
      </c>
      <c r="Q701">
        <v>9.3426940459403779E-4</v>
      </c>
      <c r="R701">
        <v>1.3274950719690476E-3</v>
      </c>
      <c r="S701">
        <v>0.11062420986014429</v>
      </c>
      <c r="T701">
        <v>1.0265105016767631</v>
      </c>
      <c r="U701">
        <v>0</v>
      </c>
      <c r="V701">
        <v>0.21104631261030135</v>
      </c>
      <c r="W701">
        <v>8.5154677969926082E-2</v>
      </c>
      <c r="X701">
        <v>3.0690575760605708E-2</v>
      </c>
      <c r="Y701">
        <v>3.6130039772668816E-3</v>
      </c>
    </row>
    <row r="702" spans="1:25" x14ac:dyDescent="0.25">
      <c r="A702" s="1095"/>
      <c r="B702" s="1454">
        <v>452</v>
      </c>
      <c r="C702" s="1099">
        <v>0.99250258932058455</v>
      </c>
      <c r="D702" s="1099">
        <v>0.9764346174352847</v>
      </c>
      <c r="E702" s="1099">
        <v>1.0232238096897572</v>
      </c>
      <c r="F702" s="1099">
        <v>0.9747146748342882</v>
      </c>
      <c r="G702" s="1099">
        <v>1.0037413566705491</v>
      </c>
      <c r="H702" s="1099">
        <v>0.9981739859507105</v>
      </c>
      <c r="I702" s="1099">
        <v>0.98485366463659896</v>
      </c>
      <c r="K702">
        <v>1.719340136980362</v>
      </c>
      <c r="L702">
        <v>0</v>
      </c>
      <c r="M702">
        <v>1.3326288918650703E-3</v>
      </c>
      <c r="N702">
        <v>0.13148813102147697</v>
      </c>
      <c r="O702">
        <v>0.12712040603398217</v>
      </c>
      <c r="P702">
        <v>1.8348030308356727E-2</v>
      </c>
      <c r="Q702">
        <v>9.3640779929519545E-4</v>
      </c>
      <c r="R702">
        <v>1.3291908143023348E-3</v>
      </c>
      <c r="S702">
        <v>0.10843218423762219</v>
      </c>
      <c r="T702">
        <v>1.0043195555138615</v>
      </c>
      <c r="U702">
        <v>0</v>
      </c>
      <c r="V702">
        <v>0.2094706271176561</v>
      </c>
      <c r="W702">
        <v>8.5205370567244865E-2</v>
      </c>
      <c r="X702">
        <v>3.0405243229532294E-2</v>
      </c>
      <c r="Y702">
        <v>3.6176192288967794E-3</v>
      </c>
    </row>
    <row r="703" spans="1:25" x14ac:dyDescent="0.25">
      <c r="A703" s="1095"/>
      <c r="B703" s="1454">
        <v>453</v>
      </c>
      <c r="C703" s="1099">
        <v>1.0008242726935617</v>
      </c>
      <c r="D703" s="1099">
        <v>0.97469544728885715</v>
      </c>
      <c r="E703" s="1099">
        <v>1.0259441157563287</v>
      </c>
      <c r="F703" s="1099">
        <v>1.0269121454790888</v>
      </c>
      <c r="G703" s="1099">
        <v>0.99032873648633613</v>
      </c>
      <c r="H703" s="1099">
        <v>1.0275056932553319</v>
      </c>
      <c r="I703" s="1099">
        <v>0.96897870452856849</v>
      </c>
      <c r="K703">
        <v>1.7863487923981662</v>
      </c>
      <c r="L703">
        <v>0</v>
      </c>
      <c r="M703">
        <v>1.3613956909607236E-3</v>
      </c>
      <c r="N703">
        <v>0.13544495562690756</v>
      </c>
      <c r="O703">
        <v>0.13078947370379934</v>
      </c>
      <c r="P703">
        <v>1.9149522445393214E-2</v>
      </c>
      <c r="Q703">
        <v>9.3187474975565488E-4</v>
      </c>
      <c r="R703">
        <v>1.3580030385796397E-3</v>
      </c>
      <c r="S703">
        <v>0.10830604972684615</v>
      </c>
      <c r="T703">
        <v>1.0580214064783429</v>
      </c>
      <c r="U703">
        <v>0</v>
      </c>
      <c r="V703">
        <v>0.21092260347337885</v>
      </c>
      <c r="W703">
        <v>8.7630350362582252E-2</v>
      </c>
      <c r="X703">
        <v>3.1459911878106525E-2</v>
      </c>
      <c r="Y703">
        <v>3.6960366054324244E-3</v>
      </c>
    </row>
    <row r="704" spans="1:25" x14ac:dyDescent="0.25">
      <c r="A704" s="1095"/>
      <c r="B704" s="1454">
        <v>454</v>
      </c>
      <c r="C704" s="1099">
        <v>0.99735133098643747</v>
      </c>
      <c r="D704" s="1099">
        <v>1.0101605267858362</v>
      </c>
      <c r="E704" s="1099">
        <v>1.0101587026735681</v>
      </c>
      <c r="F704" s="1099">
        <v>1.01337301209416</v>
      </c>
      <c r="G704" s="1099">
        <v>1.0037191853391967</v>
      </c>
      <c r="H704" s="1099">
        <v>0.96711661264761506</v>
      </c>
      <c r="I704" s="1099">
        <v>1.0133456729192221</v>
      </c>
      <c r="K704">
        <v>1.7466011512050064</v>
      </c>
      <c r="L704">
        <v>0</v>
      </c>
      <c r="M704">
        <v>1.2991740560240189E-3</v>
      </c>
      <c r="N704">
        <v>0.1232207796270067</v>
      </c>
      <c r="O704">
        <v>0.12822215694691411</v>
      </c>
      <c r="P704">
        <v>1.871032079901001E-2</v>
      </c>
      <c r="Q704">
        <v>9.0702366182743668E-4</v>
      </c>
      <c r="R704">
        <v>1.2957058871605471E-3</v>
      </c>
      <c r="S704">
        <v>0.10677738537179626</v>
      </c>
      <c r="T704">
        <v>1.0445390777580348</v>
      </c>
      <c r="U704">
        <v>0</v>
      </c>
      <c r="V704">
        <v>0.21002877807978648</v>
      </c>
      <c r="W704">
        <v>8.0462345915915112E-2</v>
      </c>
      <c r="X704">
        <v>3.021026691806019E-2</v>
      </c>
      <c r="Y704">
        <v>3.5264842955201004E-3</v>
      </c>
    </row>
    <row r="705" spans="1:25" x14ac:dyDescent="0.25">
      <c r="A705" s="1095"/>
      <c r="B705" s="1454">
        <v>455</v>
      </c>
      <c r="C705" s="1099">
        <v>0.98517933052083129</v>
      </c>
      <c r="D705" s="1099">
        <v>0.980614929365899</v>
      </c>
      <c r="E705" s="1099">
        <v>0.98152747068223478</v>
      </c>
      <c r="F705" s="1099">
        <v>0.99025871969382839</v>
      </c>
      <c r="G705" s="1099">
        <v>0.97021135069521203</v>
      </c>
      <c r="H705" s="1099">
        <v>1.0170822794834473</v>
      </c>
      <c r="I705" s="1099">
        <v>0.98800948475110617</v>
      </c>
      <c r="K705">
        <v>1.7372457941587949</v>
      </c>
      <c r="L705">
        <v>0</v>
      </c>
      <c r="M705">
        <v>1.4890361767850473E-3</v>
      </c>
      <c r="N705">
        <v>0.12953982424005858</v>
      </c>
      <c r="O705">
        <v>0.12834287216185658</v>
      </c>
      <c r="P705">
        <v>1.8042967009387581E-2</v>
      </c>
      <c r="Q705">
        <v>9.0196032664398762E-4</v>
      </c>
      <c r="R705">
        <v>1.4852659650579467E-3</v>
      </c>
      <c r="S705">
        <v>0.11061903585458324</v>
      </c>
      <c r="T705">
        <v>1.0215602559107688</v>
      </c>
      <c r="U705">
        <v>0</v>
      </c>
      <c r="V705">
        <v>0.20905372204387004</v>
      </c>
      <c r="W705">
        <v>8.6045242263664987E-2</v>
      </c>
      <c r="X705">
        <v>2.9101280220593665E-2</v>
      </c>
      <c r="Y705">
        <v>4.0424043390939381E-3</v>
      </c>
    </row>
    <row r="706" spans="1:25" x14ac:dyDescent="0.25">
      <c r="A706" s="1095"/>
      <c r="B706" s="1454">
        <v>456</v>
      </c>
      <c r="C706" s="1099">
        <v>1.0137641706644565</v>
      </c>
      <c r="D706" s="1099">
        <v>0.99473963183837266</v>
      </c>
      <c r="E706" s="1099">
        <v>1.0029420743779267</v>
      </c>
      <c r="F706" s="1099">
        <v>1.002612618844094</v>
      </c>
      <c r="G706" s="1099">
        <v>0.96328337990349666</v>
      </c>
      <c r="H706" s="1099">
        <v>1.0051964664899333</v>
      </c>
      <c r="I706" s="1099">
        <v>0.98950943877703978</v>
      </c>
      <c r="K706">
        <v>1.7355967722038201</v>
      </c>
      <c r="L706">
        <v>0</v>
      </c>
      <c r="M706">
        <v>1.3613979356674676E-3</v>
      </c>
      <c r="N706">
        <v>0.12635286974733315</v>
      </c>
      <c r="O706">
        <v>0.12724389562696628</v>
      </c>
      <c r="P706">
        <v>1.840651261762279E-2</v>
      </c>
      <c r="Q706">
        <v>8.9117717322796403E-4</v>
      </c>
      <c r="R706">
        <v>1.3579130253446256E-3</v>
      </c>
      <c r="S706">
        <v>0.10618423804057726</v>
      </c>
      <c r="T706">
        <v>1.033661430699375</v>
      </c>
      <c r="U706">
        <v>0</v>
      </c>
      <c r="V706">
        <v>0.20658161680900192</v>
      </c>
      <c r="W706">
        <v>8.2860397375010289E-2</v>
      </c>
      <c r="X706">
        <v>2.9722327405949052E-2</v>
      </c>
      <c r="Y706">
        <v>3.6957916190795705E-3</v>
      </c>
    </row>
    <row r="707" spans="1:25" x14ac:dyDescent="0.25">
      <c r="A707" s="1095"/>
      <c r="B707" s="1454">
        <v>457</v>
      </c>
      <c r="C707" s="1099">
        <v>1.0149073864420683</v>
      </c>
      <c r="D707" s="1099">
        <v>1.0077586268497605</v>
      </c>
      <c r="E707" s="1099">
        <v>1.0197683630213497</v>
      </c>
      <c r="F707" s="1099">
        <v>0.9994278684729081</v>
      </c>
      <c r="G707" s="1099">
        <v>1.0437257136815115</v>
      </c>
      <c r="H707" s="1099">
        <v>0.96692832679441398</v>
      </c>
      <c r="I707" s="1099">
        <v>1.003372981060566</v>
      </c>
      <c r="K707">
        <v>1.7251126588491443</v>
      </c>
      <c r="L707">
        <v>0</v>
      </c>
      <c r="M707">
        <v>1.2532629878624969E-3</v>
      </c>
      <c r="N707">
        <v>0.12236419916147574</v>
      </c>
      <c r="O707">
        <v>0.12641775781780171</v>
      </c>
      <c r="P707">
        <v>1.8600659976984825E-2</v>
      </c>
      <c r="Q707">
        <v>9.0104538377493669E-4</v>
      </c>
      <c r="R707">
        <v>1.2499190463077774E-3</v>
      </c>
      <c r="S707">
        <v>0.10407013319366068</v>
      </c>
      <c r="T707">
        <v>1.0298838188216857</v>
      </c>
      <c r="U707">
        <v>0</v>
      </c>
      <c r="V707">
        <v>0.20987292540761618</v>
      </c>
      <c r="W707">
        <v>7.9453262714408682E-2</v>
      </c>
      <c r="X707">
        <v>3.0150332704943272E-2</v>
      </c>
      <c r="Y707">
        <v>3.4018676083468918E-3</v>
      </c>
    </row>
    <row r="708" spans="1:25" x14ac:dyDescent="0.25">
      <c r="A708" s="1095"/>
      <c r="B708" s="1454">
        <v>458</v>
      </c>
      <c r="C708" s="1099">
        <v>1.020231751758069</v>
      </c>
      <c r="D708" s="1099">
        <v>1.0041604964649535</v>
      </c>
      <c r="E708" s="1099">
        <v>1.0030275910321498</v>
      </c>
      <c r="F708" s="1099">
        <v>1.0279280693340962</v>
      </c>
      <c r="G708" s="1099">
        <v>0.96964792639333219</v>
      </c>
      <c r="H708" s="1099">
        <v>0.9589611411581046</v>
      </c>
      <c r="I708" s="1099">
        <v>0.98746865608918311</v>
      </c>
      <c r="K708">
        <v>1.748042570583036</v>
      </c>
      <c r="L708">
        <v>0</v>
      </c>
      <c r="M708">
        <v>1.2865117394287213E-3</v>
      </c>
      <c r="N708">
        <v>0.11941892891435477</v>
      </c>
      <c r="O708">
        <v>0.12838124568654399</v>
      </c>
      <c r="P708">
        <v>1.8714473457021159E-2</v>
      </c>
      <c r="Q708">
        <v>8.8227326035694731E-4</v>
      </c>
      <c r="R708">
        <v>1.2830625650556435E-3</v>
      </c>
      <c r="S708">
        <v>0.10172734815850681</v>
      </c>
      <c r="T708">
        <v>1.0597582423032905</v>
      </c>
      <c r="U708">
        <v>0</v>
      </c>
      <c r="V708">
        <v>0.20738689452244233</v>
      </c>
      <c r="W708">
        <v>7.8309247644293117E-2</v>
      </c>
      <c r="X708">
        <v>2.9975292469976635E-2</v>
      </c>
      <c r="Y708">
        <v>3.4920733406205639E-3</v>
      </c>
    </row>
    <row r="709" spans="1:25" x14ac:dyDescent="0.25">
      <c r="A709" s="1095"/>
      <c r="B709" s="1454">
        <v>459</v>
      </c>
      <c r="C709" s="1099">
        <v>0.99841524663204106</v>
      </c>
      <c r="D709" s="1099">
        <v>1.0039727254450721</v>
      </c>
      <c r="E709" s="1099">
        <v>1.0047140563170458</v>
      </c>
      <c r="F709" s="1099">
        <v>1.0117189370699833</v>
      </c>
      <c r="G709" s="1099">
        <v>0.99901223437202191</v>
      </c>
      <c r="H709" s="1099">
        <v>0.97038783602237222</v>
      </c>
      <c r="I709" s="1099">
        <v>0.99011366156591807</v>
      </c>
      <c r="K709">
        <v>1.7430953778786962</v>
      </c>
      <c r="L709">
        <v>0</v>
      </c>
      <c r="M709">
        <v>1.3216969686992929E-3</v>
      </c>
      <c r="N709">
        <v>0.12331437569633093</v>
      </c>
      <c r="O709">
        <v>0.12830184061109773</v>
      </c>
      <c r="P709">
        <v>1.8583964680661057E-2</v>
      </c>
      <c r="Q709">
        <v>9.0319401432401123E-4</v>
      </c>
      <c r="R709">
        <v>1.3181844787546195E-3</v>
      </c>
      <c r="S709">
        <v>0.10482891395147974</v>
      </c>
      <c r="T709">
        <v>1.0429966637503769</v>
      </c>
      <c r="U709">
        <v>0</v>
      </c>
      <c r="V709">
        <v>0.20979321818675983</v>
      </c>
      <c r="W709">
        <v>8.0782930616502296E-2</v>
      </c>
      <c r="X709">
        <v>3.0006125249333108E-2</v>
      </c>
      <c r="Y709">
        <v>3.5876636117734371E-3</v>
      </c>
    </row>
    <row r="710" spans="1:25" x14ac:dyDescent="0.25">
      <c r="A710" s="1095"/>
      <c r="B710" s="1454">
        <v>460</v>
      </c>
      <c r="C710" s="1099">
        <v>1.0293110900818725</v>
      </c>
      <c r="D710" s="1099">
        <v>0.99169969080935416</v>
      </c>
      <c r="E710" s="1099">
        <v>0.98060752934670981</v>
      </c>
      <c r="F710" s="1099">
        <v>0.96418752962408427</v>
      </c>
      <c r="G710" s="1099">
        <v>1.0214328864939446</v>
      </c>
      <c r="H710" s="1099">
        <v>1.0050069075107033</v>
      </c>
      <c r="I710" s="1099">
        <v>0.97713527556947322</v>
      </c>
      <c r="K710">
        <v>1.6806415432246116</v>
      </c>
      <c r="L710">
        <v>0</v>
      </c>
      <c r="M710">
        <v>1.4036044546185396E-3</v>
      </c>
      <c r="N710">
        <v>0.121764307018923</v>
      </c>
      <c r="O710">
        <v>0.12359871125392889</v>
      </c>
      <c r="P710">
        <v>1.7531451390811824E-2</v>
      </c>
      <c r="Q710">
        <v>8.5858829585343374E-4</v>
      </c>
      <c r="R710">
        <v>1.400005238025576E-3</v>
      </c>
      <c r="S710">
        <v>0.1032753751701498</v>
      </c>
      <c r="T710">
        <v>0.99469183857438992</v>
      </c>
      <c r="U710">
        <v>0</v>
      </c>
      <c r="V710">
        <v>0.2061532827679704</v>
      </c>
      <c r="W710">
        <v>8.0925352252555136E-2</v>
      </c>
      <c r="X710">
        <v>2.8035882970319219E-2</v>
      </c>
      <c r="Y710">
        <v>3.8103527463029365E-3</v>
      </c>
    </row>
    <row r="711" spans="1:25" x14ac:dyDescent="0.25">
      <c r="A711" s="1095"/>
      <c r="B711" s="1454">
        <v>461</v>
      </c>
      <c r="C711" s="1099">
        <v>0.97365642944554631</v>
      </c>
      <c r="D711" s="1099">
        <v>1.0470517010331362</v>
      </c>
      <c r="E711" s="1099">
        <v>1.0343060394370445</v>
      </c>
      <c r="F711" s="1099">
        <v>0.98457651476256713</v>
      </c>
      <c r="G711" s="1099">
        <v>1.0033782277840275</v>
      </c>
      <c r="H711" s="1099">
        <v>1.0160533340675366</v>
      </c>
      <c r="I711" s="1099">
        <v>1.0362332531274439</v>
      </c>
      <c r="K711">
        <v>1.7332920615787304</v>
      </c>
      <c r="L711">
        <v>0</v>
      </c>
      <c r="M711">
        <v>1.2961011633466949E-3</v>
      </c>
      <c r="N711">
        <v>0.13223032954766092</v>
      </c>
      <c r="O711">
        <v>0.12573916866202578</v>
      </c>
      <c r="P711">
        <v>1.8694575682798007E-2</v>
      </c>
      <c r="Q711">
        <v>9.3880514668422187E-4</v>
      </c>
      <c r="R711">
        <v>1.2927708559666675E-3</v>
      </c>
      <c r="S711">
        <v>0.1126604385681593</v>
      </c>
      <c r="T711">
        <v>1.014165866653679</v>
      </c>
      <c r="U711">
        <v>0</v>
      </c>
      <c r="V711">
        <v>0.209556163421107</v>
      </c>
      <c r="W711">
        <v>8.5136340050736725E-2</v>
      </c>
      <c r="X711">
        <v>3.0655208045113604E-2</v>
      </c>
      <c r="Y711">
        <v>3.5184961081431323E-3</v>
      </c>
    </row>
    <row r="712" spans="1:25" x14ac:dyDescent="0.25">
      <c r="A712" s="1095"/>
      <c r="B712" s="1454">
        <v>462</v>
      </c>
      <c r="C712" s="1099">
        <v>0.99802571226917525</v>
      </c>
      <c r="D712" s="1099">
        <v>0.99487749630263878</v>
      </c>
      <c r="E712" s="1099">
        <v>1.0028120083042897</v>
      </c>
      <c r="F712" s="1099">
        <v>1.0197756691939552</v>
      </c>
      <c r="G712" s="1099">
        <v>1.0155221708637729</v>
      </c>
      <c r="H712" s="1099">
        <v>0.99503904437395674</v>
      </c>
      <c r="I712" s="1099">
        <v>0.97580345369078691</v>
      </c>
      <c r="K712">
        <v>1.7615695782525294</v>
      </c>
      <c r="L712">
        <v>0</v>
      </c>
      <c r="M712">
        <v>1.3693832464010277E-3</v>
      </c>
      <c r="N712">
        <v>0.12704079225645459</v>
      </c>
      <c r="O712">
        <v>0.1293460740124841</v>
      </c>
      <c r="P712">
        <v>1.8704324898825807E-2</v>
      </c>
      <c r="Q712">
        <v>9.0505862365545305E-4</v>
      </c>
      <c r="R712">
        <v>1.3658426211393432E-3</v>
      </c>
      <c r="S712">
        <v>0.10567002452035398</v>
      </c>
      <c r="T712">
        <v>1.0513599163290834</v>
      </c>
      <c r="U712">
        <v>0</v>
      </c>
      <c r="V712">
        <v>0.21131524563918111</v>
      </c>
      <c r="W712">
        <v>8.3317953043883466E-2</v>
      </c>
      <c r="X712">
        <v>3.019635618902557E-2</v>
      </c>
      <c r="Y712">
        <v>3.7173733648422401E-3</v>
      </c>
    </row>
    <row r="713" spans="1:25" x14ac:dyDescent="0.25">
      <c r="A713" s="1095"/>
      <c r="B713" s="1454">
        <v>463</v>
      </c>
      <c r="C713" s="1099">
        <v>1.0094818867331168</v>
      </c>
      <c r="D713" s="1099">
        <v>0.99995021978094378</v>
      </c>
      <c r="E713" s="1099">
        <v>1.0152393956114343</v>
      </c>
      <c r="F713" s="1099">
        <v>0.99209442573098328</v>
      </c>
      <c r="G713" s="1099">
        <v>1.0175338138321326</v>
      </c>
      <c r="H713" s="1099">
        <v>1.0161772839652086</v>
      </c>
      <c r="I713" s="1099">
        <v>1.0407166120053706</v>
      </c>
      <c r="K713">
        <v>1.7368134950041558</v>
      </c>
      <c r="L713">
        <v>0</v>
      </c>
      <c r="M713">
        <v>1.3414131155139143E-3</v>
      </c>
      <c r="N713">
        <v>0.12921015381182643</v>
      </c>
      <c r="O713">
        <v>0.12647465401740229</v>
      </c>
      <c r="P713">
        <v>1.8539440995127738E-2</v>
      </c>
      <c r="Q713">
        <v>9.04493379503793E-4</v>
      </c>
      <c r="R713">
        <v>1.3380088083203307E-3</v>
      </c>
      <c r="S713">
        <v>0.11251338912610227</v>
      </c>
      <c r="T713">
        <v>1.0224581349363215</v>
      </c>
      <c r="U713">
        <v>0</v>
      </c>
      <c r="V713">
        <v>0.20889059153935546</v>
      </c>
      <c r="W713">
        <v>8.4121501034700161E-2</v>
      </c>
      <c r="X713">
        <v>3.0062921569246594E-2</v>
      </c>
      <c r="Y713">
        <v>3.6416189017628195E-3</v>
      </c>
    </row>
    <row r="714" spans="1:25" x14ac:dyDescent="0.25">
      <c r="A714" s="1095"/>
      <c r="B714" s="1454">
        <v>464</v>
      </c>
      <c r="C714" s="1099">
        <v>1.0309594741458128</v>
      </c>
      <c r="D714" s="1099">
        <v>0.98508570794724537</v>
      </c>
      <c r="E714" s="1099">
        <v>1.0025012945896066</v>
      </c>
      <c r="F714" s="1099">
        <v>0.99136654903687793</v>
      </c>
      <c r="G714" s="1099">
        <v>0.97159987128282188</v>
      </c>
      <c r="H714" s="1099">
        <v>0.99939497632173968</v>
      </c>
      <c r="I714" s="1099">
        <v>0.95816126750327169</v>
      </c>
      <c r="K714">
        <v>1.7125009963318294</v>
      </c>
      <c r="L714">
        <v>0</v>
      </c>
      <c r="M714">
        <v>1.3404342988789326E-3</v>
      </c>
      <c r="N714">
        <v>0.12424055994830384</v>
      </c>
      <c r="O714">
        <v>0.12597346971833281</v>
      </c>
      <c r="P714">
        <v>1.815867456921599E-2</v>
      </c>
      <c r="Q714">
        <v>8.793370514408725E-4</v>
      </c>
      <c r="R714">
        <v>1.3369909711472697E-3</v>
      </c>
      <c r="S714">
        <v>0.10136332143713817</v>
      </c>
      <c r="T714">
        <v>1.0220800482021832</v>
      </c>
      <c r="U714">
        <v>0</v>
      </c>
      <c r="V714">
        <v>0.20529169748124362</v>
      </c>
      <c r="W714">
        <v>8.1496476415404612E-2</v>
      </c>
      <c r="X714">
        <v>2.9382006151788164E-2</v>
      </c>
      <c r="Y714">
        <v>3.6388486845076802E-3</v>
      </c>
    </row>
    <row r="715" spans="1:25" x14ac:dyDescent="0.25">
      <c r="A715" s="1095"/>
      <c r="B715" s="1454">
        <v>465</v>
      </c>
      <c r="C715" s="1099">
        <v>0.98470465300401622</v>
      </c>
      <c r="D715" s="1099">
        <v>0.96360883435269862</v>
      </c>
      <c r="E715" s="1099">
        <v>0.96452889211235882</v>
      </c>
      <c r="F715" s="1099">
        <v>0.97612927930127624</v>
      </c>
      <c r="G715" s="1099">
        <v>0.9836201776037804</v>
      </c>
      <c r="H715" s="1099">
        <v>0.95907834537021419</v>
      </c>
      <c r="I715" s="1099">
        <v>0.97172731945948976</v>
      </c>
      <c r="K715">
        <v>1.7042222498953292</v>
      </c>
      <c r="L715">
        <v>0</v>
      </c>
      <c r="M715">
        <v>1.4679899990174071E-3</v>
      </c>
      <c r="N715">
        <v>0.12128542782560178</v>
      </c>
      <c r="O715">
        <v>0.12800546364024967</v>
      </c>
      <c r="P715">
        <v>1.7565231801615483E-2</v>
      </c>
      <c r="Q715">
        <v>8.9262799416649165E-4</v>
      </c>
      <c r="R715">
        <v>1.4640557465898274E-3</v>
      </c>
      <c r="S715">
        <v>0.10583001824509941</v>
      </c>
      <c r="T715">
        <v>1.0074908161035356</v>
      </c>
      <c r="U715">
        <v>0</v>
      </c>
      <c r="V715">
        <v>0.20947709676532686</v>
      </c>
      <c r="W715">
        <v>8.1398162789771716E-2</v>
      </c>
      <c r="X715">
        <v>2.8296661866019285E-2</v>
      </c>
      <c r="Y715">
        <v>3.984677116370355E-3</v>
      </c>
    </row>
    <row r="716" spans="1:25" x14ac:dyDescent="0.25">
      <c r="A716" s="1095"/>
      <c r="B716" s="1454">
        <v>466</v>
      </c>
      <c r="C716" s="1099">
        <v>1.0130312447916923</v>
      </c>
      <c r="D716" s="1099">
        <v>1.0109430604079404</v>
      </c>
      <c r="E716" s="1099">
        <v>0.97158215093928746</v>
      </c>
      <c r="F716" s="1099">
        <v>0.99113372496224006</v>
      </c>
      <c r="G716" s="1099">
        <v>0.99995054217089974</v>
      </c>
      <c r="H716" s="1099">
        <v>0.98751327322391214</v>
      </c>
      <c r="I716" s="1099">
        <v>1.0417245354816376</v>
      </c>
      <c r="K716">
        <v>1.7146992521183271</v>
      </c>
      <c r="L716">
        <v>0</v>
      </c>
      <c r="M716">
        <v>1.4131650697728772E-3</v>
      </c>
      <c r="N716">
        <v>0.1192840742965551</v>
      </c>
      <c r="O716">
        <v>0.12555587842072369</v>
      </c>
      <c r="P716">
        <v>1.7881944758402386E-2</v>
      </c>
      <c r="Q716">
        <v>8.5753917503437864E-4</v>
      </c>
      <c r="R716">
        <v>1.4094676977136856E-3</v>
      </c>
      <c r="S716">
        <v>0.1093631664018183</v>
      </c>
      <c r="T716">
        <v>1.0227628430709936</v>
      </c>
      <c r="U716">
        <v>0</v>
      </c>
      <c r="V716">
        <v>0.20725039418431648</v>
      </c>
      <c r="W716">
        <v>7.9711539651975513E-2</v>
      </c>
      <c r="X716">
        <v>2.8199463088292319E-2</v>
      </c>
      <c r="Y716">
        <v>3.836106442274972E-3</v>
      </c>
    </row>
    <row r="717" spans="1:25" x14ac:dyDescent="0.25">
      <c r="A717" s="1095"/>
      <c r="B717" s="1454">
        <v>467</v>
      </c>
      <c r="C717" s="1099">
        <v>0.98732219092486151</v>
      </c>
      <c r="D717" s="1099">
        <v>1.0193912245466681</v>
      </c>
      <c r="E717" s="1099">
        <v>0.9912609582546934</v>
      </c>
      <c r="F717" s="1099">
        <v>0.98421729397564128</v>
      </c>
      <c r="G717" s="1099">
        <v>0.97753306169089316</v>
      </c>
      <c r="H717" s="1099">
        <v>0.95415577382679628</v>
      </c>
      <c r="I717" s="1099">
        <v>1.0041812620927897</v>
      </c>
      <c r="K717">
        <v>1.7039863731366607</v>
      </c>
      <c r="L717">
        <v>0</v>
      </c>
      <c r="M717">
        <v>1.3348980270524559E-3</v>
      </c>
      <c r="N717">
        <v>0.11957724831614117</v>
      </c>
      <c r="O717">
        <v>0.12604401837969506</v>
      </c>
      <c r="P717">
        <v>1.799579811106156E-2</v>
      </c>
      <c r="Q717">
        <v>8.9520315713365842E-4</v>
      </c>
      <c r="R717">
        <v>1.3312677869260175E-3</v>
      </c>
      <c r="S717">
        <v>0.10511985063107787</v>
      </c>
      <c r="T717">
        <v>1.015039197111465</v>
      </c>
      <c r="U717">
        <v>0</v>
      </c>
      <c r="V717">
        <v>0.20777305892601586</v>
      </c>
      <c r="W717">
        <v>7.8964614499137484E-2</v>
      </c>
      <c r="X717">
        <v>2.8957742181355425E-2</v>
      </c>
      <c r="Y717">
        <v>3.6232720637046031E-3</v>
      </c>
    </row>
    <row r="718" spans="1:25" x14ac:dyDescent="0.25">
      <c r="A718" s="1095"/>
      <c r="B718" s="1454">
        <v>468</v>
      </c>
      <c r="C718" s="1099">
        <v>1.0078088383725474</v>
      </c>
      <c r="D718" s="1099">
        <v>0.9988469356378239</v>
      </c>
      <c r="E718" s="1099">
        <v>0.99929037470513815</v>
      </c>
      <c r="F718" s="1099">
        <v>0.99733480809607034</v>
      </c>
      <c r="G718" s="1099">
        <v>0.99100587481673952</v>
      </c>
      <c r="H718" s="1099">
        <v>0.99384206090889948</v>
      </c>
      <c r="I718" s="1099">
        <v>1.0270460206195564</v>
      </c>
      <c r="K718">
        <v>1.7322564920843584</v>
      </c>
      <c r="L718">
        <v>0</v>
      </c>
      <c r="M718">
        <v>1.3596761696444309E-3</v>
      </c>
      <c r="N718">
        <v>0.1248043825522261</v>
      </c>
      <c r="O718">
        <v>0.1269438367700117</v>
      </c>
      <c r="P718">
        <v>1.8351156773866513E-2</v>
      </c>
      <c r="Q718">
        <v>8.9158697612909301E-4</v>
      </c>
      <c r="R718">
        <v>1.3561498245358737E-3</v>
      </c>
      <c r="S718">
        <v>0.10969797079418062</v>
      </c>
      <c r="T718">
        <v>1.0283283207694605</v>
      </c>
      <c r="U718">
        <v>0</v>
      </c>
      <c r="V718">
        <v>0.20800690815125786</v>
      </c>
      <c r="W718">
        <v>8.2022591685572688E-2</v>
      </c>
      <c r="X718">
        <v>2.952227118904591E-2</v>
      </c>
      <c r="Y718">
        <v>3.6909927677171383E-3</v>
      </c>
    </row>
    <row r="719" spans="1:25" x14ac:dyDescent="0.25">
      <c r="A719" s="1095"/>
      <c r="B719" s="1454">
        <v>469</v>
      </c>
      <c r="C719" s="1099">
        <v>0.97350692409312645</v>
      </c>
      <c r="D719" s="1099">
        <v>0.96957424468498832</v>
      </c>
      <c r="E719" s="1099">
        <v>0.98674001357915009</v>
      </c>
      <c r="F719" s="1099">
        <v>1.0215325233753356</v>
      </c>
      <c r="G719" s="1099">
        <v>1.0335485823496147</v>
      </c>
      <c r="H719" s="1099">
        <v>1.0302660077190922</v>
      </c>
      <c r="I719" s="1099">
        <v>0.97857262878698392</v>
      </c>
      <c r="K719">
        <v>1.7910436127084941</v>
      </c>
      <c r="L719">
        <v>0</v>
      </c>
      <c r="M719">
        <v>1.5227991172342915E-3</v>
      </c>
      <c r="N719">
        <v>0.13458799830493198</v>
      </c>
      <c r="O719">
        <v>0.13193165615446695</v>
      </c>
      <c r="P719">
        <v>1.8658862104310465E-2</v>
      </c>
      <c r="Q719">
        <v>9.219295151884539E-4</v>
      </c>
      <c r="R719">
        <v>1.5190074966728306E-3</v>
      </c>
      <c r="S719">
        <v>0.11273261694650427</v>
      </c>
      <c r="T719">
        <v>1.0536617979448271</v>
      </c>
      <c r="U719">
        <v>0</v>
      </c>
      <c r="V719">
        <v>0.21516227150862907</v>
      </c>
      <c r="W719">
        <v>8.9118411809736689E-2</v>
      </c>
      <c r="X719">
        <v>3.0137622375202615E-2</v>
      </c>
      <c r="Y719">
        <v>4.1342376652567436E-3</v>
      </c>
    </row>
    <row r="720" spans="1:25" x14ac:dyDescent="0.25">
      <c r="A720" s="1095"/>
      <c r="B720" s="1454">
        <v>470</v>
      </c>
      <c r="C720" s="1099">
        <v>0.96290988685471657</v>
      </c>
      <c r="D720" s="1099">
        <v>1.0025339313584427</v>
      </c>
      <c r="E720" s="1099">
        <v>1.022640662602522</v>
      </c>
      <c r="F720" s="1099">
        <v>0.98540231815029267</v>
      </c>
      <c r="G720" s="1099">
        <v>1.0167986915784808</v>
      </c>
      <c r="H720" s="1099">
        <v>1.0203003175128715</v>
      </c>
      <c r="I720" s="1099">
        <v>1.0058182690550534</v>
      </c>
      <c r="K720">
        <v>1.7483320172628958</v>
      </c>
      <c r="L720">
        <v>0</v>
      </c>
      <c r="M720">
        <v>1.3819565971243623E-3</v>
      </c>
      <c r="N720">
        <v>0.13612097605503454</v>
      </c>
      <c r="O720">
        <v>0.128308781664495</v>
      </c>
      <c r="P720">
        <v>1.8609188648837125E-2</v>
      </c>
      <c r="Q720">
        <v>9.5448533398732665E-4</v>
      </c>
      <c r="R720">
        <v>1.3784457939382789E-3</v>
      </c>
      <c r="S720">
        <v>0.11379196807718023</v>
      </c>
      <c r="T720">
        <v>1.0153485045498443</v>
      </c>
      <c r="U720">
        <v>0</v>
      </c>
      <c r="V720">
        <v>0.21247147387793169</v>
      </c>
      <c r="W720">
        <v>8.8237521309505573E-2</v>
      </c>
      <c r="X720">
        <v>3.0740953502700511E-2</v>
      </c>
      <c r="Y720">
        <v>3.7516750465661484E-3</v>
      </c>
    </row>
    <row r="721" spans="1:25" x14ac:dyDescent="0.25">
      <c r="A721" s="1095"/>
      <c r="B721" s="1454">
        <v>471</v>
      </c>
      <c r="C721" s="1099">
        <v>1.0113329511403992</v>
      </c>
      <c r="D721" s="1099">
        <v>0.97543440354645894</v>
      </c>
      <c r="E721" s="1099">
        <v>1.0006904415868545</v>
      </c>
      <c r="F721" s="1099">
        <v>1.0001999412308988</v>
      </c>
      <c r="G721" s="1099">
        <v>1.0010513815230209</v>
      </c>
      <c r="H721" s="1099">
        <v>0.99202344143226118</v>
      </c>
      <c r="I721" s="1099">
        <v>1.0025804063845352</v>
      </c>
      <c r="K721">
        <v>1.7383377049017095</v>
      </c>
      <c r="L721">
        <v>0</v>
      </c>
      <c r="M721">
        <v>1.3682567804695395E-3</v>
      </c>
      <c r="N721">
        <v>0.12612540976457873</v>
      </c>
      <c r="O721">
        <v>0.12807501992848383</v>
      </c>
      <c r="P721">
        <v>1.8404110274220328E-2</v>
      </c>
      <c r="Q721">
        <v>8.9825262153952199E-4</v>
      </c>
      <c r="R721">
        <v>1.3647195129632365E-3</v>
      </c>
      <c r="S721">
        <v>0.10820048618072983</v>
      </c>
      <c r="T721">
        <v>1.031240863336329</v>
      </c>
      <c r="U721">
        <v>0</v>
      </c>
      <c r="V721">
        <v>0.20906743665804245</v>
      </c>
      <c r="W721">
        <v>8.2821835788761552E-2</v>
      </c>
      <c r="X721">
        <v>2.9793510981912592E-2</v>
      </c>
      <c r="Y721">
        <v>3.7143166346193888E-3</v>
      </c>
    </row>
    <row r="722" spans="1:25" x14ac:dyDescent="0.25">
      <c r="A722" s="1095"/>
      <c r="B722" s="1454">
        <v>472</v>
      </c>
      <c r="C722" s="1099">
        <v>0.97505671024621954</v>
      </c>
      <c r="D722" s="1099">
        <v>0.9781660664247811</v>
      </c>
      <c r="E722" s="1099">
        <v>1.0095456355447792</v>
      </c>
      <c r="F722" s="1099">
        <v>0.99848552250230826</v>
      </c>
      <c r="G722" s="1099">
        <v>0.96876163531785697</v>
      </c>
      <c r="H722" s="1099">
        <v>1.0160244338787925</v>
      </c>
      <c r="I722" s="1099">
        <v>1.000266738103333</v>
      </c>
      <c r="K722">
        <v>1.758892844701242</v>
      </c>
      <c r="L722">
        <v>0</v>
      </c>
      <c r="M722">
        <v>1.4199997589756117E-3</v>
      </c>
      <c r="N722">
        <v>0.13444979723164838</v>
      </c>
      <c r="O722">
        <v>0.12974913133920224</v>
      </c>
      <c r="P722">
        <v>1.8586848059157338E-2</v>
      </c>
      <c r="Q722">
        <v>9.391899263223901E-4</v>
      </c>
      <c r="R722">
        <v>1.416401745560285E-3</v>
      </c>
      <c r="S722">
        <v>0.11329206934558225</v>
      </c>
      <c r="T722">
        <v>1.0292117444660507</v>
      </c>
      <c r="U722">
        <v>0</v>
      </c>
      <c r="V722">
        <v>0.21046561273903924</v>
      </c>
      <c r="W722">
        <v>8.7826567629000651E-2</v>
      </c>
      <c r="X722">
        <v>3.0520503343946265E-2</v>
      </c>
      <c r="Y722">
        <v>3.854978634705158E-3</v>
      </c>
    </row>
    <row r="723" spans="1:25" x14ac:dyDescent="0.25">
      <c r="A723" s="1095"/>
      <c r="B723" s="1454">
        <v>473</v>
      </c>
      <c r="C723" s="1099">
        <v>0.99800863897019765</v>
      </c>
      <c r="D723" s="1099">
        <v>1.0018871759733781</v>
      </c>
      <c r="E723" s="1099">
        <v>0.99851260264641795</v>
      </c>
      <c r="F723" s="1099">
        <v>1.0122300410965472</v>
      </c>
      <c r="G723" s="1099">
        <v>0.95447296560250106</v>
      </c>
      <c r="H723" s="1099">
        <v>0.9894889920739508</v>
      </c>
      <c r="I723" s="1099">
        <v>1.0159619475322257</v>
      </c>
      <c r="K723">
        <v>1.7495067405494455</v>
      </c>
      <c r="L723">
        <v>0</v>
      </c>
      <c r="M723">
        <v>1.3674133180751607E-3</v>
      </c>
      <c r="N723">
        <v>0.12521849310497712</v>
      </c>
      <c r="O723">
        <v>0.12843343712996175</v>
      </c>
      <c r="P723">
        <v>1.8538289332633708E-2</v>
      </c>
      <c r="Q723">
        <v>8.9852302055551088E-4</v>
      </c>
      <c r="R723">
        <v>1.3638509296720772E-3</v>
      </c>
      <c r="S723">
        <v>0.10909627536217893</v>
      </c>
      <c r="T723">
        <v>1.0437098723360279</v>
      </c>
      <c r="U723">
        <v>0</v>
      </c>
      <c r="V723">
        <v>0.20774520250060577</v>
      </c>
      <c r="W723">
        <v>8.2332832773161585E-2</v>
      </c>
      <c r="X723">
        <v>2.9825424740516977E-2</v>
      </c>
      <c r="Y723">
        <v>3.7119526372292582E-3</v>
      </c>
    </row>
    <row r="724" spans="1:25" x14ac:dyDescent="0.25">
      <c r="A724" s="1095"/>
      <c r="B724" s="1454">
        <v>474</v>
      </c>
      <c r="C724" s="1099">
        <v>1.0104921728256988</v>
      </c>
      <c r="D724" s="1099">
        <v>0.96869688833305556</v>
      </c>
      <c r="E724" s="1099">
        <v>0.99515925105147751</v>
      </c>
      <c r="F724" s="1099">
        <v>1.0121872821696583</v>
      </c>
      <c r="G724" s="1099">
        <v>1.0229706503308769</v>
      </c>
      <c r="H724" s="1099">
        <v>0.96279565688525881</v>
      </c>
      <c r="I724" s="1099">
        <v>1.0075020706519227</v>
      </c>
      <c r="K724">
        <v>1.7474761700450596</v>
      </c>
      <c r="L724">
        <v>0</v>
      </c>
      <c r="M724">
        <v>1.3512050271335791E-3</v>
      </c>
      <c r="N724">
        <v>0.1224802738289729</v>
      </c>
      <c r="O724">
        <v>0.1293281511311424</v>
      </c>
      <c r="P724">
        <v>1.8512301117010632E-2</v>
      </c>
      <c r="Q724">
        <v>8.9633515309824464E-4</v>
      </c>
      <c r="R724">
        <v>1.3476140354990102E-3</v>
      </c>
      <c r="S724">
        <v>0.10727042147198003</v>
      </c>
      <c r="T724">
        <v>1.0437670031297919</v>
      </c>
      <c r="U724">
        <v>0</v>
      </c>
      <c r="V724">
        <v>0.21101881889487825</v>
      </c>
      <c r="W724">
        <v>8.0693484501764126E-2</v>
      </c>
      <c r="X724">
        <v>2.9845210644274183E-2</v>
      </c>
      <c r="Y724">
        <v>3.6677611637808945E-3</v>
      </c>
    </row>
    <row r="725" spans="1:25" x14ac:dyDescent="0.25">
      <c r="A725" s="1095"/>
      <c r="B725" s="1454">
        <v>475</v>
      </c>
      <c r="C725" s="1099">
        <v>1.0055557956259362</v>
      </c>
      <c r="D725" s="1099">
        <v>0.98294474886916994</v>
      </c>
      <c r="E725" s="1099">
        <v>0.98965087151001008</v>
      </c>
      <c r="F725" s="1099">
        <v>0.98688201231060457</v>
      </c>
      <c r="G725" s="1099">
        <v>1.0131484011492962</v>
      </c>
      <c r="H725" s="1099">
        <v>1.0017202137298871</v>
      </c>
      <c r="I725" s="1099">
        <v>0.99607544880627363</v>
      </c>
      <c r="K725">
        <v>1.7232662416250508</v>
      </c>
      <c r="L725">
        <v>0</v>
      </c>
      <c r="M725">
        <v>1.4129623407532627E-3</v>
      </c>
      <c r="N725">
        <v>0.12597456068583479</v>
      </c>
      <c r="O725">
        <v>0.12695395182358235</v>
      </c>
      <c r="P725">
        <v>1.8071766695815485E-2</v>
      </c>
      <c r="Q725">
        <v>8.9036966535389504E-4</v>
      </c>
      <c r="R725">
        <v>1.4093335569696115E-3</v>
      </c>
      <c r="S725">
        <v>0.10814702526370441</v>
      </c>
      <c r="T725">
        <v>1.0178350511958174</v>
      </c>
      <c r="U725">
        <v>0</v>
      </c>
      <c r="V725">
        <v>0.20917081685913996</v>
      </c>
      <c r="W725">
        <v>8.3269423909552651E-2</v>
      </c>
      <c r="X725">
        <v>2.9121162954643776E-2</v>
      </c>
      <c r="Y725">
        <v>3.8357413553890872E-3</v>
      </c>
    </row>
    <row r="726" spans="1:25" x14ac:dyDescent="0.25">
      <c r="A726" s="1095"/>
      <c r="B726" s="1454">
        <v>476</v>
      </c>
      <c r="C726" s="1099">
        <v>0.97402638987842116</v>
      </c>
      <c r="D726" s="1099">
        <v>1.0270910132164937</v>
      </c>
      <c r="E726" s="1099">
        <v>0.99774601530270901</v>
      </c>
      <c r="F726" s="1099">
        <v>1.0128709083846739</v>
      </c>
      <c r="G726" s="1099">
        <v>1.0036580492457028</v>
      </c>
      <c r="H726" s="1099">
        <v>1.0060334288939405</v>
      </c>
      <c r="I726" s="1099">
        <v>0.98768648612244114</v>
      </c>
      <c r="K726">
        <v>1.7582219953221934</v>
      </c>
      <c r="L726">
        <v>0</v>
      </c>
      <c r="M726">
        <v>1.4033310714250476E-3</v>
      </c>
      <c r="N726">
        <v>0.12821359202475086</v>
      </c>
      <c r="O726">
        <v>0.12860074479667136</v>
      </c>
      <c r="P726">
        <v>1.8573443912666E-2</v>
      </c>
      <c r="Q726">
        <v>9.1081719030500197E-4</v>
      </c>
      <c r="R726">
        <v>1.3997113163328678E-3</v>
      </c>
      <c r="S726">
        <v>0.10803351337089358</v>
      </c>
      <c r="T726">
        <v>1.0443937950974145</v>
      </c>
      <c r="U726">
        <v>0</v>
      </c>
      <c r="V726">
        <v>0.21148421265536152</v>
      </c>
      <c r="W726">
        <v>8.4340625437260147E-2</v>
      </c>
      <c r="X726">
        <v>2.9865317803615024E-2</v>
      </c>
      <c r="Y726">
        <v>3.8095527883466444E-3</v>
      </c>
    </row>
    <row r="727" spans="1:25" x14ac:dyDescent="0.25">
      <c r="A727" s="1095"/>
      <c r="B727" s="1454">
        <v>477</v>
      </c>
      <c r="C727" s="1099">
        <v>0.99190977367351341</v>
      </c>
      <c r="D727" s="1099">
        <v>1.0309165350019811</v>
      </c>
      <c r="E727" s="1099">
        <v>0.98662285595236221</v>
      </c>
      <c r="F727" s="1099">
        <v>1.0003152842037288</v>
      </c>
      <c r="G727" s="1099">
        <v>0.96270886980623316</v>
      </c>
      <c r="H727" s="1099">
        <v>1.016147676961189</v>
      </c>
      <c r="I727" s="1099">
        <v>0.97277708350472736</v>
      </c>
      <c r="K727">
        <v>1.731000570010651</v>
      </c>
      <c r="L727">
        <v>0</v>
      </c>
      <c r="M727">
        <v>1.4218054478583914E-3</v>
      </c>
      <c r="N727">
        <v>0.12560933278369385</v>
      </c>
      <c r="O727">
        <v>0.12649238394756435</v>
      </c>
      <c r="P727">
        <v>1.8148189570981733E-2</v>
      </c>
      <c r="Q727">
        <v>8.8278407555444699E-4</v>
      </c>
      <c r="R727">
        <v>1.4181734959136554E-3</v>
      </c>
      <c r="S727">
        <v>0.10493423895814898</v>
      </c>
      <c r="T727">
        <v>1.0317807638431724</v>
      </c>
      <c r="U727">
        <v>0</v>
      </c>
      <c r="V727">
        <v>0.20715276907822205</v>
      </c>
      <c r="W727">
        <v>8.3178976832226983E-2</v>
      </c>
      <c r="X727">
        <v>2.8964962117920403E-2</v>
      </c>
      <c r="Y727">
        <v>3.8598007551096862E-3</v>
      </c>
    </row>
    <row r="728" spans="1:25" x14ac:dyDescent="0.25">
      <c r="A728" s="1095"/>
      <c r="B728" s="1454">
        <v>478</v>
      </c>
      <c r="C728" s="1099">
        <v>1.020481576027624</v>
      </c>
      <c r="D728" s="1099">
        <v>0.98675287392802036</v>
      </c>
      <c r="E728" s="1099">
        <v>1.0108015083357931</v>
      </c>
      <c r="F728" s="1099">
        <v>0.99976647385635153</v>
      </c>
      <c r="G728" s="1099">
        <v>0.98589192416535265</v>
      </c>
      <c r="H728" s="1099">
        <v>1.0247646615486088</v>
      </c>
      <c r="I728" s="1099">
        <v>0.98907981909161002</v>
      </c>
      <c r="K728">
        <v>1.7394204764019028</v>
      </c>
      <c r="L728">
        <v>0</v>
      </c>
      <c r="M728">
        <v>1.3633246390998199E-3</v>
      </c>
      <c r="N728">
        <v>0.12957754005515021</v>
      </c>
      <c r="O728">
        <v>0.12708897028420829</v>
      </c>
      <c r="P728">
        <v>1.8495486901709712E-2</v>
      </c>
      <c r="Q728">
        <v>8.9541063854774519E-4</v>
      </c>
      <c r="R728">
        <v>1.3599077095671516E-3</v>
      </c>
      <c r="S728">
        <v>0.10733884611788899</v>
      </c>
      <c r="T728">
        <v>1.0304951693505759</v>
      </c>
      <c r="U728">
        <v>0</v>
      </c>
      <c r="V728">
        <v>0.20724008480969699</v>
      </c>
      <c r="W728">
        <v>8.4581213793135532E-2</v>
      </c>
      <c r="X728">
        <v>3.0009950888537421E-2</v>
      </c>
      <c r="Y728">
        <v>3.7012204919858087E-3</v>
      </c>
    </row>
    <row r="729" spans="1:25" x14ac:dyDescent="0.25">
      <c r="A729" s="1095"/>
      <c r="B729" s="1454">
        <v>479</v>
      </c>
      <c r="C729" s="1099">
        <v>1.0378529630225399</v>
      </c>
      <c r="D729" s="1099">
        <v>1.0340384154246491</v>
      </c>
      <c r="E729" s="1099">
        <v>0.97426807103851998</v>
      </c>
      <c r="F729" s="1099">
        <v>1.012646866024101</v>
      </c>
      <c r="G729" s="1099">
        <v>0.99303469102450392</v>
      </c>
      <c r="H729" s="1099">
        <v>1.0352736789858603</v>
      </c>
      <c r="I729" s="1099">
        <v>0.97433406013914658</v>
      </c>
      <c r="K729">
        <v>1.730040605943757</v>
      </c>
      <c r="L729">
        <v>0</v>
      </c>
      <c r="M729">
        <v>1.4241999710696927E-3</v>
      </c>
      <c r="N729">
        <v>0.12121143352237305</v>
      </c>
      <c r="O729">
        <v>0.1249129957486564</v>
      </c>
      <c r="P729">
        <v>1.8087812819109997E-2</v>
      </c>
      <c r="Q729">
        <v>8.3184811704556296E-4</v>
      </c>
      <c r="R729">
        <v>1.4206432739669818E-3</v>
      </c>
      <c r="S729">
        <v>0.10177408737984439</v>
      </c>
      <c r="T729">
        <v>1.0448794588713834</v>
      </c>
      <c r="U729">
        <v>0</v>
      </c>
      <c r="V729">
        <v>0.20537110165243208</v>
      </c>
      <c r="W729">
        <v>8.0867498423929096E-2</v>
      </c>
      <c r="X729">
        <v>2.8241403429276606E-2</v>
      </c>
      <c r="Y729">
        <v>3.8665226768087226E-3</v>
      </c>
    </row>
    <row r="730" spans="1:25" x14ac:dyDescent="0.25">
      <c r="A730" s="1095"/>
      <c r="B730" s="1454">
        <v>480</v>
      </c>
      <c r="C730" s="1099">
        <v>0.98871481532331373</v>
      </c>
      <c r="D730" s="1099">
        <v>0.99080245961322289</v>
      </c>
      <c r="E730" s="1099">
        <v>1.0058906613717453</v>
      </c>
      <c r="F730" s="1099">
        <v>1.0004162920044588</v>
      </c>
      <c r="G730" s="1099">
        <v>0.99056121893626592</v>
      </c>
      <c r="H730" s="1099">
        <v>1.0258509314983491</v>
      </c>
      <c r="I730" s="1099">
        <v>0.98460216813055146</v>
      </c>
      <c r="K730">
        <v>1.7526063948500403</v>
      </c>
      <c r="L730">
        <v>0</v>
      </c>
      <c r="M730">
        <v>1.415949971586722E-3</v>
      </c>
      <c r="N730">
        <v>0.13259778533540109</v>
      </c>
      <c r="O730">
        <v>0.12856526380706546</v>
      </c>
      <c r="P730">
        <v>1.8512664327764536E-2</v>
      </c>
      <c r="Q730">
        <v>9.1800163638677476E-4</v>
      </c>
      <c r="R730">
        <v>1.4123929347551101E-3</v>
      </c>
      <c r="S730">
        <v>0.10988842535671745</v>
      </c>
      <c r="T730">
        <v>1.0313097867229453</v>
      </c>
      <c r="U730">
        <v>0</v>
      </c>
      <c r="V730">
        <v>0.21002705646415956</v>
      </c>
      <c r="W730">
        <v>8.6803997934189456E-2</v>
      </c>
      <c r="X730">
        <v>3.0142902329041616E-2</v>
      </c>
      <c r="Y730">
        <v>3.8440679731975977E-3</v>
      </c>
    </row>
    <row r="731" spans="1:25" x14ac:dyDescent="0.25">
      <c r="A731" s="1095"/>
      <c r="B731" s="1454">
        <v>481</v>
      </c>
      <c r="C731" s="1099">
        <v>1.0016884779195188</v>
      </c>
      <c r="D731" s="1099">
        <v>0.98865931244027561</v>
      </c>
      <c r="E731" s="1099">
        <v>0.98896971211357743</v>
      </c>
      <c r="F731" s="1099">
        <v>1.0184838100498033</v>
      </c>
      <c r="G731" s="1099">
        <v>1.0148558881233725</v>
      </c>
      <c r="H731" s="1099">
        <v>1.0267758616725668</v>
      </c>
      <c r="I731" s="1099">
        <v>1.0250961684405087</v>
      </c>
      <c r="K731">
        <v>1.7722508966722084</v>
      </c>
      <c r="L731">
        <v>0</v>
      </c>
      <c r="M731">
        <v>1.4545313369455509E-3</v>
      </c>
      <c r="N731">
        <v>0.12942246024253665</v>
      </c>
      <c r="O731">
        <v>0.1292925984808305</v>
      </c>
      <c r="P731">
        <v>1.8599039896039806E-2</v>
      </c>
      <c r="Q731">
        <v>8.9110393791914607E-4</v>
      </c>
      <c r="R731">
        <v>1.4508918499691048E-3</v>
      </c>
      <c r="S731">
        <v>0.11330931145709637</v>
      </c>
      <c r="T731">
        <v>1.0504488669091576</v>
      </c>
      <c r="U731">
        <v>0</v>
      </c>
      <c r="V731">
        <v>0.21105640382367583</v>
      </c>
      <c r="W731">
        <v>8.5583426818694464E-2</v>
      </c>
      <c r="X731">
        <v>2.970247526398621E-2</v>
      </c>
      <c r="Y731">
        <v>3.9488493292461034E-3</v>
      </c>
    </row>
    <row r="732" spans="1:25" x14ac:dyDescent="0.25">
      <c r="A732" s="1095"/>
      <c r="B732" s="1454">
        <v>482</v>
      </c>
      <c r="C732" s="1099">
        <v>0.99541247254421972</v>
      </c>
      <c r="D732" s="1099">
        <v>0.98840573125646225</v>
      </c>
      <c r="E732" s="1099">
        <v>1.0135562649607457</v>
      </c>
      <c r="F732" s="1099">
        <v>1.0148906206713895</v>
      </c>
      <c r="G732" s="1099">
        <v>1.0023064609985168</v>
      </c>
      <c r="H732" s="1099">
        <v>0.97273544230698872</v>
      </c>
      <c r="I732" s="1099">
        <v>1.040039758019363</v>
      </c>
      <c r="K732">
        <v>1.7604259487581622</v>
      </c>
      <c r="L732">
        <v>0</v>
      </c>
      <c r="M732">
        <v>1.3168078613562209E-3</v>
      </c>
      <c r="N732">
        <v>0.12618406493207221</v>
      </c>
      <c r="O732">
        <v>0.12945897929800593</v>
      </c>
      <c r="P732">
        <v>1.8857091926211374E-2</v>
      </c>
      <c r="Q732">
        <v>9.1995375653393212E-4</v>
      </c>
      <c r="R732">
        <v>1.3133272056473268E-3</v>
      </c>
      <c r="S732">
        <v>0.11171044439604551</v>
      </c>
      <c r="T732">
        <v>1.0460020715990144</v>
      </c>
      <c r="U732">
        <v>0</v>
      </c>
      <c r="V732">
        <v>0.21087292292253876</v>
      </c>
      <c r="W732">
        <v>8.2232677598886167E-2</v>
      </c>
      <c r="X732">
        <v>3.06167792689859E-2</v>
      </c>
      <c r="Y732">
        <v>3.5744437155750372E-3</v>
      </c>
    </row>
    <row r="733" spans="1:25" x14ac:dyDescent="0.25">
      <c r="A733" s="1095"/>
      <c r="B733" s="1454">
        <v>483</v>
      </c>
      <c r="C733" s="1099">
        <v>0.9960473226026737</v>
      </c>
      <c r="D733" s="1099">
        <v>1.0018419143594772</v>
      </c>
      <c r="E733" s="1099">
        <v>1.0221698967358921</v>
      </c>
      <c r="F733" s="1099">
        <v>0.98064705098200544</v>
      </c>
      <c r="G733" s="1099">
        <v>1.0028324986876089</v>
      </c>
      <c r="H733" s="1099">
        <v>1.0269722434636017</v>
      </c>
      <c r="I733" s="1099">
        <v>0.97576951085388208</v>
      </c>
      <c r="K733">
        <v>1.7248350494201985</v>
      </c>
      <c r="L733">
        <v>0</v>
      </c>
      <c r="M733">
        <v>1.3498900556187087E-3</v>
      </c>
      <c r="N733">
        <v>0.13277686036264152</v>
      </c>
      <c r="O733">
        <v>0.12622778255674494</v>
      </c>
      <c r="P733">
        <v>1.8393480422078539E-2</v>
      </c>
      <c r="Q733">
        <v>9.2254045154723094E-4</v>
      </c>
      <c r="R733">
        <v>1.3464917873660727E-3</v>
      </c>
      <c r="S733">
        <v>0.10739057830594839</v>
      </c>
      <c r="T733">
        <v>1.0104621425563556</v>
      </c>
      <c r="U733">
        <v>0</v>
      </c>
      <c r="V733">
        <v>0.20866815855548862</v>
      </c>
      <c r="W733">
        <v>8.609343366054048E-2</v>
      </c>
      <c r="X733">
        <v>3.0238764042794238E-2</v>
      </c>
      <c r="Y733">
        <v>3.6647067743120379E-3</v>
      </c>
    </row>
    <row r="734" spans="1:25" x14ac:dyDescent="0.25">
      <c r="A734" s="1095"/>
      <c r="B734" s="1454">
        <v>484</v>
      </c>
      <c r="C734" s="1099">
        <v>1.0233939920171349</v>
      </c>
      <c r="D734" s="1099">
        <v>0.98698375615678124</v>
      </c>
      <c r="E734" s="1099">
        <v>0.98467739801666088</v>
      </c>
      <c r="F734" s="1099">
        <v>0.99159963303845478</v>
      </c>
      <c r="G734" s="1099">
        <v>1.0329370250581627</v>
      </c>
      <c r="H734" s="1099">
        <v>0.98646181379171693</v>
      </c>
      <c r="I734" s="1099">
        <v>1.0145011955873093</v>
      </c>
      <c r="K734">
        <v>1.7179421053250334</v>
      </c>
      <c r="L734">
        <v>0</v>
      </c>
      <c r="M734">
        <v>1.3806332044964942E-3</v>
      </c>
      <c r="N734">
        <v>0.12125027394230395</v>
      </c>
      <c r="O734">
        <v>0.12621036325247617</v>
      </c>
      <c r="P734">
        <v>1.8050998471090502E-2</v>
      </c>
      <c r="Q734">
        <v>8.6889332908581982E-4</v>
      </c>
      <c r="R734">
        <v>1.3770366764932858E-3</v>
      </c>
      <c r="S734">
        <v>0.10701234195806103</v>
      </c>
      <c r="T734">
        <v>1.0228491291874444</v>
      </c>
      <c r="U734">
        <v>0</v>
      </c>
      <c r="V734">
        <v>0.2087732561574725</v>
      </c>
      <c r="W734">
        <v>8.0386345740487891E-2</v>
      </c>
      <c r="X734">
        <v>2.8796259921219095E-2</v>
      </c>
      <c r="Y734">
        <v>3.7478398933963168E-3</v>
      </c>
    </row>
    <row r="735" spans="1:25" x14ac:dyDescent="0.25">
      <c r="A735" s="1095"/>
      <c r="B735" s="1454">
        <v>485</v>
      </c>
      <c r="C735" s="1099">
        <v>1.0182038983088966</v>
      </c>
      <c r="D735" s="1099">
        <v>0.99710550155614719</v>
      </c>
      <c r="E735" s="1099">
        <v>0.97729874954816198</v>
      </c>
      <c r="F735" s="1099">
        <v>1.0179525571527359</v>
      </c>
      <c r="G735" s="1099">
        <v>0.9975482613472868</v>
      </c>
      <c r="H735" s="1099">
        <v>1.0201277993169529</v>
      </c>
      <c r="I735" s="1099">
        <v>0.97631264421930897</v>
      </c>
      <c r="K735">
        <v>1.7516444012267463</v>
      </c>
      <c r="L735">
        <v>0</v>
      </c>
      <c r="M735">
        <v>1.4509944251779531E-3</v>
      </c>
      <c r="N735">
        <v>0.12462708060957693</v>
      </c>
      <c r="O735">
        <v>0.12796290027160268</v>
      </c>
      <c r="P735">
        <v>1.8290531454362425E-2</v>
      </c>
      <c r="Q735">
        <v>8.6306949199969614E-4</v>
      </c>
      <c r="R735">
        <v>1.447338928581864E-3</v>
      </c>
      <c r="S735">
        <v>0.10523159113729019</v>
      </c>
      <c r="T735">
        <v>1.0502600891661256</v>
      </c>
      <c r="U735">
        <v>0</v>
      </c>
      <c r="V735">
        <v>0.20852759797897791</v>
      </c>
      <c r="W735">
        <v>8.2993756923442685E-2</v>
      </c>
      <c r="X735">
        <v>2.8952260241513716E-2</v>
      </c>
      <c r="Y735">
        <v>3.9391794484502536E-3</v>
      </c>
    </row>
    <row r="736" spans="1:25" x14ac:dyDescent="0.25">
      <c r="A736" s="1095"/>
      <c r="B736" s="1454">
        <v>486</v>
      </c>
      <c r="C736" s="1099">
        <v>0.97674843482079687</v>
      </c>
      <c r="D736" s="1099">
        <v>1.0323587250412791</v>
      </c>
      <c r="E736" s="1099">
        <v>1.0082463951421397</v>
      </c>
      <c r="F736" s="1099">
        <v>0.99824634525636291</v>
      </c>
      <c r="G736" s="1099">
        <v>0.99439149639589941</v>
      </c>
      <c r="H736" s="1099">
        <v>0.95785806889920422</v>
      </c>
      <c r="I736" s="1099">
        <v>1.0177465745461505</v>
      </c>
      <c r="K736">
        <v>1.7285042840706923</v>
      </c>
      <c r="L736">
        <v>0</v>
      </c>
      <c r="M736">
        <v>1.2984488703733723E-3</v>
      </c>
      <c r="N736">
        <v>0.1224374960098453</v>
      </c>
      <c r="O736">
        <v>0.12715240341104134</v>
      </c>
      <c r="P736">
        <v>1.847443876263706E-2</v>
      </c>
      <c r="Q736">
        <v>9.1632830904710388E-4</v>
      </c>
      <c r="R736">
        <v>1.2949242304673191E-3</v>
      </c>
      <c r="S736">
        <v>0.10717167412185914</v>
      </c>
      <c r="T736">
        <v>1.0290034188554349</v>
      </c>
      <c r="U736">
        <v>0</v>
      </c>
      <c r="V736">
        <v>0.20990851347064921</v>
      </c>
      <c r="W736">
        <v>8.0041130501592533E-2</v>
      </c>
      <c r="X736">
        <v>2.9878048384817325E-2</v>
      </c>
      <c r="Y736">
        <v>3.5243568836741939E-3</v>
      </c>
    </row>
    <row r="737" spans="1:25" x14ac:dyDescent="0.25">
      <c r="A737" s="1095"/>
      <c r="B737" s="1454">
        <v>487</v>
      </c>
      <c r="C737" s="1099">
        <v>1.0018686809603647</v>
      </c>
      <c r="D737" s="1099">
        <v>0.96475537893496732</v>
      </c>
      <c r="E737" s="1099">
        <v>0.99975033869836105</v>
      </c>
      <c r="F737" s="1099">
        <v>0.98655850193014893</v>
      </c>
      <c r="G737" s="1099">
        <v>1.0340868621537669</v>
      </c>
      <c r="H737" s="1099">
        <v>0.99403955358655305</v>
      </c>
      <c r="I737" s="1099">
        <v>1.0391605112050093</v>
      </c>
      <c r="K737">
        <v>1.7351427879033272</v>
      </c>
      <c r="L737">
        <v>0</v>
      </c>
      <c r="M737">
        <v>1.3928569003843938E-3</v>
      </c>
      <c r="N737">
        <v>0.12802957846195728</v>
      </c>
      <c r="O737">
        <v>0.12801409822833526</v>
      </c>
      <c r="P737">
        <v>1.8305941352008609E-2</v>
      </c>
      <c r="Q737">
        <v>9.0985238151623056E-4</v>
      </c>
      <c r="R737">
        <v>1.389263459242452E-3</v>
      </c>
      <c r="S737">
        <v>0.11397794290297131</v>
      </c>
      <c r="T737">
        <v>1.0172036304758048</v>
      </c>
      <c r="U737">
        <v>0</v>
      </c>
      <c r="V737">
        <v>0.21106970005295811</v>
      </c>
      <c r="W737">
        <v>8.411921204572223E-2</v>
      </c>
      <c r="X737">
        <v>2.9735308277713989E-2</v>
      </c>
      <c r="Y737">
        <v>3.781117165481697E-3</v>
      </c>
    </row>
    <row r="738" spans="1:25" x14ac:dyDescent="0.25">
      <c r="A738" s="1095"/>
      <c r="B738" s="1454">
        <v>488</v>
      </c>
      <c r="C738" s="1099">
        <v>0.97361290308026038</v>
      </c>
      <c r="D738" s="1099">
        <v>0.98393632294766975</v>
      </c>
      <c r="E738" s="1099">
        <v>1.0127603363990947</v>
      </c>
      <c r="F738" s="1099">
        <v>0.98712799289664976</v>
      </c>
      <c r="G738" s="1099">
        <v>1.034975927385166</v>
      </c>
      <c r="H738" s="1099">
        <v>1.0028464498348222</v>
      </c>
      <c r="I738" s="1099">
        <v>0.99731499886401753</v>
      </c>
      <c r="K738">
        <v>1.743590481120511</v>
      </c>
      <c r="L738">
        <v>0</v>
      </c>
      <c r="M738">
        <v>1.3879108754020584E-3</v>
      </c>
      <c r="N738">
        <v>0.13268779914121417</v>
      </c>
      <c r="O738">
        <v>0.12868715566296715</v>
      </c>
      <c r="P738">
        <v>1.848170929014124E-2</v>
      </c>
      <c r="Q738">
        <v>9.4148665532861402E-4</v>
      </c>
      <c r="R738">
        <v>1.3843399267864864E-3</v>
      </c>
      <c r="S738">
        <v>0.11168820314826297</v>
      </c>
      <c r="T738">
        <v>1.0174114299479706</v>
      </c>
      <c r="U738">
        <v>0</v>
      </c>
      <c r="V738">
        <v>0.21302453843629945</v>
      </c>
      <c r="W738">
        <v>8.6511578020579405E-2</v>
      </c>
      <c r="X738">
        <v>3.0392434833182155E-2</v>
      </c>
      <c r="Y738">
        <v>3.7677169331785968E-3</v>
      </c>
    </row>
    <row r="739" spans="1:25" x14ac:dyDescent="0.25">
      <c r="A739" s="1095"/>
      <c r="B739" s="1454">
        <v>489</v>
      </c>
      <c r="C739" s="1099">
        <v>0.98324405526198255</v>
      </c>
      <c r="D739" s="1099">
        <v>0.98248032862898116</v>
      </c>
      <c r="E739" s="1099">
        <v>0.99135119983055797</v>
      </c>
      <c r="F739" s="1099">
        <v>1.0000308655958263</v>
      </c>
      <c r="G739" s="1099">
        <v>1.0187582265401294</v>
      </c>
      <c r="H739" s="1099">
        <v>0.98687206121838389</v>
      </c>
      <c r="I739" s="1099">
        <v>0.97186464426561947</v>
      </c>
      <c r="K739">
        <v>1.7431025682187475</v>
      </c>
      <c r="L739">
        <v>0</v>
      </c>
      <c r="M739">
        <v>1.4179489751413154E-3</v>
      </c>
      <c r="N739">
        <v>0.12706556167007171</v>
      </c>
      <c r="O739">
        <v>0.1291569971817389</v>
      </c>
      <c r="P739">
        <v>1.8299731356356274E-2</v>
      </c>
      <c r="Q739">
        <v>9.1236119973909418E-4</v>
      </c>
      <c r="R739">
        <v>1.4142501947386227E-3</v>
      </c>
      <c r="S739">
        <v>0.10686120511679996</v>
      </c>
      <c r="T739">
        <v>1.0313452829544025</v>
      </c>
      <c r="U739">
        <v>0</v>
      </c>
      <c r="V739">
        <v>0.21206127005629505</v>
      </c>
      <c r="W739">
        <v>8.3905102237500903E-2</v>
      </c>
      <c r="X739">
        <v>2.9649632403615941E-2</v>
      </c>
      <c r="Y739">
        <v>3.849122822627133E-3</v>
      </c>
    </row>
    <row r="740" spans="1:25" x14ac:dyDescent="0.25">
      <c r="A740" s="1095"/>
      <c r="B740" s="1454">
        <v>490</v>
      </c>
      <c r="C740" s="1099">
        <v>1.0169953296710574</v>
      </c>
      <c r="D740" s="1099">
        <v>1.0030694452898608</v>
      </c>
      <c r="E740" s="1099">
        <v>0.98507863738756452</v>
      </c>
      <c r="F740" s="1099">
        <v>1.0358833928041904</v>
      </c>
      <c r="G740" s="1099">
        <v>1.008215845448666</v>
      </c>
      <c r="H740" s="1099">
        <v>0.97815788578066143</v>
      </c>
      <c r="I740" s="1099">
        <v>1.0126938609204281</v>
      </c>
      <c r="K740">
        <v>1.7663512076948447</v>
      </c>
      <c r="L740">
        <v>0</v>
      </c>
      <c r="M740">
        <v>1.3677433648416409E-3</v>
      </c>
      <c r="N740">
        <v>0.12026148563946434</v>
      </c>
      <c r="O740">
        <v>0.12911580301182407</v>
      </c>
      <c r="P740">
        <v>1.8674891963599526E-2</v>
      </c>
      <c r="Q740">
        <v>8.6908869932143644E-4</v>
      </c>
      <c r="R740">
        <v>1.3641505209450425E-3</v>
      </c>
      <c r="S740">
        <v>0.10606307029609471</v>
      </c>
      <c r="T740">
        <v>1.0685159143461382</v>
      </c>
      <c r="U740">
        <v>0</v>
      </c>
      <c r="V740">
        <v>0.20990870117270535</v>
      </c>
      <c r="W740">
        <v>7.9711560019074673E-2</v>
      </c>
      <c r="X740">
        <v>2.9521517364603071E-2</v>
      </c>
      <c r="Y740">
        <v>3.712768025914033E-3</v>
      </c>
    </row>
    <row r="741" spans="1:25" x14ac:dyDescent="0.25">
      <c r="A741" s="1095"/>
      <c r="B741" s="1454">
        <v>491</v>
      </c>
      <c r="C741" s="1099">
        <v>0.990586870631462</v>
      </c>
      <c r="D741" s="1099">
        <v>0.97488059564463669</v>
      </c>
      <c r="E741" s="1099">
        <v>0.98538030498190909</v>
      </c>
      <c r="F741" s="1099">
        <v>1.0012043171397513</v>
      </c>
      <c r="G741" s="1099">
        <v>0.97167546481009515</v>
      </c>
      <c r="H741" s="1099">
        <v>1.0360541821552709</v>
      </c>
      <c r="I741" s="1099">
        <v>1.0384907417891616</v>
      </c>
      <c r="K741">
        <v>1.7618535925624079</v>
      </c>
      <c r="L741">
        <v>0</v>
      </c>
      <c r="M741">
        <v>1.5039076874981982E-3</v>
      </c>
      <c r="N741">
        <v>0.13237428472226223</v>
      </c>
      <c r="O741">
        <v>0.12919068648207205</v>
      </c>
      <c r="P741">
        <v>1.8345441910939356E-2</v>
      </c>
      <c r="Q741">
        <v>9.0277439691506284E-4</v>
      </c>
      <c r="R741">
        <v>1.5001790905650751E-3</v>
      </c>
      <c r="S741">
        <v>0.11758180679265097</v>
      </c>
      <c r="T741">
        <v>1.0327352628278001</v>
      </c>
      <c r="U741">
        <v>0</v>
      </c>
      <c r="V741">
        <v>0.20942619322888859</v>
      </c>
      <c r="W741">
        <v>8.772423490999641E-2</v>
      </c>
      <c r="X741">
        <v>2.9493642937201109E-2</v>
      </c>
      <c r="Y741">
        <v>4.0829929506138382E-3</v>
      </c>
    </row>
    <row r="742" spans="1:25" x14ac:dyDescent="0.25">
      <c r="A742" s="1095"/>
      <c r="B742" s="1454">
        <v>492</v>
      </c>
      <c r="C742" s="1099">
        <v>0.96490935091173413</v>
      </c>
      <c r="D742" s="1099">
        <v>0.98464800917992101</v>
      </c>
      <c r="E742" s="1099">
        <v>0.99793365376074639</v>
      </c>
      <c r="F742" s="1099">
        <v>0.99443350473385084</v>
      </c>
      <c r="G742" s="1099">
        <v>1.0452702828094405</v>
      </c>
      <c r="H742" s="1099">
        <v>1.0184701757421051</v>
      </c>
      <c r="I742" s="1099">
        <v>1.0392619297157886</v>
      </c>
      <c r="K742">
        <v>1.7638149075638063</v>
      </c>
      <c r="L742">
        <v>0</v>
      </c>
      <c r="M742">
        <v>1.4659270717755309E-3</v>
      </c>
      <c r="N742">
        <v>0.13401465175991881</v>
      </c>
      <c r="O742">
        <v>0.12963436169777715</v>
      </c>
      <c r="P742">
        <v>1.8502907631398245E-2</v>
      </c>
      <c r="Q742">
        <v>9.3525746408566605E-4</v>
      </c>
      <c r="R742">
        <v>1.4622123560366512E-3</v>
      </c>
      <c r="S742">
        <v>0.11852930891765263</v>
      </c>
      <c r="T742">
        <v>1.0253770179112156</v>
      </c>
      <c r="U742">
        <v>0</v>
      </c>
      <c r="V742">
        <v>0.21462640224908169</v>
      </c>
      <c r="W742">
        <v>8.814679291978697E-2</v>
      </c>
      <c r="X742">
        <v>3.0072261713667468E-2</v>
      </c>
      <c r="Y742">
        <v>3.9796600149581409E-3</v>
      </c>
    </row>
    <row r="743" spans="1:25" x14ac:dyDescent="0.25">
      <c r="A743" s="1095"/>
      <c r="B743" s="1454">
        <v>493</v>
      </c>
      <c r="C743" s="1099">
        <v>1.0091049294681917</v>
      </c>
      <c r="D743" s="1099">
        <v>1.0006711952071146</v>
      </c>
      <c r="E743" s="1099">
        <v>1.0018016761364334</v>
      </c>
      <c r="F743" s="1099">
        <v>0.9780327018748981</v>
      </c>
      <c r="G743" s="1099">
        <v>0.9628618950434078</v>
      </c>
      <c r="H743" s="1099">
        <v>0.98666674529512788</v>
      </c>
      <c r="I743" s="1099">
        <v>1.0060247505992439</v>
      </c>
      <c r="K743">
        <v>1.7024038388427658</v>
      </c>
      <c r="L743">
        <v>0</v>
      </c>
      <c r="M743">
        <v>1.3375465218454249E-3</v>
      </c>
      <c r="N743">
        <v>0.12370514585058699</v>
      </c>
      <c r="O743">
        <v>0.12533523478158862</v>
      </c>
      <c r="P743">
        <v>1.8035735662521223E-2</v>
      </c>
      <c r="Q743">
        <v>8.9211126737039602E-4</v>
      </c>
      <c r="R743">
        <v>1.3340455618942896E-3</v>
      </c>
      <c r="S743">
        <v>0.10658877672718393</v>
      </c>
      <c r="T743">
        <v>1.0083534023427345</v>
      </c>
      <c r="U743">
        <v>0</v>
      </c>
      <c r="V743">
        <v>0.20548033668483801</v>
      </c>
      <c r="W743">
        <v>8.1178958892849123E-2</v>
      </c>
      <c r="X743">
        <v>2.9206805341569077E-2</v>
      </c>
      <c r="Y743">
        <v>3.630832251474969E-3</v>
      </c>
    </row>
    <row r="744" spans="1:25" x14ac:dyDescent="0.25">
      <c r="A744" s="1095"/>
      <c r="B744" s="1454">
        <v>494</v>
      </c>
      <c r="C744" s="1099">
        <v>0.96628375580132631</v>
      </c>
      <c r="D744" s="1099">
        <v>0.98996646233350094</v>
      </c>
      <c r="E744" s="1099">
        <v>0.98142674409524233</v>
      </c>
      <c r="F744" s="1099">
        <v>1.0269478146201103</v>
      </c>
      <c r="G744" s="1099">
        <v>0.99827772728310837</v>
      </c>
      <c r="H744" s="1099">
        <v>1.0037577771954975</v>
      </c>
      <c r="I744" s="1099">
        <v>1.013566798988589</v>
      </c>
      <c r="K744">
        <v>1.7886117664085031</v>
      </c>
      <c r="L744">
        <v>0</v>
      </c>
      <c r="M744">
        <v>1.4926255037898239E-3</v>
      </c>
      <c r="N744">
        <v>0.12980808112227205</v>
      </c>
      <c r="O744">
        <v>0.13174277740524692</v>
      </c>
      <c r="P744">
        <v>1.866129287911502E-2</v>
      </c>
      <c r="Q744">
        <v>9.160168229701049E-4</v>
      </c>
      <c r="R744">
        <v>1.4887953339073662E-3</v>
      </c>
      <c r="S744">
        <v>0.11416203333753343</v>
      </c>
      <c r="T744">
        <v>1.0594122052039876</v>
      </c>
      <c r="U744">
        <v>0</v>
      </c>
      <c r="V744">
        <v>0.21372997507242647</v>
      </c>
      <c r="W744">
        <v>8.6228666837835644E-2</v>
      </c>
      <c r="X744">
        <v>2.990253777935083E-2</v>
      </c>
      <c r="Y744">
        <v>4.0520101176459286E-3</v>
      </c>
    </row>
    <row r="745" spans="1:25" x14ac:dyDescent="0.25">
      <c r="A745" s="1095"/>
      <c r="B745" s="1454">
        <v>495</v>
      </c>
      <c r="C745" s="1099">
        <v>1.0395929337851586</v>
      </c>
      <c r="D745" s="1099">
        <v>0.97263690755004706</v>
      </c>
      <c r="E745" s="1099">
        <v>1.0218903405886901</v>
      </c>
      <c r="F745" s="1099">
        <v>1.0130479077170016</v>
      </c>
      <c r="G745" s="1099">
        <v>1.0112995339787962</v>
      </c>
      <c r="H745" s="1099">
        <v>0.98763721456733622</v>
      </c>
      <c r="I745" s="1099">
        <v>1.0318176446824063</v>
      </c>
      <c r="K745">
        <v>1.7485466933334746</v>
      </c>
      <c r="L745">
        <v>0</v>
      </c>
      <c r="M745">
        <v>1.2745619050430303E-3</v>
      </c>
      <c r="N745">
        <v>0.12525315328838893</v>
      </c>
      <c r="O745">
        <v>0.12784013496148289</v>
      </c>
      <c r="P745">
        <v>1.8859753259111427E-2</v>
      </c>
      <c r="Q745">
        <v>8.9416370781204271E-4</v>
      </c>
      <c r="R745">
        <v>1.2712653040696813E-3</v>
      </c>
      <c r="S745">
        <v>0.10848741675532607</v>
      </c>
      <c r="T745">
        <v>1.0438563321078631</v>
      </c>
      <c r="U745">
        <v>0</v>
      </c>
      <c r="V745">
        <v>0.20808663801207097</v>
      </c>
      <c r="W745">
        <v>8.122827304646163E-2</v>
      </c>
      <c r="X745">
        <v>3.0584159710747915E-2</v>
      </c>
      <c r="Y745">
        <v>3.4599650851828132E-3</v>
      </c>
    </row>
    <row r="746" spans="1:25" x14ac:dyDescent="0.25">
      <c r="A746" s="1095"/>
      <c r="B746" s="1454">
        <v>496</v>
      </c>
      <c r="C746" s="1099">
        <v>0.96735328066410831</v>
      </c>
      <c r="D746" s="1099">
        <v>0.99300846632841888</v>
      </c>
      <c r="E746" s="1099">
        <v>1.0189369695268766</v>
      </c>
      <c r="F746" s="1099">
        <v>0.9832176826794099</v>
      </c>
      <c r="G746" s="1099">
        <v>0.99162784714256902</v>
      </c>
      <c r="H746" s="1099">
        <v>1.009614303280465</v>
      </c>
      <c r="I746" s="1099">
        <v>0.97254498649112098</v>
      </c>
      <c r="K746">
        <v>1.7373406938001903</v>
      </c>
      <c r="L746">
        <v>0</v>
      </c>
      <c r="M746">
        <v>1.3796821450108639E-3</v>
      </c>
      <c r="N746">
        <v>0.13438412861638696</v>
      </c>
      <c r="O746">
        <v>0.1283255734449035</v>
      </c>
      <c r="P746">
        <v>1.8448563850070879E-2</v>
      </c>
      <c r="Q746">
        <v>9.5012089884324814E-4</v>
      </c>
      <c r="R746">
        <v>1.3761469562910856E-3</v>
      </c>
      <c r="S746">
        <v>0.10942376391497964</v>
      </c>
      <c r="T746">
        <v>1.0132034843992874</v>
      </c>
      <c r="U746">
        <v>0</v>
      </c>
      <c r="V746">
        <v>0.21101878353626341</v>
      </c>
      <c r="W746">
        <v>8.7300492915830974E-2</v>
      </c>
      <c r="X746">
        <v>3.0543899044039417E-2</v>
      </c>
      <c r="Y746">
        <v>3.7454183683021144E-3</v>
      </c>
    </row>
    <row r="747" spans="1:25" x14ac:dyDescent="0.25">
      <c r="A747" s="1095"/>
      <c r="B747" s="1454">
        <v>497</v>
      </c>
      <c r="C747" s="1099">
        <v>0.99582991203715021</v>
      </c>
      <c r="D747" s="1099">
        <v>0.98697461278957788</v>
      </c>
      <c r="E747" s="1099">
        <v>1.0132045977302351</v>
      </c>
      <c r="F747" s="1099">
        <v>1.0219639554327848</v>
      </c>
      <c r="G747" s="1099">
        <v>0.96425783274231758</v>
      </c>
      <c r="H747" s="1099">
        <v>0.96967188816541527</v>
      </c>
      <c r="I747" s="1099">
        <v>1.0029006115231396</v>
      </c>
      <c r="K747">
        <v>1.762363578806432</v>
      </c>
      <c r="L747">
        <v>0</v>
      </c>
      <c r="M747">
        <v>1.3150393340114086E-3</v>
      </c>
      <c r="N747">
        <v>0.12588016461717755</v>
      </c>
      <c r="O747">
        <v>0.130044700816423</v>
      </c>
      <c r="P747">
        <v>1.8875969137115301E-2</v>
      </c>
      <c r="Q747">
        <v>9.1976820363000224E-4</v>
      </c>
      <c r="R747">
        <v>1.3115555747013736E-3</v>
      </c>
      <c r="S747">
        <v>0.10759906691065776</v>
      </c>
      <c r="T747">
        <v>1.0533027800693722</v>
      </c>
      <c r="U747">
        <v>0</v>
      </c>
      <c r="V747">
        <v>0.20941203829098698</v>
      </c>
      <c r="W747">
        <v>8.2051597345830909E-2</v>
      </c>
      <c r="X747">
        <v>3.0711355254391361E-2</v>
      </c>
      <c r="Y747">
        <v>3.5696219201581357E-3</v>
      </c>
    </row>
    <row r="748" spans="1:25" x14ac:dyDescent="0.25">
      <c r="A748" s="1095"/>
      <c r="B748" s="1454">
        <v>498</v>
      </c>
      <c r="C748" s="1099">
        <v>1.0098877117607397</v>
      </c>
      <c r="D748" s="1099">
        <v>0.9726320944376956</v>
      </c>
      <c r="E748" s="1099">
        <v>0.97061291360660495</v>
      </c>
      <c r="F748" s="1099">
        <v>0.96744936173493734</v>
      </c>
      <c r="G748" s="1099">
        <v>1.0272747732885983</v>
      </c>
      <c r="H748" s="1099">
        <v>1.0032159181197056</v>
      </c>
      <c r="I748" s="1099">
        <v>1.0306609167866165</v>
      </c>
      <c r="K748">
        <v>1.7022239745630994</v>
      </c>
      <c r="L748">
        <v>0</v>
      </c>
      <c r="M748">
        <v>1.4725988672212422E-3</v>
      </c>
      <c r="N748">
        <v>0.12394324429239742</v>
      </c>
      <c r="O748">
        <v>0.12564002119023643</v>
      </c>
      <c r="P748">
        <v>1.7599602714687298E-2</v>
      </c>
      <c r="Q748">
        <v>8.7271358359180097E-4</v>
      </c>
      <c r="R748">
        <v>1.4688246811712159E-3</v>
      </c>
      <c r="S748">
        <v>0.11212082774944573</v>
      </c>
      <c r="T748">
        <v>0.99835134746154919</v>
      </c>
      <c r="U748">
        <v>0</v>
      </c>
      <c r="V748">
        <v>0.20872994079894197</v>
      </c>
      <c r="W748">
        <v>8.2873859465500188E-2</v>
      </c>
      <c r="X748">
        <v>2.8098534908574901E-2</v>
      </c>
      <c r="Y748">
        <v>3.9976565842220315E-3</v>
      </c>
    </row>
    <row r="749" spans="1:25" x14ac:dyDescent="0.25">
      <c r="A749" s="1095"/>
      <c r="B749" s="1454">
        <v>499</v>
      </c>
      <c r="C749" s="1099">
        <v>0.9940613698302333</v>
      </c>
      <c r="D749" s="1099">
        <v>0.97629061288629893</v>
      </c>
      <c r="E749" s="1099">
        <v>1.0398022100108257</v>
      </c>
      <c r="F749" s="1099">
        <v>1.0339028889681867</v>
      </c>
      <c r="G749" s="1099">
        <v>1.0300213048702795</v>
      </c>
      <c r="H749" s="1099">
        <v>1.0210693543584717</v>
      </c>
      <c r="I749" s="1099">
        <v>0.96994103932466769</v>
      </c>
      <c r="K749">
        <v>1.8002699871269279</v>
      </c>
      <c r="L749">
        <v>0</v>
      </c>
      <c r="M749">
        <v>1.3220417182944672E-3</v>
      </c>
      <c r="N749">
        <v>0.13713737818309735</v>
      </c>
      <c r="O749">
        <v>0.13166095049818233</v>
      </c>
      <c r="P749">
        <v>1.9482664566745651E-2</v>
      </c>
      <c r="Q749">
        <v>9.5093380089151993E-4</v>
      </c>
      <c r="R749">
        <v>1.3187254215664354E-3</v>
      </c>
      <c r="S749">
        <v>0.10862071804887949</v>
      </c>
      <c r="T749">
        <v>1.0648119464301555</v>
      </c>
      <c r="U749">
        <v>0</v>
      </c>
      <c r="V749">
        <v>0.21377813085853731</v>
      </c>
      <c r="W749">
        <v>8.801603679433613E-2</v>
      </c>
      <c r="X749">
        <v>3.2225408363045542E-2</v>
      </c>
      <c r="Y749">
        <v>3.5891358797854518E-3</v>
      </c>
    </row>
    <row r="750" spans="1:25" x14ac:dyDescent="0.25">
      <c r="A750" s="1095"/>
      <c r="B750" s="1454">
        <v>500</v>
      </c>
      <c r="C750" s="1099">
        <v>0.97107835063155212</v>
      </c>
      <c r="D750" s="1099">
        <v>0.98330703457139579</v>
      </c>
      <c r="E750" s="1099">
        <v>1.0150141621737125</v>
      </c>
      <c r="F750" s="1099">
        <v>1.0299324873797411</v>
      </c>
      <c r="G750" s="1099">
        <v>1.0187229537857636</v>
      </c>
      <c r="H750" s="1099">
        <v>1.0219740625635405</v>
      </c>
      <c r="I750" s="1099">
        <v>1.015265799091204</v>
      </c>
      <c r="K750">
        <v>1.8046647737593644</v>
      </c>
      <c r="L750">
        <v>0</v>
      </c>
      <c r="M750">
        <v>1.4170272000668842E-3</v>
      </c>
      <c r="N750">
        <v>0.13640391634584603</v>
      </c>
      <c r="O750">
        <v>0.13216304211638344</v>
      </c>
      <c r="P750">
        <v>1.9199387660810113E-2</v>
      </c>
      <c r="Q750">
        <v>9.4637822534028853E-4</v>
      </c>
      <c r="R750">
        <v>1.4134627538151129E-3</v>
      </c>
      <c r="S750">
        <v>0.11571988612072055</v>
      </c>
      <c r="T750">
        <v>1.0614610473303971</v>
      </c>
      <c r="U750">
        <v>0</v>
      </c>
      <c r="V750">
        <v>0.21475045112144209</v>
      </c>
      <c r="W750">
        <v>8.8816705150916692E-2</v>
      </c>
      <c r="X750">
        <v>3.1360544465747382E-2</v>
      </c>
      <c r="Y750">
        <v>3.8469796680131673E-3</v>
      </c>
    </row>
    <row r="751" spans="1:25" x14ac:dyDescent="0.25">
      <c r="A751" s="1095"/>
      <c r="B751" s="1454">
        <v>501</v>
      </c>
      <c r="C751" s="1099">
        <v>1.0257403441677049</v>
      </c>
      <c r="D751" s="1099">
        <v>1.0220321898851101</v>
      </c>
      <c r="E751" s="1099">
        <v>1.0087618533688858</v>
      </c>
      <c r="F751" s="1099">
        <v>0.99834888963694668</v>
      </c>
      <c r="G751" s="1099">
        <v>0.96436549636980196</v>
      </c>
      <c r="H751" s="1099">
        <v>1.0307648467960611</v>
      </c>
      <c r="I751" s="1099">
        <v>0.96149096470489182</v>
      </c>
      <c r="K751">
        <v>1.7228844698639423</v>
      </c>
      <c r="L751">
        <v>0</v>
      </c>
      <c r="M751">
        <v>1.3423191185296772E-3</v>
      </c>
      <c r="N751">
        <v>0.12679767583163148</v>
      </c>
      <c r="O751">
        <v>0.12511723380256526</v>
      </c>
      <c r="P751">
        <v>1.8339288730026784E-2</v>
      </c>
      <c r="Q751">
        <v>8.7654429089689353E-4</v>
      </c>
      <c r="R751">
        <v>1.3389529062600421E-3</v>
      </c>
      <c r="S751">
        <v>0.10198317793372925</v>
      </c>
      <c r="T751">
        <v>1.0290939551221192</v>
      </c>
      <c r="U751">
        <v>0</v>
      </c>
      <c r="V751">
        <v>0.20465388162373999</v>
      </c>
      <c r="W751">
        <v>8.2866292178367107E-2</v>
      </c>
      <c r="X751">
        <v>2.9515598138000521E-2</v>
      </c>
      <c r="Y751">
        <v>3.6441884251329102E-3</v>
      </c>
    </row>
    <row r="752" spans="1:25" x14ac:dyDescent="0.25">
      <c r="A752" s="1095"/>
      <c r="B752" s="1454">
        <v>502</v>
      </c>
      <c r="C752" s="1099">
        <v>1.0004944058671197</v>
      </c>
      <c r="D752" s="1099">
        <v>1.0400221746965534</v>
      </c>
      <c r="E752" s="1099">
        <v>1.0058066539310879</v>
      </c>
      <c r="F752" s="1099">
        <v>1.0036904883872948</v>
      </c>
      <c r="G752" s="1099">
        <v>1.0152851500577482</v>
      </c>
      <c r="H752" s="1099">
        <v>0.98584211114321163</v>
      </c>
      <c r="I752" s="1099">
        <v>1.0084117671654669</v>
      </c>
      <c r="K752">
        <v>1.7301087384595322</v>
      </c>
      <c r="L752">
        <v>0</v>
      </c>
      <c r="M752">
        <v>1.3087192906171691E-3</v>
      </c>
      <c r="N752">
        <v>0.12250992087348973</v>
      </c>
      <c r="O752">
        <v>0.1259820576476707</v>
      </c>
      <c r="P752">
        <v>1.8479666184364908E-2</v>
      </c>
      <c r="Q752">
        <v>8.8969246843684192E-4</v>
      </c>
      <c r="R752">
        <v>1.3052710443285814E-3</v>
      </c>
      <c r="S752">
        <v>0.1052753253290446</v>
      </c>
      <c r="T752">
        <v>1.0346875842198962</v>
      </c>
      <c r="U752">
        <v>0</v>
      </c>
      <c r="V752">
        <v>0.20894102733222619</v>
      </c>
      <c r="W752">
        <v>8.020405036946783E-2</v>
      </c>
      <c r="X752">
        <v>2.9590344781043786E-2</v>
      </c>
      <c r="Y752">
        <v>3.5525175001782775E-3</v>
      </c>
    </row>
    <row r="753" spans="1:25" x14ac:dyDescent="0.25">
      <c r="A753" s="1095"/>
      <c r="B753" s="1454">
        <v>503</v>
      </c>
      <c r="C753" s="1099">
        <v>0.98696082742191393</v>
      </c>
      <c r="D753" s="1099">
        <v>0.98288405157786907</v>
      </c>
      <c r="E753" s="1099">
        <v>0.97256978639038538</v>
      </c>
      <c r="F753" s="1099">
        <v>0.98914267290325553</v>
      </c>
      <c r="G753" s="1099">
        <v>1.0101684145710212</v>
      </c>
      <c r="H753" s="1099">
        <v>0.98176442926274887</v>
      </c>
      <c r="I753" s="1099">
        <v>0.99683103863807221</v>
      </c>
      <c r="K753">
        <v>1.7256396865928463</v>
      </c>
      <c r="L753">
        <v>0</v>
      </c>
      <c r="M753">
        <v>1.4596458780997007E-3</v>
      </c>
      <c r="N753">
        <v>0.12357546981910911</v>
      </c>
      <c r="O753">
        <v>0.12802043203528779</v>
      </c>
      <c r="P753">
        <v>1.7904866103059369E-2</v>
      </c>
      <c r="Q753">
        <v>8.9108279526833195E-4</v>
      </c>
      <c r="R753">
        <v>1.4558156904963318E-3</v>
      </c>
      <c r="S753">
        <v>0.10872327056573206</v>
      </c>
      <c r="T753">
        <v>1.0206783967959101</v>
      </c>
      <c r="U753">
        <v>0</v>
      </c>
      <c r="V753">
        <v>0.21067702888552406</v>
      </c>
      <c r="W753">
        <v>8.2529720748450247E-2</v>
      </c>
      <c r="X753">
        <v>2.8680998632090761E-2</v>
      </c>
      <c r="Y753">
        <v>3.9622504000176228E-3</v>
      </c>
    </row>
    <row r="754" spans="1:25" x14ac:dyDescent="0.25">
      <c r="A754" s="1095"/>
      <c r="B754" s="1454">
        <v>504</v>
      </c>
      <c r="C754" s="1099">
        <v>0.98464073605455271</v>
      </c>
      <c r="D754" s="1099">
        <v>0.96786813101424007</v>
      </c>
      <c r="E754" s="1099">
        <v>0.98397371716785487</v>
      </c>
      <c r="F754" s="1099">
        <v>0.96779998854784854</v>
      </c>
      <c r="G754" s="1099">
        <v>0.97747670986202795</v>
      </c>
      <c r="H754" s="1099">
        <v>0.99391916852434203</v>
      </c>
      <c r="I754" s="1099">
        <v>0.99559904732129401</v>
      </c>
      <c r="K754">
        <v>1.7086602485257754</v>
      </c>
      <c r="L754">
        <v>0</v>
      </c>
      <c r="M754">
        <v>1.4565945182470539E-3</v>
      </c>
      <c r="N754">
        <v>0.12765127136872009</v>
      </c>
      <c r="O754">
        <v>0.12723425687494516</v>
      </c>
      <c r="P754">
        <v>1.7757999053974582E-2</v>
      </c>
      <c r="Q754">
        <v>9.0951431235785209E-4</v>
      </c>
      <c r="R754">
        <v>1.4528215913006141E-3</v>
      </c>
      <c r="S754">
        <v>0.11061956705162575</v>
      </c>
      <c r="T754">
        <v>0.99832002038935774</v>
      </c>
      <c r="U754">
        <v>0</v>
      </c>
      <c r="V754">
        <v>0.2086627896084578</v>
      </c>
      <c r="W754">
        <v>8.4665914310695353E-2</v>
      </c>
      <c r="X754">
        <v>2.8888587033575178E-2</v>
      </c>
      <c r="Y754">
        <v>3.954101449011412E-3</v>
      </c>
    </row>
    <row r="755" spans="1:25" x14ac:dyDescent="0.25">
      <c r="A755" s="1095"/>
      <c r="B755" s="1454">
        <v>505</v>
      </c>
      <c r="C755" s="1099">
        <v>1.0346354592171616</v>
      </c>
      <c r="D755" s="1099">
        <v>1.0313110271466674</v>
      </c>
      <c r="E755" s="1099">
        <v>0.9983181171025276</v>
      </c>
      <c r="F755" s="1099">
        <v>1.0079516919794651</v>
      </c>
      <c r="G755" s="1099">
        <v>1.0003898657045893</v>
      </c>
      <c r="H755" s="1099">
        <v>1.0188195584610626</v>
      </c>
      <c r="I755" s="1099">
        <v>0.98245794789004526</v>
      </c>
      <c r="K755">
        <v>1.7272525215873071</v>
      </c>
      <c r="L755">
        <v>0</v>
      </c>
      <c r="M755">
        <v>1.3389358754371103E-3</v>
      </c>
      <c r="N755">
        <v>0.12254695787769646</v>
      </c>
      <c r="O755">
        <v>0.12493805641619314</v>
      </c>
      <c r="P755">
        <v>1.8353960717045068E-2</v>
      </c>
      <c r="Q755">
        <v>8.5656468761176796E-4</v>
      </c>
      <c r="R755">
        <v>1.3355377842097229E-3</v>
      </c>
      <c r="S755">
        <v>0.10203377051740416</v>
      </c>
      <c r="T755">
        <v>1.0393043054491655</v>
      </c>
      <c r="U755">
        <v>0</v>
      </c>
      <c r="V755">
        <v>0.20588450340670875</v>
      </c>
      <c r="W755">
        <v>8.0585588792459154E-2</v>
      </c>
      <c r="X755">
        <v>2.9117318225543875E-2</v>
      </c>
      <c r="Y755">
        <v>3.6348935887066231E-3</v>
      </c>
    </row>
    <row r="756" spans="1:25" x14ac:dyDescent="0.25">
      <c r="A756" s="1095"/>
      <c r="B756" s="1454">
        <v>506</v>
      </c>
      <c r="C756" s="1099">
        <v>0.99252608530015551</v>
      </c>
      <c r="D756" s="1099">
        <v>0.98184006115573519</v>
      </c>
      <c r="E756" s="1099">
        <v>1.00011453075714</v>
      </c>
      <c r="F756" s="1099">
        <v>0.9952282993282825</v>
      </c>
      <c r="G756" s="1099">
        <v>1.0010880728523841</v>
      </c>
      <c r="H756" s="1099">
        <v>0.99003612825755338</v>
      </c>
      <c r="I756" s="1099">
        <v>1.0177231712113057</v>
      </c>
      <c r="K756">
        <v>1.739875921020331</v>
      </c>
      <c r="L756">
        <v>0</v>
      </c>
      <c r="M756">
        <v>1.3848639439417829E-3</v>
      </c>
      <c r="N756">
        <v>0.12743258642015157</v>
      </c>
      <c r="O756">
        <v>0.12835800101508688</v>
      </c>
      <c r="P756">
        <v>1.8382423352028963E-2</v>
      </c>
      <c r="Q756">
        <v>9.1233510280770713E-4</v>
      </c>
      <c r="R756">
        <v>1.3812647776869358E-3</v>
      </c>
      <c r="S756">
        <v>0.11117252439601848</v>
      </c>
      <c r="T756">
        <v>1.0261319594380693</v>
      </c>
      <c r="U756">
        <v>0</v>
      </c>
      <c r="V756">
        <v>0.21019128572414483</v>
      </c>
      <c r="W756">
        <v>8.3708848458372204E-2</v>
      </c>
      <c r="X756">
        <v>2.9830208888851496E-2</v>
      </c>
      <c r="Y756">
        <v>3.7593473910522467E-3</v>
      </c>
    </row>
    <row r="757" spans="1:25" x14ac:dyDescent="0.25">
      <c r="A757" s="1095"/>
      <c r="B757" s="1454">
        <v>507</v>
      </c>
      <c r="C757" s="1099">
        <v>1.0275193313423769</v>
      </c>
      <c r="D757" s="1099">
        <v>0.9951112912142408</v>
      </c>
      <c r="E757" s="1099">
        <v>1.0172787131448071</v>
      </c>
      <c r="F757" s="1099">
        <v>1.0186268930440716</v>
      </c>
      <c r="G757" s="1099">
        <v>0.96445196340349293</v>
      </c>
      <c r="H757" s="1099">
        <v>1.0003818128460453</v>
      </c>
      <c r="I757" s="1099">
        <v>1.026739952365757</v>
      </c>
      <c r="K757">
        <v>1.7541314702736162</v>
      </c>
      <c r="L757">
        <v>0</v>
      </c>
      <c r="M757">
        <v>1.3003982470369618E-3</v>
      </c>
      <c r="N757">
        <v>0.12602908762696116</v>
      </c>
      <c r="O757">
        <v>0.12778960805154529</v>
      </c>
      <c r="P757">
        <v>1.8854438649081037E-2</v>
      </c>
      <c r="Q757">
        <v>8.9220976269535287E-4</v>
      </c>
      <c r="R757">
        <v>1.2970613851194127E-3</v>
      </c>
      <c r="S757">
        <v>0.10853843608011425</v>
      </c>
      <c r="T757">
        <v>1.0497418968333376</v>
      </c>
      <c r="U757">
        <v>0</v>
      </c>
      <c r="V757">
        <v>0.20637351806891496</v>
      </c>
      <c r="W757">
        <v>8.1952361890681738E-2</v>
      </c>
      <c r="X757">
        <v>3.0433076658075906E-2</v>
      </c>
      <c r="Y757">
        <v>3.5301735141243509E-3</v>
      </c>
    </row>
    <row r="758" spans="1:25" x14ac:dyDescent="0.25">
      <c r="A758" s="1095"/>
      <c r="B758" s="1454">
        <v>508</v>
      </c>
      <c r="C758" s="1099">
        <v>1.0163495695777098</v>
      </c>
      <c r="D758" s="1099">
        <v>1.0075762605683631</v>
      </c>
      <c r="E758" s="1099">
        <v>1.0033187095498377</v>
      </c>
      <c r="F758" s="1099">
        <v>1.0053703131935625</v>
      </c>
      <c r="G758" s="1099">
        <v>0.96950633113866425</v>
      </c>
      <c r="H758" s="1099">
        <v>1.0017527461291571</v>
      </c>
      <c r="I758" s="1099">
        <v>1.0237544342484621</v>
      </c>
      <c r="K758">
        <v>1.7373678964454382</v>
      </c>
      <c r="L758">
        <v>0</v>
      </c>
      <c r="M758">
        <v>1.3426175480142904E-3</v>
      </c>
      <c r="N758">
        <v>0.12474993769019936</v>
      </c>
      <c r="O758">
        <v>0.12673529313236825</v>
      </c>
      <c r="P758">
        <v>1.8480061600943783E-2</v>
      </c>
      <c r="Q758">
        <v>8.8470766578499201E-4</v>
      </c>
      <c r="R758">
        <v>1.3391619869248198E-3</v>
      </c>
      <c r="S758">
        <v>0.10850370543262874</v>
      </c>
      <c r="T758">
        <v>1.036493303989124</v>
      </c>
      <c r="U758">
        <v>0</v>
      </c>
      <c r="V758">
        <v>0.20643109480913041</v>
      </c>
      <c r="W758">
        <v>8.1790951679654306E-2</v>
      </c>
      <c r="X758">
        <v>2.9657538532914973E-2</v>
      </c>
      <c r="Y758">
        <v>3.6447574737790141E-3</v>
      </c>
    </row>
    <row r="759" spans="1:25" x14ac:dyDescent="0.25">
      <c r="A759" s="1095"/>
      <c r="B759" s="1454">
        <v>509</v>
      </c>
      <c r="C759" s="1099">
        <v>1.0054943977511313</v>
      </c>
      <c r="D759" s="1099">
        <v>1.0090764554749401</v>
      </c>
      <c r="E759" s="1099">
        <v>1.0144759877977334</v>
      </c>
      <c r="F759" s="1099">
        <v>0.97278077679657993</v>
      </c>
      <c r="G759" s="1099">
        <v>0.99780714144189653</v>
      </c>
      <c r="H759" s="1099">
        <v>0.95910634077834456</v>
      </c>
      <c r="I759" s="1099">
        <v>1.0065687130084977</v>
      </c>
      <c r="K759">
        <v>1.691377245887695</v>
      </c>
      <c r="L759">
        <v>0</v>
      </c>
      <c r="M759">
        <v>1.2637498696966894E-3</v>
      </c>
      <c r="N759">
        <v>0.12142957934677549</v>
      </c>
      <c r="O759">
        <v>0.12478972566622681</v>
      </c>
      <c r="P759">
        <v>1.8118536406203343E-2</v>
      </c>
      <c r="Q759">
        <v>9.0407601855064612E-4</v>
      </c>
      <c r="R759">
        <v>1.2603390509985882E-3</v>
      </c>
      <c r="S759">
        <v>0.10453303157905615</v>
      </c>
      <c r="T759">
        <v>1.0025751273829195</v>
      </c>
      <c r="U759">
        <v>0</v>
      </c>
      <c r="V759">
        <v>0.20698384349651019</v>
      </c>
      <c r="W759">
        <v>7.9091464559000138E-2</v>
      </c>
      <c r="X759">
        <v>2.9525044824988925E-2</v>
      </c>
      <c r="Y759">
        <v>3.430227426161656E-3</v>
      </c>
    </row>
    <row r="760" spans="1:25" x14ac:dyDescent="0.25">
      <c r="A760" s="1095"/>
      <c r="B760" s="1454">
        <v>510</v>
      </c>
      <c r="C760" s="1099">
        <v>0.99429679464165466</v>
      </c>
      <c r="D760" s="1099">
        <v>1.0144475877962122</v>
      </c>
      <c r="E760" s="1099">
        <v>1.0232909941080337</v>
      </c>
      <c r="F760" s="1099">
        <v>1.0128524247719941</v>
      </c>
      <c r="G760" s="1099">
        <v>1.0218286009041888</v>
      </c>
      <c r="H760" s="1099">
        <v>1.0090711334797058</v>
      </c>
      <c r="I760" s="1099">
        <v>1.033023378236994</v>
      </c>
      <c r="K760">
        <v>1.7636294737435714</v>
      </c>
      <c r="L760">
        <v>0</v>
      </c>
      <c r="M760">
        <v>1.3193811540977225E-3</v>
      </c>
      <c r="N760">
        <v>0.13020980864371789</v>
      </c>
      <c r="O760">
        <v>0.12820221262228398</v>
      </c>
      <c r="P760">
        <v>1.896457444407976E-2</v>
      </c>
      <c r="Q760">
        <v>9.2061052009967251E-4</v>
      </c>
      <c r="R760">
        <v>1.3160017824047452E-3</v>
      </c>
      <c r="S760">
        <v>0.11192517532797885</v>
      </c>
      <c r="T760">
        <v>1.0436136823917934</v>
      </c>
      <c r="U760">
        <v>0</v>
      </c>
      <c r="V760">
        <v>0.21104979075269198</v>
      </c>
      <c r="W760">
        <v>8.4373699329999011E-2</v>
      </c>
      <c r="X760">
        <v>3.0791576050784683E-2</v>
      </c>
      <c r="Y760">
        <v>3.5817230318347386E-3</v>
      </c>
    </row>
    <row r="761" spans="1:25" x14ac:dyDescent="0.25">
      <c r="A761" s="1095"/>
      <c r="B761" s="1454">
        <v>511</v>
      </c>
      <c r="C761" s="1099">
        <v>0.98524640687747289</v>
      </c>
      <c r="D761" s="1099">
        <v>0.99020331888506774</v>
      </c>
      <c r="E761" s="1099">
        <v>0.99016587336280792</v>
      </c>
      <c r="F761" s="1099">
        <v>1.0156953212076878</v>
      </c>
      <c r="G761" s="1099">
        <v>1.0328355581142123</v>
      </c>
      <c r="H761" s="1099">
        <v>1.0384858160525887</v>
      </c>
      <c r="I761" s="1099">
        <v>0.99595294854132255</v>
      </c>
      <c r="K761">
        <v>1.7772119226712384</v>
      </c>
      <c r="L761">
        <v>0</v>
      </c>
      <c r="M761">
        <v>1.4881787489345673E-3</v>
      </c>
      <c r="N761">
        <v>0.13289926064497307</v>
      </c>
      <c r="O761">
        <v>0.12987695913904565</v>
      </c>
      <c r="P761">
        <v>1.8594139569310629E-2</v>
      </c>
      <c r="Q761">
        <v>9.0653944751082228E-4</v>
      </c>
      <c r="R761">
        <v>1.4844899831202971E-3</v>
      </c>
      <c r="S761">
        <v>0.11253270714348158</v>
      </c>
      <c r="T761">
        <v>1.0475363674416485</v>
      </c>
      <c r="U761">
        <v>0</v>
      </c>
      <c r="V761">
        <v>0.21314493966075262</v>
      </c>
      <c r="W761">
        <v>8.7819563724900782E-2</v>
      </c>
      <c r="X761">
        <v>2.9864842293367347E-2</v>
      </c>
      <c r="Y761">
        <v>4.0402923720620322E-3</v>
      </c>
    </row>
    <row r="762" spans="1:25" x14ac:dyDescent="0.25">
      <c r="A762" s="1095"/>
      <c r="B762" s="1454">
        <v>512</v>
      </c>
      <c r="C762" s="1099">
        <v>1.0065441078599657</v>
      </c>
      <c r="D762" s="1099">
        <v>1.04003539132443</v>
      </c>
      <c r="E762" s="1099">
        <v>1.0221211475256293</v>
      </c>
      <c r="F762" s="1099">
        <v>1.0072294078700585</v>
      </c>
      <c r="G762" s="1099">
        <v>1.0035872721502519</v>
      </c>
      <c r="H762" s="1099">
        <v>0.99128000193078836</v>
      </c>
      <c r="I762" s="1099">
        <v>0.96062673196957427</v>
      </c>
      <c r="K762">
        <v>1.7303781117497987</v>
      </c>
      <c r="L762">
        <v>0</v>
      </c>
      <c r="M762">
        <v>1.2653706354347149E-3</v>
      </c>
      <c r="N762">
        <v>0.12443253299559241</v>
      </c>
      <c r="O762">
        <v>0.12600330619284636</v>
      </c>
      <c r="P762">
        <v>1.8663754776312099E-2</v>
      </c>
      <c r="Q762">
        <v>8.9931392353283441E-4</v>
      </c>
      <c r="R762">
        <v>1.2620574227416386E-3</v>
      </c>
      <c r="S762">
        <v>0.10011348004410897</v>
      </c>
      <c r="T762">
        <v>1.0378541232233067</v>
      </c>
      <c r="U762">
        <v>0</v>
      </c>
      <c r="V762">
        <v>0.20810017177698867</v>
      </c>
      <c r="W762">
        <v>8.0685211444031749E-2</v>
      </c>
      <c r="X762">
        <v>3.019462631818521E-2</v>
      </c>
      <c r="Y762">
        <v>3.4349042675851458E-3</v>
      </c>
    </row>
    <row r="763" spans="1:25" x14ac:dyDescent="0.25">
      <c r="A763" s="1095"/>
      <c r="B763" s="1454">
        <v>513</v>
      </c>
      <c r="C763" s="1099">
        <v>0.95342811024945451</v>
      </c>
      <c r="D763" s="1099">
        <v>0.97424519509298235</v>
      </c>
      <c r="E763" s="1099">
        <v>0.97770633312202859</v>
      </c>
      <c r="F763" s="1099">
        <v>0.99047379793256363</v>
      </c>
      <c r="G763" s="1099">
        <v>0.98553474297751553</v>
      </c>
      <c r="H763" s="1099">
        <v>0.98376053296005561</v>
      </c>
      <c r="I763" s="1099">
        <v>1.0155420228638465</v>
      </c>
      <c r="K763">
        <v>1.7478630203541832</v>
      </c>
      <c r="L763">
        <v>0</v>
      </c>
      <c r="M763">
        <v>1.5014798258259725E-3</v>
      </c>
      <c r="N763">
        <v>0.12910918135181632</v>
      </c>
      <c r="O763">
        <v>0.13036559551530205</v>
      </c>
      <c r="P763">
        <v>1.8107889834063858E-2</v>
      </c>
      <c r="Q763">
        <v>9.3069514933989976E-4</v>
      </c>
      <c r="R763">
        <v>1.4975429071128232E-3</v>
      </c>
      <c r="S763">
        <v>0.11523072819162822</v>
      </c>
      <c r="T763">
        <v>1.0218969437915117</v>
      </c>
      <c r="U763">
        <v>0</v>
      </c>
      <c r="V763">
        <v>0.21284146000247348</v>
      </c>
      <c r="W763">
        <v>8.595735328794557E-2</v>
      </c>
      <c r="X763">
        <v>2.9351292020541511E-2</v>
      </c>
      <c r="Y763">
        <v>4.0758181282744502E-3</v>
      </c>
    </row>
    <row r="764" spans="1:25" x14ac:dyDescent="0.25">
      <c r="A764" s="1095"/>
      <c r="B764" s="1454">
        <v>514</v>
      </c>
      <c r="C764" s="1099">
        <v>1.0169352200079755</v>
      </c>
      <c r="D764" s="1099">
        <v>0.96940214491042787</v>
      </c>
      <c r="E764" s="1099">
        <v>1.0033628093333635</v>
      </c>
      <c r="F764" s="1099">
        <v>1.0056576460843325</v>
      </c>
      <c r="G764" s="1099">
        <v>0.99723002330517374</v>
      </c>
      <c r="H764" s="1099">
        <v>1.019572122798551</v>
      </c>
      <c r="I764" s="1099">
        <v>1.0119397188196089</v>
      </c>
      <c r="K764">
        <v>1.753488741813698</v>
      </c>
      <c r="L764">
        <v>0</v>
      </c>
      <c r="M764">
        <v>1.3971875691409926E-3</v>
      </c>
      <c r="N764">
        <v>0.12984592131160105</v>
      </c>
      <c r="O764">
        <v>0.12849928745200301</v>
      </c>
      <c r="P764">
        <v>1.8553328292777616E-2</v>
      </c>
      <c r="Q764">
        <v>8.9800553019815871E-4</v>
      </c>
      <c r="R764">
        <v>1.393680549276933E-3</v>
      </c>
      <c r="S764">
        <v>0.1110522692621011</v>
      </c>
      <c r="T764">
        <v>1.0367882178094414</v>
      </c>
      <c r="U764">
        <v>0</v>
      </c>
      <c r="V764">
        <v>0.20889894611878942</v>
      </c>
      <c r="W764">
        <v>8.5129852950230414E-2</v>
      </c>
      <c r="X764">
        <v>3.0033281077955852E-2</v>
      </c>
      <c r="Y764">
        <v>3.7931390284622166E-3</v>
      </c>
    </row>
    <row r="765" spans="1:25" x14ac:dyDescent="0.25">
      <c r="A765" s="1095"/>
      <c r="B765" s="1454">
        <v>515</v>
      </c>
      <c r="C765" s="1099">
        <v>0.98765311402870715</v>
      </c>
      <c r="D765" s="1099">
        <v>0.99118233044368398</v>
      </c>
      <c r="E765" s="1099">
        <v>1.002566080105983</v>
      </c>
      <c r="F765" s="1099">
        <v>1.0038523105509662</v>
      </c>
      <c r="G765" s="1099">
        <v>0.99222871849493444</v>
      </c>
      <c r="H765" s="1099">
        <v>1.0091627593805099</v>
      </c>
      <c r="I765" s="1099">
        <v>0.99134406769571226</v>
      </c>
      <c r="K765">
        <v>1.752577847753032</v>
      </c>
      <c r="L765">
        <v>0</v>
      </c>
      <c r="M765">
        <v>1.4040497421330873E-3</v>
      </c>
      <c r="N765">
        <v>0.13016436502888265</v>
      </c>
      <c r="O765">
        <v>0.12885305979108821</v>
      </c>
      <c r="P765">
        <v>1.8516880397822819E-2</v>
      </c>
      <c r="Q765">
        <v>9.1569290322636963E-4</v>
      </c>
      <c r="R765">
        <v>1.4004647738475576E-3</v>
      </c>
      <c r="S765">
        <v>0.10956728164228491</v>
      </c>
      <c r="T765">
        <v>1.0349507023508726</v>
      </c>
      <c r="U765">
        <v>0</v>
      </c>
      <c r="V765">
        <v>0.21035874972682952</v>
      </c>
      <c r="W765">
        <v>8.5378957361029448E-2</v>
      </c>
      <c r="X765">
        <v>3.0064140067955634E-2</v>
      </c>
      <c r="Y765">
        <v>3.8116034513244264E-3</v>
      </c>
    </row>
    <row r="766" spans="1:25" x14ac:dyDescent="0.25">
      <c r="A766" s="1095"/>
      <c r="B766" s="1454">
        <v>516</v>
      </c>
      <c r="C766" s="1099">
        <v>1.0035929587568255</v>
      </c>
      <c r="D766" s="1099">
        <v>0.99988471617256913</v>
      </c>
      <c r="E766" s="1099">
        <v>0.99221871606239198</v>
      </c>
      <c r="F766" s="1099">
        <v>0.98794466704186157</v>
      </c>
      <c r="G766" s="1099">
        <v>0.98968966277158954</v>
      </c>
      <c r="H766" s="1099">
        <v>1.0039922149475711</v>
      </c>
      <c r="I766" s="1099">
        <v>0.98343791787706247</v>
      </c>
      <c r="K766">
        <v>1.7192425019762414</v>
      </c>
      <c r="L766">
        <v>0</v>
      </c>
      <c r="M766">
        <v>1.3972097474931142E-3</v>
      </c>
      <c r="N766">
        <v>0.12554061370655453</v>
      </c>
      <c r="O766">
        <v>0.12637028524985658</v>
      </c>
      <c r="P766">
        <v>1.8072398226403583E-2</v>
      </c>
      <c r="Q766">
        <v>8.8840796603632669E-4</v>
      </c>
      <c r="R766">
        <v>1.393617788779618E-3</v>
      </c>
      <c r="S766">
        <v>0.10601657762877424</v>
      </c>
      <c r="T766">
        <v>1.018854936329382</v>
      </c>
      <c r="U766">
        <v>0</v>
      </c>
      <c r="V766">
        <v>0.20775364472410776</v>
      </c>
      <c r="W766">
        <v>8.285512474347595E-2</v>
      </c>
      <c r="X766">
        <v>2.9101137145283288E-2</v>
      </c>
      <c r="Y766">
        <v>3.7929682150775173E-3</v>
      </c>
    </row>
    <row r="767" spans="1:25" x14ac:dyDescent="0.25">
      <c r="A767" s="1095"/>
      <c r="B767" s="1454">
        <v>517</v>
      </c>
      <c r="C767" s="1099">
        <v>0.99824378550763471</v>
      </c>
      <c r="D767" s="1099">
        <v>1.0024622864426724</v>
      </c>
      <c r="E767" s="1099">
        <v>0.99149160905013489</v>
      </c>
      <c r="F767" s="1099">
        <v>1.0090559017058653</v>
      </c>
      <c r="G767" s="1099">
        <v>0.98714955874160437</v>
      </c>
      <c r="H767" s="1099">
        <v>1.0133401098517001</v>
      </c>
      <c r="I767" s="1099">
        <v>0.98018225161848271</v>
      </c>
      <c r="K767">
        <v>1.7486399742903478</v>
      </c>
      <c r="L767">
        <v>0</v>
      </c>
      <c r="M767">
        <v>1.4197325322048511E-3</v>
      </c>
      <c r="N767">
        <v>0.12728754054879748</v>
      </c>
      <c r="O767">
        <v>0.12812748310486577</v>
      </c>
      <c r="P767">
        <v>1.838679005695917E-2</v>
      </c>
      <c r="Q767">
        <v>8.9157393442411924E-4</v>
      </c>
      <c r="R767">
        <v>1.4161196045064859E-3</v>
      </c>
      <c r="S767">
        <v>0.10679800108179716</v>
      </c>
      <c r="T767">
        <v>1.0406486761394638</v>
      </c>
      <c r="U767">
        <v>0</v>
      </c>
      <c r="V767">
        <v>0.20910412856987196</v>
      </c>
      <c r="W767">
        <v>8.4044619721423158E-2</v>
      </c>
      <c r="X767">
        <v>2.9500563320678845E-2</v>
      </c>
      <c r="Y767">
        <v>3.8542107397644913E-3</v>
      </c>
    </row>
    <row r="768" spans="1:25" x14ac:dyDescent="0.25">
      <c r="A768" s="1095"/>
      <c r="B768" s="1454">
        <v>518</v>
      </c>
      <c r="C768" s="1099">
        <v>1.0157765305647117</v>
      </c>
      <c r="D768" s="1099">
        <v>1.0206652580243556</v>
      </c>
      <c r="E768" s="1099">
        <v>0.96914298938115961</v>
      </c>
      <c r="F768" s="1099">
        <v>1.005776272082624</v>
      </c>
      <c r="G768" s="1099">
        <v>0.98351123506919258</v>
      </c>
      <c r="H768" s="1099">
        <v>0.99163918547948948</v>
      </c>
      <c r="I768" s="1099">
        <v>1.023257644041127</v>
      </c>
      <c r="K768">
        <v>1.7266532599672426</v>
      </c>
      <c r="L768">
        <v>0</v>
      </c>
      <c r="M768">
        <v>1.4164164364425308E-3</v>
      </c>
      <c r="N768">
        <v>0.1186799751275581</v>
      </c>
      <c r="O768">
        <v>0.12606825126726731</v>
      </c>
      <c r="P768">
        <v>1.801042929349353E-2</v>
      </c>
      <c r="Q768">
        <v>8.4976752086784763E-4</v>
      </c>
      <c r="R768">
        <v>1.4127246020646396E-3</v>
      </c>
      <c r="S768">
        <v>0.10688412509359771</v>
      </c>
      <c r="T768">
        <v>1.0379477644788877</v>
      </c>
      <c r="U768">
        <v>0</v>
      </c>
      <c r="V768">
        <v>0.20669543204740012</v>
      </c>
      <c r="W768">
        <v>7.9425640964815691E-2</v>
      </c>
      <c r="X768">
        <v>2.8250595345450585E-2</v>
      </c>
      <c r="Y768">
        <v>3.8449706622800386E-3</v>
      </c>
    </row>
    <row r="769" spans="1:25" x14ac:dyDescent="0.25">
      <c r="A769" s="1095"/>
      <c r="B769" s="1454">
        <v>519</v>
      </c>
      <c r="C769" s="1099">
        <v>1.0037660340530346</v>
      </c>
      <c r="D769" s="1099">
        <v>0.99764598051803655</v>
      </c>
      <c r="E769" s="1099">
        <v>0.99487508100595468</v>
      </c>
      <c r="F769" s="1099">
        <v>0.95805046133522087</v>
      </c>
      <c r="G769" s="1099">
        <v>0.9532491816579659</v>
      </c>
      <c r="H769" s="1099">
        <v>0.97906095525368142</v>
      </c>
      <c r="I769" s="1099">
        <v>1.0115609226640199</v>
      </c>
      <c r="K769">
        <v>1.6779930525314677</v>
      </c>
      <c r="L769">
        <v>0</v>
      </c>
      <c r="M769">
        <v>1.3529283016636246E-3</v>
      </c>
      <c r="N769">
        <v>0.12253308252935025</v>
      </c>
      <c r="O769">
        <v>0.1241792664382529</v>
      </c>
      <c r="P769">
        <v>1.7660674521818943E-2</v>
      </c>
      <c r="Q769">
        <v>8.9151195292929276E-4</v>
      </c>
      <c r="R769">
        <v>1.3493534730178319E-3</v>
      </c>
      <c r="S769">
        <v>0.10724259761331943</v>
      </c>
      <c r="T769">
        <v>0.98794927495223017</v>
      </c>
      <c r="U769">
        <v>0</v>
      </c>
      <c r="V769">
        <v>0.20447720443403686</v>
      </c>
      <c r="W769">
        <v>8.0741965915456834E-2</v>
      </c>
      <c r="X769">
        <v>2.8648553663417495E-2</v>
      </c>
      <c r="Y769">
        <v>3.6724953393017039E-3</v>
      </c>
    </row>
    <row r="770" spans="1:25" x14ac:dyDescent="0.25">
      <c r="A770" s="1095"/>
      <c r="B770" s="1454">
        <v>520</v>
      </c>
      <c r="C770" s="1099">
        <v>0.99298811139215848</v>
      </c>
      <c r="D770" s="1099">
        <v>1.0125934253232991</v>
      </c>
      <c r="E770" s="1099">
        <v>0.96763643691224044</v>
      </c>
      <c r="F770" s="1099">
        <v>1.0184590727010263</v>
      </c>
      <c r="G770" s="1099">
        <v>1.008871514091648</v>
      </c>
      <c r="H770" s="1099">
        <v>1.0270518380752001</v>
      </c>
      <c r="I770" s="1099">
        <v>0.97053500315247376</v>
      </c>
      <c r="K770">
        <v>1.759318856414585</v>
      </c>
      <c r="L770">
        <v>0</v>
      </c>
      <c r="M770">
        <v>1.5112591127844778E-3</v>
      </c>
      <c r="N770">
        <v>0.12606195249364491</v>
      </c>
      <c r="O770">
        <v>0.12855126087101104</v>
      </c>
      <c r="P770">
        <v>1.8213734426849388E-2</v>
      </c>
      <c r="Q770">
        <v>8.7065000260616577E-4</v>
      </c>
      <c r="R770">
        <v>1.5074587415188276E-3</v>
      </c>
      <c r="S770">
        <v>0.10656219348100711</v>
      </c>
      <c r="T770">
        <v>1.0510833080931219</v>
      </c>
      <c r="U770">
        <v>0</v>
      </c>
      <c r="V770">
        <v>0.21071997090433292</v>
      </c>
      <c r="W770">
        <v>8.4443464264394127E-2</v>
      </c>
      <c r="X770">
        <v>2.8713316488108223E-2</v>
      </c>
      <c r="Y770">
        <v>4.1028057607736612E-3</v>
      </c>
    </row>
    <row r="771" spans="1:25" x14ac:dyDescent="0.25">
      <c r="A771" s="1095"/>
      <c r="B771" s="1454">
        <v>521</v>
      </c>
      <c r="C771" s="1099">
        <v>0.99322001941158067</v>
      </c>
      <c r="D771" s="1099">
        <v>0.98393115896812144</v>
      </c>
      <c r="E771" s="1099">
        <v>0.97080050944485885</v>
      </c>
      <c r="F771" s="1099">
        <v>0.97178980562831252</v>
      </c>
      <c r="G771" s="1099">
        <v>0.98986557026032929</v>
      </c>
      <c r="H771" s="1099">
        <v>1.0295595174134193</v>
      </c>
      <c r="I771" s="1099">
        <v>0.96806218609548667</v>
      </c>
      <c r="K771">
        <v>1.7104046226013594</v>
      </c>
      <c r="L771">
        <v>0</v>
      </c>
      <c r="M771">
        <v>1.5240885233940658E-3</v>
      </c>
      <c r="N771">
        <v>0.1283572331086611</v>
      </c>
      <c r="O771">
        <v>0.12630217835836535</v>
      </c>
      <c r="P771">
        <v>1.7600498502051153E-2</v>
      </c>
      <c r="Q771">
        <v>8.8344337041609204E-4</v>
      </c>
      <c r="R771">
        <v>1.5202701687183253E-3</v>
      </c>
      <c r="S771">
        <v>0.10805249429814798</v>
      </c>
      <c r="T771">
        <v>1.0028248536359112</v>
      </c>
      <c r="U771">
        <v>0</v>
      </c>
      <c r="V771">
        <v>0.20820497413208952</v>
      </c>
      <c r="W771">
        <v>8.5815451705986354E-2</v>
      </c>
      <c r="X771">
        <v>2.8229639602079797E-2</v>
      </c>
      <c r="Y771">
        <v>4.1376742423248538E-3</v>
      </c>
    </row>
    <row r="772" spans="1:25" x14ac:dyDescent="0.25">
      <c r="A772" s="1095"/>
      <c r="B772" s="1454">
        <v>522</v>
      </c>
      <c r="C772" s="1099">
        <v>1.042096555202193</v>
      </c>
      <c r="D772" s="1099">
        <v>1.000912773225241</v>
      </c>
      <c r="E772" s="1099">
        <v>1.0194777589780202</v>
      </c>
      <c r="F772" s="1099">
        <v>0.99311838073504588</v>
      </c>
      <c r="G772" s="1099">
        <v>0.99501626471089311</v>
      </c>
      <c r="H772" s="1099">
        <v>0.9647990188809803</v>
      </c>
      <c r="I772" s="1099">
        <v>1.0087362163398699</v>
      </c>
      <c r="K772">
        <v>1.7053848223244541</v>
      </c>
      <c r="L772">
        <v>0</v>
      </c>
      <c r="M772">
        <v>1.2255035906958158E-3</v>
      </c>
      <c r="N772">
        <v>0.11954923900259783</v>
      </c>
      <c r="O772">
        <v>0.12490743193791269</v>
      </c>
      <c r="P772">
        <v>1.8417667854106683E-2</v>
      </c>
      <c r="Q772">
        <v>8.7966991803259441E-4</v>
      </c>
      <c r="R772">
        <v>1.2222360287523137E-3</v>
      </c>
      <c r="S772">
        <v>0.10228860948740424</v>
      </c>
      <c r="T772">
        <v>1.0233904709176831</v>
      </c>
      <c r="U772">
        <v>0</v>
      </c>
      <c r="V772">
        <v>0.20521255796077298</v>
      </c>
      <c r="W772">
        <v>7.7638661565522071E-2</v>
      </c>
      <c r="X772">
        <v>2.9777257682100215E-2</v>
      </c>
      <c r="Y772">
        <v>3.3265235602652041E-3</v>
      </c>
    </row>
    <row r="773" spans="1:25" x14ac:dyDescent="0.25">
      <c r="A773" s="1095"/>
      <c r="B773" s="1454">
        <v>523</v>
      </c>
      <c r="C773" s="1099">
        <v>0.99991790213920739</v>
      </c>
      <c r="D773" s="1099">
        <v>0.97147392840029145</v>
      </c>
      <c r="E773" s="1099">
        <v>0.97743497604653207</v>
      </c>
      <c r="F773" s="1099">
        <v>1.0223126866743921</v>
      </c>
      <c r="G773" s="1099">
        <v>1.0150218607740198</v>
      </c>
      <c r="H773" s="1099">
        <v>0.99028031689716634</v>
      </c>
      <c r="I773" s="1099">
        <v>0.97666355170781138</v>
      </c>
      <c r="K773">
        <v>1.7647664260201201</v>
      </c>
      <c r="L773">
        <v>0</v>
      </c>
      <c r="M773">
        <v>1.4544780129010378E-3</v>
      </c>
      <c r="N773">
        <v>0.12496953175103842</v>
      </c>
      <c r="O773">
        <v>0.13044334792767223</v>
      </c>
      <c r="P773">
        <v>1.8418928141229543E-2</v>
      </c>
      <c r="Q773">
        <v>8.8818257422460434E-4</v>
      </c>
      <c r="R773">
        <v>1.4507177475163756E-3</v>
      </c>
      <c r="S773">
        <v>0.1067805568745011</v>
      </c>
      <c r="T773">
        <v>1.0547543653638634</v>
      </c>
      <c r="U773">
        <v>0</v>
      </c>
      <c r="V773">
        <v>0.21191546067956188</v>
      </c>
      <c r="W773">
        <v>8.3214948156110607E-2</v>
      </c>
      <c r="X773">
        <v>2.9436489337539513E-2</v>
      </c>
      <c r="Y773">
        <v>3.948375479762632E-3</v>
      </c>
    </row>
    <row r="774" spans="1:25" x14ac:dyDescent="0.25">
      <c r="A774" s="1095"/>
      <c r="B774" s="1454">
        <v>524</v>
      </c>
      <c r="C774" s="1099">
        <v>1.0108604035669533</v>
      </c>
      <c r="D774" s="1099">
        <v>1.0267282476438397</v>
      </c>
      <c r="E774" s="1099">
        <v>1.0327933503441071</v>
      </c>
      <c r="F774" s="1099">
        <v>0.99768830274250864</v>
      </c>
      <c r="G774" s="1099">
        <v>1.0185233679113266</v>
      </c>
      <c r="H774" s="1099">
        <v>1.0010314737034256</v>
      </c>
      <c r="I774" s="1099">
        <v>0.97419027149038173</v>
      </c>
      <c r="K774">
        <v>1.7271931064875015</v>
      </c>
      <c r="L774">
        <v>0</v>
      </c>
      <c r="M774">
        <v>1.2533355762392709E-3</v>
      </c>
      <c r="N774">
        <v>0.1272833855042354</v>
      </c>
      <c r="O774">
        <v>0.12570186972345584</v>
      </c>
      <c r="P774">
        <v>1.8705547642992416E-2</v>
      </c>
      <c r="Q774">
        <v>9.09967619511682E-4</v>
      </c>
      <c r="R774">
        <v>1.2500923773536054E-3</v>
      </c>
      <c r="S774">
        <v>0.10253808525444712</v>
      </c>
      <c r="T774">
        <v>1.027715066214782</v>
      </c>
      <c r="U774">
        <v>0</v>
      </c>
      <c r="V774">
        <v>0.20838567020788851</v>
      </c>
      <c r="W774">
        <v>8.2023047073846903E-2</v>
      </c>
      <c r="X774">
        <v>3.0531371086911816E-2</v>
      </c>
      <c r="Y774">
        <v>3.4023393583150728E-3</v>
      </c>
    </row>
    <row r="775" spans="1:25" x14ac:dyDescent="0.25">
      <c r="A775" s="1095"/>
      <c r="B775" s="1454">
        <v>525</v>
      </c>
      <c r="C775" s="1099">
        <v>0.99150633155204793</v>
      </c>
      <c r="D775" s="1099">
        <v>0.97504660197696791</v>
      </c>
      <c r="E775" s="1099">
        <v>1.0225883240546099</v>
      </c>
      <c r="F775" s="1099">
        <v>1.0077195350175721</v>
      </c>
      <c r="G775" s="1099">
        <v>1.006937288512624</v>
      </c>
      <c r="H775" s="1099">
        <v>1.0032304893841546</v>
      </c>
      <c r="I775" s="1099">
        <v>0.95858971534654036</v>
      </c>
      <c r="K775">
        <v>1.7590783147237024</v>
      </c>
      <c r="L775">
        <v>0</v>
      </c>
      <c r="M775">
        <v>1.3475346350107008E-3</v>
      </c>
      <c r="N775">
        <v>0.13270706658339732</v>
      </c>
      <c r="O775">
        <v>0.12978822903162798</v>
      </c>
      <c r="P775">
        <v>1.8809733775502928E-2</v>
      </c>
      <c r="Q775">
        <v>9.3727193093476519E-4</v>
      </c>
      <c r="R775">
        <v>1.3440865859734874E-3</v>
      </c>
      <c r="S775">
        <v>0.10628383602624721</v>
      </c>
      <c r="T775">
        <v>1.0383454698356021</v>
      </c>
      <c r="U775">
        <v>0</v>
      </c>
      <c r="V775">
        <v>0.21149929704860976</v>
      </c>
      <c r="W775">
        <v>8.602715603633812E-2</v>
      </c>
      <c r="X775">
        <v>3.10255418954829E-2</v>
      </c>
      <c r="Y775">
        <v>3.6581606089958461E-3</v>
      </c>
    </row>
    <row r="776" spans="1:25" x14ac:dyDescent="0.25">
      <c r="A776" s="1095"/>
      <c r="B776" s="1454">
        <v>526</v>
      </c>
      <c r="C776" s="1099">
        <v>1.0014305109659107</v>
      </c>
      <c r="D776" s="1099">
        <v>1.0035565387571799</v>
      </c>
      <c r="E776" s="1099">
        <v>1.0044633843170432</v>
      </c>
      <c r="F776" s="1099">
        <v>0.98604266129211293</v>
      </c>
      <c r="G776" s="1099">
        <v>1.0240931010872369</v>
      </c>
      <c r="H776" s="1099">
        <v>0.99020482493240591</v>
      </c>
      <c r="I776" s="1099">
        <v>0.96328901056465321</v>
      </c>
      <c r="K776">
        <v>1.7145761193413802</v>
      </c>
      <c r="L776">
        <v>0</v>
      </c>
      <c r="M776">
        <v>1.3430041656589233E-3</v>
      </c>
      <c r="N776">
        <v>0.12521356720887847</v>
      </c>
      <c r="O776">
        <v>0.12621692227174702</v>
      </c>
      <c r="P776">
        <v>1.8187012213578244E-2</v>
      </c>
      <c r="Q776">
        <v>9.0039042342360514E-4</v>
      </c>
      <c r="R776">
        <v>1.3394998478676457E-3</v>
      </c>
      <c r="S776">
        <v>0.10290678053994516</v>
      </c>
      <c r="T776">
        <v>1.016533908820356</v>
      </c>
      <c r="U776">
        <v>0</v>
      </c>
      <c r="V776">
        <v>0.20942455453583905</v>
      </c>
      <c r="W776">
        <v>8.2039263690411424E-2</v>
      </c>
      <c r="X776">
        <v>2.9511546935103546E-2</v>
      </c>
      <c r="Y776">
        <v>3.6456770198895561E-3</v>
      </c>
    </row>
    <row r="777" spans="1:25" x14ac:dyDescent="0.25">
      <c r="A777" s="1095"/>
      <c r="B777" s="1454">
        <v>527</v>
      </c>
      <c r="C777" s="1099">
        <v>1.0095620837233126</v>
      </c>
      <c r="D777" s="1099">
        <v>0.98560448642783571</v>
      </c>
      <c r="E777" s="1099">
        <v>0.97189984242073513</v>
      </c>
      <c r="F777" s="1099">
        <v>0.9639683331411163</v>
      </c>
      <c r="G777" s="1099">
        <v>1.0058501883095918</v>
      </c>
      <c r="H777" s="1099">
        <v>1.0088630714338664</v>
      </c>
      <c r="I777" s="1099">
        <v>0.99047965295414131</v>
      </c>
      <c r="K777">
        <v>1.6907727339141063</v>
      </c>
      <c r="L777">
        <v>0</v>
      </c>
      <c r="M777">
        <v>1.465483285503407E-3</v>
      </c>
      <c r="N777">
        <v>0.12382676457248305</v>
      </c>
      <c r="O777">
        <v>0.12479386666529407</v>
      </c>
      <c r="P777">
        <v>1.7482554668630263E-2</v>
      </c>
      <c r="Q777">
        <v>8.6955812152954672E-4</v>
      </c>
      <c r="R777">
        <v>1.4617378040060313E-3</v>
      </c>
      <c r="S777">
        <v>0.10727487232923726</v>
      </c>
      <c r="T777">
        <v>0.9947211853714355</v>
      </c>
      <c r="U777">
        <v>0</v>
      </c>
      <c r="V777">
        <v>0.20714436455353891</v>
      </c>
      <c r="W777">
        <v>8.2731214639423331E-2</v>
      </c>
      <c r="X777">
        <v>2.7953730033264661E-2</v>
      </c>
      <c r="Y777">
        <v>3.9783684407668296E-3</v>
      </c>
    </row>
    <row r="778" spans="1:25" x14ac:dyDescent="0.25">
      <c r="A778" s="1095"/>
      <c r="B778" s="1454">
        <v>528</v>
      </c>
      <c r="C778" s="1099">
        <v>1.0016106696376075</v>
      </c>
      <c r="D778" s="1099">
        <v>1.027463420522533</v>
      </c>
      <c r="E778" s="1099">
        <v>0.97617487976938377</v>
      </c>
      <c r="F778" s="1099">
        <v>1.0009534917438392</v>
      </c>
      <c r="G778" s="1099">
        <v>1.0080408088356292</v>
      </c>
      <c r="H778" s="1099">
        <v>0.97303037331748332</v>
      </c>
      <c r="I778" s="1099">
        <v>1.0011962012000979</v>
      </c>
      <c r="K778">
        <v>1.7199773868151673</v>
      </c>
      <c r="L778">
        <v>0</v>
      </c>
      <c r="M778">
        <v>1.3816249504019829E-3</v>
      </c>
      <c r="N778">
        <v>0.11824881780590245</v>
      </c>
      <c r="O778">
        <v>0.12615219148154652</v>
      </c>
      <c r="P778">
        <v>1.802862656604649E-2</v>
      </c>
      <c r="Q778">
        <v>8.6588275514655217E-4</v>
      </c>
      <c r="R778">
        <v>1.3779446706383936E-3</v>
      </c>
      <c r="S778">
        <v>0.10425297186969906</v>
      </c>
      <c r="T778">
        <v>1.0327557339767024</v>
      </c>
      <c r="U778">
        <v>0</v>
      </c>
      <c r="V778">
        <v>0.2086286915285516</v>
      </c>
      <c r="W778">
        <v>7.87998324773765E-2</v>
      </c>
      <c r="X778">
        <v>2.8498007479818253E-2</v>
      </c>
      <c r="Y778">
        <v>3.7503111541391104E-3</v>
      </c>
    </row>
    <row r="779" spans="1:25" x14ac:dyDescent="0.25">
      <c r="A779" s="1095"/>
      <c r="B779" s="1454">
        <v>529</v>
      </c>
      <c r="C779" s="1099">
        <v>0.99254728750703269</v>
      </c>
      <c r="D779" s="1099">
        <v>0.96924624937809345</v>
      </c>
      <c r="E779" s="1099">
        <v>0.99370880320491684</v>
      </c>
      <c r="F779" s="1099">
        <v>0.99448043080852855</v>
      </c>
      <c r="G779" s="1099">
        <v>1.0261371686422611</v>
      </c>
      <c r="H779" s="1099">
        <v>1.0135834779642725</v>
      </c>
      <c r="I779" s="1099">
        <v>1.0164991831212327</v>
      </c>
      <c r="K779">
        <v>1.7494865851069432</v>
      </c>
      <c r="L779">
        <v>0</v>
      </c>
      <c r="M779">
        <v>1.4475660268402763E-3</v>
      </c>
      <c r="N779">
        <v>0.1306573403587955</v>
      </c>
      <c r="O779">
        <v>0.12887174891870121</v>
      </c>
      <c r="P779">
        <v>1.8340952812432008E-2</v>
      </c>
      <c r="Q779">
        <v>9.1095859924982989E-4</v>
      </c>
      <c r="R779">
        <v>1.4438999364541575E-3</v>
      </c>
      <c r="S779">
        <v>0.11362256573816545</v>
      </c>
      <c r="T779">
        <v>1.0255508256381052</v>
      </c>
      <c r="U779">
        <v>0</v>
      </c>
      <c r="V779">
        <v>0.21173830414436265</v>
      </c>
      <c r="W779">
        <v>8.6155334910639231E-2</v>
      </c>
      <c r="X779">
        <v>2.9712400431334954E-2</v>
      </c>
      <c r="Y779">
        <v>3.9298196455420879E-3</v>
      </c>
    </row>
    <row r="780" spans="1:25" x14ac:dyDescent="0.25">
      <c r="A780" s="1095"/>
      <c r="B780" s="1454">
        <v>530</v>
      </c>
      <c r="C780" s="1099">
        <v>0.9887882489290748</v>
      </c>
      <c r="D780" s="1099">
        <v>1.0345386243005334</v>
      </c>
      <c r="E780" s="1099">
        <v>1.0218266871351236</v>
      </c>
      <c r="F780" s="1099">
        <v>1.0015814091525599</v>
      </c>
      <c r="G780" s="1099">
        <v>0.97462145187513693</v>
      </c>
      <c r="H780" s="1099">
        <v>0.97147768115435407</v>
      </c>
      <c r="I780" s="1099">
        <v>0.98941781340115453</v>
      </c>
      <c r="K780">
        <v>1.7287818530205952</v>
      </c>
      <c r="L780">
        <v>0</v>
      </c>
      <c r="M780">
        <v>1.264714503594735E-3</v>
      </c>
      <c r="N780">
        <v>0.12425065797678571</v>
      </c>
      <c r="O780">
        <v>0.12673630736962871</v>
      </c>
      <c r="P780">
        <v>1.8630141685393242E-2</v>
      </c>
      <c r="Q780">
        <v>9.1712882746870349E-4</v>
      </c>
      <c r="R780">
        <v>1.2613325662777345E-3</v>
      </c>
      <c r="S780">
        <v>0.10382558149546237</v>
      </c>
      <c r="T780">
        <v>1.0320429726679401</v>
      </c>
      <c r="U780">
        <v>0</v>
      </c>
      <c r="V780">
        <v>0.20806197568936027</v>
      </c>
      <c r="W780">
        <v>8.0581138462662322E-2</v>
      </c>
      <c r="X780">
        <v>3.0306399335971238E-2</v>
      </c>
      <c r="Y780">
        <v>3.4329314472392697E-3</v>
      </c>
    </row>
    <row r="781" spans="1:25" x14ac:dyDescent="0.25">
      <c r="A781" s="1095"/>
      <c r="B781" s="1454">
        <v>531</v>
      </c>
      <c r="C781" s="1099">
        <v>0.95823857064650786</v>
      </c>
      <c r="D781" s="1099">
        <v>1.0085893913536956</v>
      </c>
      <c r="E781" s="1099">
        <v>1.0108166488599069</v>
      </c>
      <c r="F781" s="1099">
        <v>0.98915470052281718</v>
      </c>
      <c r="G781" s="1099">
        <v>1.0168416589539004</v>
      </c>
      <c r="H781" s="1099">
        <v>1.0329518124100912</v>
      </c>
      <c r="I781" s="1099">
        <v>0.99170273965706901</v>
      </c>
      <c r="K781">
        <v>1.753400312236004</v>
      </c>
      <c r="L781">
        <v>0</v>
      </c>
      <c r="M781">
        <v>1.4357454666081503E-3</v>
      </c>
      <c r="N781">
        <v>0.13646621351834506</v>
      </c>
      <c r="O781">
        <v>0.12853042790288202</v>
      </c>
      <c r="P781">
        <v>1.8503587509867442E-2</v>
      </c>
      <c r="Q781">
        <v>9.4527495273011113E-4</v>
      </c>
      <c r="R781">
        <v>1.4321384222575379E-3</v>
      </c>
      <c r="S781">
        <v>0.11320494986939178</v>
      </c>
      <c r="T781">
        <v>1.0195567935078838</v>
      </c>
      <c r="U781">
        <v>0</v>
      </c>
      <c r="V781">
        <v>0.2128800300447653</v>
      </c>
      <c r="W781">
        <v>8.9076972684008271E-2</v>
      </c>
      <c r="X781">
        <v>3.0341860609399644E-2</v>
      </c>
      <c r="Y781">
        <v>3.8978086810810002E-3</v>
      </c>
    </row>
    <row r="782" spans="1:25" x14ac:dyDescent="0.25">
      <c r="A782" s="1095"/>
      <c r="B782" s="1454">
        <v>532</v>
      </c>
      <c r="C782" s="1099">
        <v>1.0012849552508447</v>
      </c>
      <c r="D782" s="1099">
        <v>0.99703779609716514</v>
      </c>
      <c r="E782" s="1099">
        <v>0.96411995167749687</v>
      </c>
      <c r="F782" s="1099">
        <v>1.0136911682723018</v>
      </c>
      <c r="G782" s="1099">
        <v>1.0115319884919927</v>
      </c>
      <c r="H782" s="1099">
        <v>0.99377547309068581</v>
      </c>
      <c r="I782" s="1099">
        <v>1.0448069705549152</v>
      </c>
      <c r="K782">
        <v>1.752509407406895</v>
      </c>
      <c r="L782">
        <v>0</v>
      </c>
      <c r="M782">
        <v>1.4745557535247448E-3</v>
      </c>
      <c r="N782">
        <v>0.12168798787483731</v>
      </c>
      <c r="O782">
        <v>0.12846162492599231</v>
      </c>
      <c r="P782">
        <v>1.8173908751561125E-2</v>
      </c>
      <c r="Q782">
        <v>8.6557912663439058E-4</v>
      </c>
      <c r="R782">
        <v>1.4707358491368443E-3</v>
      </c>
      <c r="S782">
        <v>0.11244281663647127</v>
      </c>
      <c r="T782">
        <v>1.0462722762571828</v>
      </c>
      <c r="U782">
        <v>0</v>
      </c>
      <c r="V782">
        <v>0.21035443231663664</v>
      </c>
      <c r="W782">
        <v>8.1688753748147921E-2</v>
      </c>
      <c r="X782">
        <v>2.8562989520408682E-2</v>
      </c>
      <c r="Y782">
        <v>4.0028581534081228E-3</v>
      </c>
    </row>
    <row r="783" spans="1:25" x14ac:dyDescent="0.25">
      <c r="A783" s="1095"/>
      <c r="B783" s="1454">
        <v>533</v>
      </c>
      <c r="C783" s="1099">
        <v>0.98832636628751469</v>
      </c>
      <c r="D783" s="1099">
        <v>1.0194289484315719</v>
      </c>
      <c r="E783" s="1099">
        <v>1.0007926094223989</v>
      </c>
      <c r="F783" s="1099">
        <v>0.97885344323978607</v>
      </c>
      <c r="G783" s="1099">
        <v>1.0121133276841199</v>
      </c>
      <c r="H783" s="1099">
        <v>1.02539766357738</v>
      </c>
      <c r="I783" s="1099">
        <v>0.99214954578489201</v>
      </c>
      <c r="K783">
        <v>1.7192846645478759</v>
      </c>
      <c r="L783">
        <v>0</v>
      </c>
      <c r="M783">
        <v>1.4044843216592139E-3</v>
      </c>
      <c r="N783">
        <v>0.12951178598102972</v>
      </c>
      <c r="O783">
        <v>0.12561444761704496</v>
      </c>
      <c r="P783">
        <v>1.8111981393515685E-2</v>
      </c>
      <c r="Q783">
        <v>9.0318080297999538E-4</v>
      </c>
      <c r="R783">
        <v>1.4009287775227025E-3</v>
      </c>
      <c r="S783">
        <v>0.10866908944227227</v>
      </c>
      <c r="T783">
        <v>1.0092289121170754</v>
      </c>
      <c r="U783">
        <v>0</v>
      </c>
      <c r="V783">
        <v>0.20910167431258522</v>
      </c>
      <c r="W783">
        <v>8.5040381261179604E-2</v>
      </c>
      <c r="X783">
        <v>2.9293900847957553E-2</v>
      </c>
      <c r="Y783">
        <v>3.8128663163694014E-3</v>
      </c>
    </row>
    <row r="784" spans="1:25" x14ac:dyDescent="0.25">
      <c r="A784" s="1095"/>
      <c r="B784" s="1454">
        <v>534</v>
      </c>
      <c r="C784" s="1099">
        <v>0.99415858306747129</v>
      </c>
      <c r="D784" s="1099">
        <v>0.99722239733272255</v>
      </c>
      <c r="E784" s="1099">
        <v>1.0186660309308473</v>
      </c>
      <c r="F784" s="1099">
        <v>0.98724989857984202</v>
      </c>
      <c r="G784" s="1099">
        <v>0.99499573846083011</v>
      </c>
      <c r="H784" s="1099">
        <v>1.0042432058951427</v>
      </c>
      <c r="I784" s="1099">
        <v>0.98528967519117816</v>
      </c>
      <c r="K784">
        <v>1.7285309640354709</v>
      </c>
      <c r="L784">
        <v>0</v>
      </c>
      <c r="M784">
        <v>1.3363910370964857E-3</v>
      </c>
      <c r="N784">
        <v>0.13005997414486142</v>
      </c>
      <c r="O784">
        <v>0.1270260256329882</v>
      </c>
      <c r="P784">
        <v>1.8445531530792914E-2</v>
      </c>
      <c r="Q784">
        <v>9.226816833399447E-4</v>
      </c>
      <c r="R784">
        <v>1.3329550525844123E-3</v>
      </c>
      <c r="S784">
        <v>0.10740406109561401</v>
      </c>
      <c r="T784">
        <v>1.0173664755432892</v>
      </c>
      <c r="U784">
        <v>0</v>
      </c>
      <c r="V784">
        <v>0.20892367923663785</v>
      </c>
      <c r="W784">
        <v>8.4504782057977471E-2</v>
      </c>
      <c r="X784">
        <v>3.0253324849861419E-2</v>
      </c>
      <c r="Y784">
        <v>3.6278642446197799E-3</v>
      </c>
    </row>
    <row r="785" spans="1:25" x14ac:dyDescent="0.25">
      <c r="A785" s="1095"/>
      <c r="B785" s="1454">
        <v>535</v>
      </c>
      <c r="C785" s="1099">
        <v>1.0004605609867165</v>
      </c>
      <c r="D785" s="1099">
        <v>0.9815424787555671</v>
      </c>
      <c r="E785" s="1099">
        <v>0.99282944641046378</v>
      </c>
      <c r="F785" s="1099">
        <v>1.0041796976295416</v>
      </c>
      <c r="G785" s="1099">
        <v>1.0247749282564977</v>
      </c>
      <c r="H785" s="1099">
        <v>0.99697160396919449</v>
      </c>
      <c r="I785" s="1099">
        <v>0.98522093646073117</v>
      </c>
      <c r="K785">
        <v>1.745584502401373</v>
      </c>
      <c r="L785">
        <v>0</v>
      </c>
      <c r="M785">
        <v>1.4068845338040688E-3</v>
      </c>
      <c r="N785">
        <v>0.12664271781385636</v>
      </c>
      <c r="O785">
        <v>0.12861881846082174</v>
      </c>
      <c r="P785">
        <v>1.8371541159390683E-2</v>
      </c>
      <c r="Q785">
        <v>8.9838502924496748E-4</v>
      </c>
      <c r="R785">
        <v>1.4032591352275878E-3</v>
      </c>
      <c r="S785">
        <v>0.10736022500510786</v>
      </c>
      <c r="T785">
        <v>1.035579552009297</v>
      </c>
      <c r="U785">
        <v>0</v>
      </c>
      <c r="V785">
        <v>0.21112272222990502</v>
      </c>
      <c r="W785">
        <v>8.3551985377302129E-2</v>
      </c>
      <c r="X785">
        <v>2.9622971933183459E-2</v>
      </c>
      <c r="Y785">
        <v>3.8192087818398881E-3</v>
      </c>
    </row>
    <row r="786" spans="1:25" x14ac:dyDescent="0.25">
      <c r="A786" s="1095"/>
      <c r="B786" s="1454">
        <v>536</v>
      </c>
      <c r="C786" s="1099">
        <v>0.97147498547385736</v>
      </c>
      <c r="D786" s="1099">
        <v>1.0440144402022131</v>
      </c>
      <c r="E786" s="1099">
        <v>0.99486444663047535</v>
      </c>
      <c r="F786" s="1099">
        <v>0.95733634683377644</v>
      </c>
      <c r="G786" s="1099">
        <v>0.9777568653251294</v>
      </c>
      <c r="H786" s="1099">
        <v>1.0344923734314082</v>
      </c>
      <c r="I786" s="1099">
        <v>0.97905923265290518</v>
      </c>
      <c r="K786">
        <v>1.6925355439639163</v>
      </c>
      <c r="L786">
        <v>0</v>
      </c>
      <c r="M786">
        <v>1.434298007559085E-3</v>
      </c>
      <c r="N786">
        <v>0.12991322962580626</v>
      </c>
      <c r="O786">
        <v>0.12374681737940779</v>
      </c>
      <c r="P786">
        <v>1.7694231311972623E-2</v>
      </c>
      <c r="Q786">
        <v>9.0454717724974701E-4</v>
      </c>
      <c r="R786">
        <v>1.4306707895780796E-3</v>
      </c>
      <c r="S786">
        <v>0.10788300358758267</v>
      </c>
      <c r="T786">
        <v>0.98721317857987378</v>
      </c>
      <c r="U786">
        <v>0</v>
      </c>
      <c r="V786">
        <v>0.20705131032153576</v>
      </c>
      <c r="W786">
        <v>8.5605584302397536E-2</v>
      </c>
      <c r="X786">
        <v>2.8633454627337129E-2</v>
      </c>
      <c r="Y786">
        <v>3.8938142687324996E-3</v>
      </c>
    </row>
    <row r="787" spans="1:25" x14ac:dyDescent="0.25">
      <c r="A787" s="1095"/>
      <c r="B787" s="1454">
        <v>537</v>
      </c>
      <c r="C787" s="1099">
        <v>1.0064365383921641</v>
      </c>
      <c r="D787" s="1099">
        <v>0.98129827781477741</v>
      </c>
      <c r="E787" s="1099">
        <v>0.99266875957265321</v>
      </c>
      <c r="F787" s="1099">
        <v>0.96977958643961437</v>
      </c>
      <c r="G787" s="1099">
        <v>1.0375226756698823</v>
      </c>
      <c r="H787" s="1099">
        <v>0.97474140567741663</v>
      </c>
      <c r="I787" s="1099">
        <v>0.99186411644438088</v>
      </c>
      <c r="K787">
        <v>1.6960455691801992</v>
      </c>
      <c r="L787">
        <v>0</v>
      </c>
      <c r="M787">
        <v>1.3644579523284745E-3</v>
      </c>
      <c r="N787">
        <v>0.12275592331945794</v>
      </c>
      <c r="O787">
        <v>0.12567964895277867</v>
      </c>
      <c r="P787">
        <v>1.78431770857971E-2</v>
      </c>
      <c r="Q787">
        <v>8.9299016320991019E-4</v>
      </c>
      <c r="R787">
        <v>1.3608525216033016E-3</v>
      </c>
      <c r="S787">
        <v>0.10573441474974281</v>
      </c>
      <c r="T787">
        <v>1.000108444314717</v>
      </c>
      <c r="U787">
        <v>0</v>
      </c>
      <c r="V787">
        <v>0.20943233939589895</v>
      </c>
      <c r="W787">
        <v>8.0995468933029655E-2</v>
      </c>
      <c r="X787">
        <v>2.8902975737400957E-2</v>
      </c>
      <c r="Y787">
        <v>3.7037919588910058E-3</v>
      </c>
    </row>
    <row r="788" spans="1:25" x14ac:dyDescent="0.25">
      <c r="A788" s="1095"/>
      <c r="B788" s="1454">
        <v>538</v>
      </c>
      <c r="C788" s="1099">
        <v>1.0018797407053439</v>
      </c>
      <c r="D788" s="1099">
        <v>1.0007392509108919</v>
      </c>
      <c r="E788" s="1099">
        <v>1.0277188830739352</v>
      </c>
      <c r="F788" s="1099">
        <v>0.9872655185832161</v>
      </c>
      <c r="G788" s="1099">
        <v>1.0028157643421487</v>
      </c>
      <c r="H788" s="1099">
        <v>1.0035970154212663</v>
      </c>
      <c r="I788" s="1099">
        <v>0.98724801008239416</v>
      </c>
      <c r="K788">
        <v>1.726091144220874</v>
      </c>
      <c r="L788">
        <v>0</v>
      </c>
      <c r="M788">
        <v>1.2986601774362919E-3</v>
      </c>
      <c r="N788">
        <v>0.12988617485363935</v>
      </c>
      <c r="O788">
        <v>0.12650676567551752</v>
      </c>
      <c r="P788">
        <v>1.8548079108997469E-2</v>
      </c>
      <c r="Q788">
        <v>9.2279837181370912E-4</v>
      </c>
      <c r="R788">
        <v>1.2953190315507018E-3</v>
      </c>
      <c r="S788">
        <v>0.10657279752115401</v>
      </c>
      <c r="T788">
        <v>1.0171230320466969</v>
      </c>
      <c r="U788">
        <v>0</v>
      </c>
      <c r="V788">
        <v>0.20857120902246915</v>
      </c>
      <c r="W788">
        <v>8.3947179974864755E-2</v>
      </c>
      <c r="X788">
        <v>3.0491017389527746E-2</v>
      </c>
      <c r="Y788">
        <v>3.52543140207702E-3</v>
      </c>
    </row>
    <row r="789" spans="1:25" x14ac:dyDescent="0.25">
      <c r="A789" s="1095"/>
      <c r="B789" s="1454">
        <v>539</v>
      </c>
      <c r="C789" s="1099">
        <v>1.006727396286855</v>
      </c>
      <c r="D789" s="1099">
        <v>0.99863876558890508</v>
      </c>
      <c r="E789" s="1099">
        <v>0.99064218899278123</v>
      </c>
      <c r="F789" s="1099">
        <v>1.0105908304955857</v>
      </c>
      <c r="G789" s="1099">
        <v>0.98729692999417606</v>
      </c>
      <c r="H789" s="1099">
        <v>1.0396291682587773</v>
      </c>
      <c r="I789" s="1099">
        <v>1.0035391695616533</v>
      </c>
      <c r="K789">
        <v>1.757668003382078</v>
      </c>
      <c r="L789">
        <v>0</v>
      </c>
      <c r="M789">
        <v>1.4512985306981863E-3</v>
      </c>
      <c r="N789">
        <v>0.12979278638581387</v>
      </c>
      <c r="O789">
        <v>0.12797738673744927</v>
      </c>
      <c r="P789">
        <v>1.8440983238541105E-2</v>
      </c>
      <c r="Q789">
        <v>8.8462994750034885E-4</v>
      </c>
      <c r="R789">
        <v>1.4477042500146921E-3</v>
      </c>
      <c r="S789">
        <v>0.1105697980409078</v>
      </c>
      <c r="T789">
        <v>1.0422574089648289</v>
      </c>
      <c r="U789">
        <v>0</v>
      </c>
      <c r="V789">
        <v>0.20858994468681552</v>
      </c>
      <c r="W789">
        <v>8.5742350224455255E-2</v>
      </c>
      <c r="X789">
        <v>2.9476135703486006E-2</v>
      </c>
      <c r="Y789">
        <v>3.9401737329622342E-3</v>
      </c>
    </row>
    <row r="790" spans="1:25" x14ac:dyDescent="0.25">
      <c r="A790" s="1095"/>
      <c r="B790" s="1454">
        <v>540</v>
      </c>
      <c r="C790" s="1099">
        <v>0.97725791441226995</v>
      </c>
      <c r="D790" s="1099">
        <v>0.9817766012882686</v>
      </c>
      <c r="E790" s="1099">
        <v>1.0363011835259179</v>
      </c>
      <c r="F790" s="1099">
        <v>1.0179127240408974</v>
      </c>
      <c r="G790" s="1099">
        <v>0.97971011310618761</v>
      </c>
      <c r="H790" s="1099">
        <v>0.96629874376656044</v>
      </c>
      <c r="I790" s="1099">
        <v>1.025280363183974</v>
      </c>
      <c r="K790">
        <v>1.7737560756907744</v>
      </c>
      <c r="L790">
        <v>0</v>
      </c>
      <c r="M790">
        <v>1.2741639517993438E-3</v>
      </c>
      <c r="N790">
        <v>0.13076416158568996</v>
      </c>
      <c r="O790">
        <v>0.13107085710810815</v>
      </c>
      <c r="P790">
        <v>1.9225377365411946E-2</v>
      </c>
      <c r="Q790">
        <v>9.6169175772333197E-4</v>
      </c>
      <c r="R790">
        <v>1.2707735117675118E-3</v>
      </c>
      <c r="S790">
        <v>0.11211001417718575</v>
      </c>
      <c r="T790">
        <v>1.0484456748012345</v>
      </c>
      <c r="U790">
        <v>0</v>
      </c>
      <c r="V790">
        <v>0.21179379994629258</v>
      </c>
      <c r="W790">
        <v>8.409530432116552E-2</v>
      </c>
      <c r="X790">
        <v>3.1833958479339362E-2</v>
      </c>
      <c r="Y790">
        <v>3.4586265886555967E-3</v>
      </c>
    </row>
    <row r="791" spans="1:25" x14ac:dyDescent="0.25">
      <c r="A791" s="1095"/>
      <c r="B791" s="1454">
        <v>541</v>
      </c>
      <c r="C791" s="1099">
        <v>1.0093843443927455</v>
      </c>
      <c r="D791" s="1099">
        <v>1.0397124067926469</v>
      </c>
      <c r="E791" s="1099">
        <v>1.0310210455388935</v>
      </c>
      <c r="F791" s="1099">
        <v>1.0194335822564542</v>
      </c>
      <c r="G791" s="1099">
        <v>0.98671817890026181</v>
      </c>
      <c r="H791" s="1099">
        <v>1.0080362974471346</v>
      </c>
      <c r="I791" s="1099">
        <v>0.97166969310290141</v>
      </c>
      <c r="K791">
        <v>1.7505582237375523</v>
      </c>
      <c r="L791">
        <v>0</v>
      </c>
      <c r="M791">
        <v>1.261313201678246E-3</v>
      </c>
      <c r="N791">
        <v>0.12741315660551933</v>
      </c>
      <c r="O791">
        <v>0.12681122703321562</v>
      </c>
      <c r="P791">
        <v>1.8980577417032428E-2</v>
      </c>
      <c r="Q791">
        <v>9.0509222502542931E-4</v>
      </c>
      <c r="R791">
        <v>1.2580695854806376E-3</v>
      </c>
      <c r="S791">
        <v>0.10219602324705779</v>
      </c>
      <c r="T791">
        <v>1.0501668009385903</v>
      </c>
      <c r="U791">
        <v>0</v>
      </c>
      <c r="V791">
        <v>0.20770808019598527</v>
      </c>
      <c r="W791">
        <v>8.2191059977612765E-2</v>
      </c>
      <c r="X791">
        <v>3.0765399024558923E-2</v>
      </c>
      <c r="Y791">
        <v>3.4240506891509001E-3</v>
      </c>
    </row>
    <row r="792" spans="1:25" x14ac:dyDescent="0.25">
      <c r="A792" s="1095"/>
      <c r="B792" s="1454">
        <v>542</v>
      </c>
      <c r="C792" s="1099">
        <v>1.0065902332340151</v>
      </c>
      <c r="D792" s="1099">
        <v>1.035753841173231</v>
      </c>
      <c r="E792" s="1099">
        <v>0.96246862779664721</v>
      </c>
      <c r="F792" s="1099">
        <v>1.0188528292972614</v>
      </c>
      <c r="G792" s="1099">
        <v>0.97812066743928849</v>
      </c>
      <c r="H792" s="1099">
        <v>1.005845085616329</v>
      </c>
      <c r="I792" s="1099">
        <v>0.99683912943528696</v>
      </c>
      <c r="K792">
        <v>1.7421865530524447</v>
      </c>
      <c r="L792">
        <v>0</v>
      </c>
      <c r="M792">
        <v>1.4577169920246249E-3</v>
      </c>
      <c r="N792">
        <v>0.11969982313949488</v>
      </c>
      <c r="O792">
        <v>0.12681128918726775</v>
      </c>
      <c r="P792">
        <v>1.8085666533313803E-2</v>
      </c>
      <c r="Q792">
        <v>8.4651657887815956E-4</v>
      </c>
      <c r="R792">
        <v>1.4539619185781434E-3</v>
      </c>
      <c r="S792">
        <v>0.10510024269975049</v>
      </c>
      <c r="T792">
        <v>1.0516517000477013</v>
      </c>
      <c r="U792">
        <v>0</v>
      </c>
      <c r="V792">
        <v>0.20741205084263839</v>
      </c>
      <c r="W792">
        <v>8.0435337681432725E-2</v>
      </c>
      <c r="X792">
        <v>2.8190476371459806E-2</v>
      </c>
      <c r="Y792">
        <v>3.9572050439520617E-3</v>
      </c>
    </row>
    <row r="793" spans="1:25" x14ac:dyDescent="0.25">
      <c r="A793" s="1095"/>
      <c r="B793" s="1454">
        <v>543</v>
      </c>
      <c r="C793" s="1099">
        <v>1.0261617721929603</v>
      </c>
      <c r="D793" s="1099">
        <v>1.0096162030980733</v>
      </c>
      <c r="E793" s="1099">
        <v>1.0105654444351679</v>
      </c>
      <c r="F793" s="1099">
        <v>0.98815554027799424</v>
      </c>
      <c r="G793" s="1099">
        <v>1.0389795935241342</v>
      </c>
      <c r="H793" s="1099">
        <v>0.99543099347320596</v>
      </c>
      <c r="I793" s="1099">
        <v>0.99742292025973844</v>
      </c>
      <c r="K793">
        <v>1.7117221360343873</v>
      </c>
      <c r="L793">
        <v>0</v>
      </c>
      <c r="M793">
        <v>1.2992077232509614E-3</v>
      </c>
      <c r="N793">
        <v>0.12338485683381108</v>
      </c>
      <c r="O793">
        <v>0.12488783954405087</v>
      </c>
      <c r="P793">
        <v>1.829476207904001E-2</v>
      </c>
      <c r="Q793">
        <v>8.8211809250427278E-4</v>
      </c>
      <c r="R793">
        <v>1.2958390475423342E-3</v>
      </c>
      <c r="S793">
        <v>0.10410948801630664</v>
      </c>
      <c r="T793">
        <v>1.0185342238826212</v>
      </c>
      <c r="U793">
        <v>0</v>
      </c>
      <c r="V793">
        <v>0.20806459445388714</v>
      </c>
      <c r="W793">
        <v>8.0550170802084958E-2</v>
      </c>
      <c r="X793">
        <v>2.9490604291605438E-2</v>
      </c>
      <c r="Y793">
        <v>3.5268467141830171E-3</v>
      </c>
    </row>
    <row r="794" spans="1:25" x14ac:dyDescent="0.25">
      <c r="A794" s="1095"/>
      <c r="B794" s="1454">
        <v>544</v>
      </c>
      <c r="C794" s="1099">
        <v>1.0007007841756017</v>
      </c>
      <c r="D794" s="1099">
        <v>0.98718214949896343</v>
      </c>
      <c r="E794" s="1099">
        <v>1.0237947011364632</v>
      </c>
      <c r="F794" s="1099">
        <v>0.97951550952066302</v>
      </c>
      <c r="G794" s="1099">
        <v>1.020742838005577</v>
      </c>
      <c r="H794" s="1099">
        <v>1.0224013563831484</v>
      </c>
      <c r="I794" s="1099">
        <v>1.0296652347541313</v>
      </c>
      <c r="K794">
        <v>1.7314145029772718</v>
      </c>
      <c r="L794">
        <v>0</v>
      </c>
      <c r="M794">
        <v>1.345090554023073E-3</v>
      </c>
      <c r="N794">
        <v>0.13295426595301585</v>
      </c>
      <c r="O794">
        <v>0.12657743129671567</v>
      </c>
      <c r="P794">
        <v>1.8495537363619412E-2</v>
      </c>
      <c r="Q794">
        <v>9.2521923115390008E-4</v>
      </c>
      <c r="R794">
        <v>1.3416995735676359E-3</v>
      </c>
      <c r="S794">
        <v>0.11351827861320633</v>
      </c>
      <c r="T794">
        <v>1.0092499719295025</v>
      </c>
      <c r="U794">
        <v>0</v>
      </c>
      <c r="V794">
        <v>0.20952675772358195</v>
      </c>
      <c r="W794">
        <v>8.612674581121893E-2</v>
      </c>
      <c r="X794">
        <v>3.0392022087607461E-2</v>
      </c>
      <c r="Y794">
        <v>3.6516639481055475E-3</v>
      </c>
    </row>
    <row r="795" spans="1:25" x14ac:dyDescent="0.25">
      <c r="A795" s="1095"/>
      <c r="B795" s="1454">
        <v>545</v>
      </c>
      <c r="C795" s="1099">
        <v>0.95830556352158291</v>
      </c>
      <c r="D795" s="1099">
        <v>0.95625973806862041</v>
      </c>
      <c r="E795" s="1099">
        <v>1.001915693232645</v>
      </c>
      <c r="F795" s="1099">
        <v>0.96862363823550879</v>
      </c>
      <c r="G795" s="1099">
        <v>0.99818700032560737</v>
      </c>
      <c r="H795" s="1099">
        <v>0.98507817112504548</v>
      </c>
      <c r="I795" s="1099">
        <v>0.97369418466337199</v>
      </c>
      <c r="K795">
        <v>1.7246081575532097</v>
      </c>
      <c r="L795">
        <v>0</v>
      </c>
      <c r="M795">
        <v>1.4358999495763811E-3</v>
      </c>
      <c r="N795">
        <v>0.13284774985489331</v>
      </c>
      <c r="O795">
        <v>0.12933479956529034</v>
      </c>
      <c r="P795">
        <v>1.8063494159146598E-2</v>
      </c>
      <c r="Q795">
        <v>9.5672878894273016E-4</v>
      </c>
      <c r="R795">
        <v>1.4321467390211119E-3</v>
      </c>
      <c r="S795">
        <v>0.11120970863080896</v>
      </c>
      <c r="T795">
        <v>0.99864936457909459</v>
      </c>
      <c r="U795">
        <v>0</v>
      </c>
      <c r="V795">
        <v>0.21247704569324158</v>
      </c>
      <c r="W795">
        <v>8.7172705978775453E-2</v>
      </c>
      <c r="X795">
        <v>3.0002482197002373E-2</v>
      </c>
      <c r="Y795">
        <v>3.8978313165698299E-3</v>
      </c>
    </row>
    <row r="796" spans="1:25" x14ac:dyDescent="0.25">
      <c r="A796" s="1095"/>
      <c r="B796" s="1454">
        <v>546</v>
      </c>
      <c r="C796" s="1099">
        <v>0.97437457609057199</v>
      </c>
      <c r="D796" s="1099">
        <v>1.0383694801595991</v>
      </c>
      <c r="E796" s="1099">
        <v>0.98235265609920186</v>
      </c>
      <c r="F796" s="1099">
        <v>0.97659399725715501</v>
      </c>
      <c r="G796" s="1099">
        <v>1.0251576220452407</v>
      </c>
      <c r="H796" s="1099">
        <v>0.98917027327842</v>
      </c>
      <c r="I796" s="1099">
        <v>0.96595453649841845</v>
      </c>
      <c r="K796">
        <v>1.7021198096515686</v>
      </c>
      <c r="L796">
        <v>0</v>
      </c>
      <c r="M796">
        <v>1.410515483449E-3</v>
      </c>
      <c r="N796">
        <v>0.12300262717063405</v>
      </c>
      <c r="O796">
        <v>0.12526734537865336</v>
      </c>
      <c r="P796">
        <v>1.7784627410836112E-2</v>
      </c>
      <c r="Q796">
        <v>8.9209392547784155E-4</v>
      </c>
      <c r="R796">
        <v>1.4067960871580549E-3</v>
      </c>
      <c r="S796">
        <v>0.10353605364024078</v>
      </c>
      <c r="T796">
        <v>1.0074392087524342</v>
      </c>
      <c r="U796">
        <v>0</v>
      </c>
      <c r="V796">
        <v>0.21022804207765339</v>
      </c>
      <c r="W796">
        <v>8.1662351956950582E-2</v>
      </c>
      <c r="X796">
        <v>2.8482343535939088E-2</v>
      </c>
      <c r="Y796">
        <v>3.8288351990387296E-3</v>
      </c>
    </row>
    <row r="797" spans="1:25" x14ac:dyDescent="0.25">
      <c r="A797" s="1095"/>
      <c r="B797" s="1454">
        <v>547</v>
      </c>
      <c r="C797" s="1099">
        <v>1.0363856927349155</v>
      </c>
      <c r="D797" s="1099">
        <v>1.0369379216636727</v>
      </c>
      <c r="E797" s="1099">
        <v>1.0038331459884231</v>
      </c>
      <c r="F797" s="1099">
        <v>1.0012741549725455</v>
      </c>
      <c r="G797" s="1099">
        <v>1.0134311060060015</v>
      </c>
      <c r="H797" s="1099">
        <v>1.0088825814464464</v>
      </c>
      <c r="I797" s="1099">
        <v>0.99087251991557213</v>
      </c>
      <c r="K797">
        <v>1.7167249688785757</v>
      </c>
      <c r="L797">
        <v>0</v>
      </c>
      <c r="M797">
        <v>1.3038285807844031E-3</v>
      </c>
      <c r="N797">
        <v>0.12133509119763922</v>
      </c>
      <c r="O797">
        <v>0.12413714386004954</v>
      </c>
      <c r="P797">
        <v>1.8328931793568797E-2</v>
      </c>
      <c r="Q797">
        <v>8.5814910866925437E-4</v>
      </c>
      <c r="R797">
        <v>1.3004821129907209E-3</v>
      </c>
      <c r="S797">
        <v>0.10171798455301509</v>
      </c>
      <c r="T797">
        <v>1.032255084734591</v>
      </c>
      <c r="U797">
        <v>0</v>
      </c>
      <c r="V797">
        <v>0.20589335480203189</v>
      </c>
      <c r="W797">
        <v>7.9527793373421585E-2</v>
      </c>
      <c r="X797">
        <v>2.9135298315635515E-2</v>
      </c>
      <c r="Y797">
        <v>3.5394836077474114E-3</v>
      </c>
    </row>
    <row r="798" spans="1:25" x14ac:dyDescent="0.25">
      <c r="A798" s="1095"/>
      <c r="B798" s="1454">
        <v>548</v>
      </c>
      <c r="C798" s="1099">
        <v>1.0174742458610426</v>
      </c>
      <c r="D798" s="1099">
        <v>1.036374649499056</v>
      </c>
      <c r="E798" s="1099">
        <v>0.99286465996698581</v>
      </c>
      <c r="F798" s="1099">
        <v>0.99657602052295302</v>
      </c>
      <c r="G798" s="1099">
        <v>1.0121113190211732</v>
      </c>
      <c r="H798" s="1099">
        <v>1.0084215624510589</v>
      </c>
      <c r="I798" s="1099">
        <v>0.96544207232018331</v>
      </c>
      <c r="K798">
        <v>1.7144412649948093</v>
      </c>
      <c r="L798">
        <v>0</v>
      </c>
      <c r="M798">
        <v>1.355979250387623E-3</v>
      </c>
      <c r="N798">
        <v>0.12207397457841095</v>
      </c>
      <c r="O798">
        <v>0.1247033472464566</v>
      </c>
      <c r="P798">
        <v>1.8122025908930712E-2</v>
      </c>
      <c r="Q798">
        <v>8.6439430681911069E-4</v>
      </c>
      <c r="R798">
        <v>1.3524914024059091E-3</v>
      </c>
      <c r="S798">
        <v>0.10081703687029651</v>
      </c>
      <c r="T798">
        <v>1.0277370636314047</v>
      </c>
      <c r="U798">
        <v>0</v>
      </c>
      <c r="V798">
        <v>0.20708642817849129</v>
      </c>
      <c r="W798">
        <v>8.0536081675900414E-2</v>
      </c>
      <c r="X798">
        <v>2.8823364697401301E-2</v>
      </c>
      <c r="Y798">
        <v>3.6810357486779057E-3</v>
      </c>
    </row>
    <row r="799" spans="1:25" x14ac:dyDescent="0.25">
      <c r="A799" s="1095"/>
      <c r="B799" s="1454">
        <v>549</v>
      </c>
      <c r="C799" s="1099">
        <v>1.014471246257896</v>
      </c>
      <c r="D799" s="1099">
        <v>0.97847851774553318</v>
      </c>
      <c r="E799" s="1099">
        <v>0.96221397432848144</v>
      </c>
      <c r="F799" s="1099">
        <v>1.0021882444777312</v>
      </c>
      <c r="G799" s="1099">
        <v>1.0116761328471022</v>
      </c>
      <c r="H799" s="1099">
        <v>0.99298307738372793</v>
      </c>
      <c r="I799" s="1099">
        <v>0.98786587330639619</v>
      </c>
      <c r="K799">
        <v>1.7311345469112822</v>
      </c>
      <c r="L799">
        <v>0</v>
      </c>
      <c r="M799">
        <v>1.4763595051979503E-3</v>
      </c>
      <c r="N799">
        <v>0.12113628365235916</v>
      </c>
      <c r="O799">
        <v>0.12776335731823493</v>
      </c>
      <c r="P799">
        <v>1.7891567232154206E-2</v>
      </c>
      <c r="Q799">
        <v>8.5904030421088374E-4</v>
      </c>
      <c r="R799">
        <v>1.4725458489644081E-3</v>
      </c>
      <c r="S799">
        <v>0.10610808114269731</v>
      </c>
      <c r="T799">
        <v>1.0344585237115107</v>
      </c>
      <c r="U799">
        <v>0</v>
      </c>
      <c r="V799">
        <v>0.20921860070088327</v>
      </c>
      <c r="W799">
        <v>8.1413298167966164E-2</v>
      </c>
      <c r="X799">
        <v>2.82818239612244E-2</v>
      </c>
      <c r="Y799">
        <v>4.0077843762724693E-3</v>
      </c>
    </row>
    <row r="800" spans="1:25" x14ac:dyDescent="0.25">
      <c r="A800" s="1095"/>
      <c r="B800" s="1454">
        <v>550</v>
      </c>
      <c r="C800" s="1099">
        <v>1.0176920453480751</v>
      </c>
      <c r="D800" s="1099">
        <v>0.97581254882425805</v>
      </c>
      <c r="E800" s="1099">
        <v>0.9950158214167435</v>
      </c>
      <c r="F800" s="1099">
        <v>1.0107730128334915</v>
      </c>
      <c r="G800" s="1099">
        <v>1.0086480817754486</v>
      </c>
      <c r="H800" s="1099">
        <v>0.97184818025467912</v>
      </c>
      <c r="I800" s="1099">
        <v>1.0037790168811771</v>
      </c>
      <c r="K800">
        <v>1.7420782116878766</v>
      </c>
      <c r="L800">
        <v>0</v>
      </c>
      <c r="M800">
        <v>1.349467046598129E-3</v>
      </c>
      <c r="N800">
        <v>0.12227245948255966</v>
      </c>
      <c r="O800">
        <v>0.12851311289162837</v>
      </c>
      <c r="P800">
        <v>1.8455866577636263E-2</v>
      </c>
      <c r="Q800">
        <v>8.8725989792821773E-4</v>
      </c>
      <c r="R800">
        <v>1.3459108261001951E-3</v>
      </c>
      <c r="S800">
        <v>0.10630408096156493</v>
      </c>
      <c r="T800">
        <v>1.0423129401854296</v>
      </c>
      <c r="U800">
        <v>0</v>
      </c>
      <c r="V800">
        <v>0.20943384780093832</v>
      </c>
      <c r="W800">
        <v>8.0563464682042063E-2</v>
      </c>
      <c r="X800">
        <v>2.9675609839383953E-2</v>
      </c>
      <c r="Y800">
        <v>3.6631255892601486E-3</v>
      </c>
    </row>
    <row r="801" spans="1:25" x14ac:dyDescent="0.25">
      <c r="A801" s="1095"/>
      <c r="B801" s="1454">
        <v>551</v>
      </c>
      <c r="C801" s="1099">
        <v>0.97279362409195513</v>
      </c>
      <c r="D801" s="1099">
        <v>1.0057159500522501</v>
      </c>
      <c r="E801" s="1099">
        <v>1.0037618293803012</v>
      </c>
      <c r="F801" s="1099">
        <v>0.98141282293058707</v>
      </c>
      <c r="G801" s="1099">
        <v>1.0168828801306191</v>
      </c>
      <c r="H801" s="1099">
        <v>1.0297016909725167</v>
      </c>
      <c r="I801" s="1099">
        <v>1.0149042540414817</v>
      </c>
      <c r="K801">
        <v>1.7381216345271369</v>
      </c>
      <c r="L801">
        <v>0</v>
      </c>
      <c r="M801">
        <v>1.4338499257381674E-3</v>
      </c>
      <c r="N801">
        <v>0.13341280012095316</v>
      </c>
      <c r="O801">
        <v>0.12725153697462724</v>
      </c>
      <c r="P801">
        <v>1.8290669172192405E-2</v>
      </c>
      <c r="Q801">
        <v>9.2542743320444903E-4</v>
      </c>
      <c r="R801">
        <v>1.4302402965065586E-3</v>
      </c>
      <c r="S801">
        <v>0.11411593757988239</v>
      </c>
      <c r="T801">
        <v>1.0117812858913739</v>
      </c>
      <c r="U801">
        <v>0</v>
      </c>
      <c r="V801">
        <v>0.21123241712068058</v>
      </c>
      <c r="W801">
        <v>8.7447694514262417E-2</v>
      </c>
      <c r="X801">
        <v>2.9774832740686822E-2</v>
      </c>
      <c r="Y801">
        <v>3.8926426085038224E-3</v>
      </c>
    </row>
    <row r="802" spans="1:25" x14ac:dyDescent="0.25">
      <c r="A802" s="1095"/>
      <c r="B802" s="1454">
        <v>552</v>
      </c>
      <c r="C802" s="1099">
        <v>1.0043543577090379</v>
      </c>
      <c r="D802" s="1099">
        <v>0.98417011563443724</v>
      </c>
      <c r="E802" s="1099">
        <v>1.014901163010433</v>
      </c>
      <c r="F802" s="1099">
        <v>0.97366619660910947</v>
      </c>
      <c r="G802" s="1099">
        <v>1.0015978404450123</v>
      </c>
      <c r="H802" s="1099">
        <v>1.0308808119023771</v>
      </c>
      <c r="I802" s="1099">
        <v>1.0229024953208263</v>
      </c>
      <c r="K802">
        <v>1.7226298396725852</v>
      </c>
      <c r="L802">
        <v>0</v>
      </c>
      <c r="M802">
        <v>1.3787127015887474E-3</v>
      </c>
      <c r="N802">
        <v>0.13267262171476268</v>
      </c>
      <c r="O802">
        <v>0.12604381198831291</v>
      </c>
      <c r="P802">
        <v>1.8270251941081193E-2</v>
      </c>
      <c r="Q802">
        <v>9.1459569756255766E-4</v>
      </c>
      <c r="R802">
        <v>1.3752667514141262E-3</v>
      </c>
      <c r="S802">
        <v>0.11314981790580364</v>
      </c>
      <c r="T802">
        <v>1.0034755400949191</v>
      </c>
      <c r="U802">
        <v>0</v>
      </c>
      <c r="V802">
        <v>0.20805135963783489</v>
      </c>
      <c r="W802">
        <v>8.6392880633683444E-2</v>
      </c>
      <c r="X802">
        <v>2.9919383268013258E-2</v>
      </c>
      <c r="Y802">
        <v>3.7430227407864911E-3</v>
      </c>
    </row>
    <row r="803" spans="1:25" x14ac:dyDescent="0.25">
      <c r="A803" s="1095"/>
      <c r="B803" s="1454">
        <v>553</v>
      </c>
      <c r="C803" s="1099">
        <v>1.0066173421812949</v>
      </c>
      <c r="D803" s="1099">
        <v>1.0046712918116629</v>
      </c>
      <c r="E803" s="1099">
        <v>1.0192862906656024</v>
      </c>
      <c r="F803" s="1099">
        <v>1.0132516732797321</v>
      </c>
      <c r="G803" s="1099">
        <v>0.959215137883351</v>
      </c>
      <c r="H803" s="1099">
        <v>0.99804449475634482</v>
      </c>
      <c r="I803" s="1099">
        <v>0.9631459343985288</v>
      </c>
      <c r="K803">
        <v>1.7466405553365554</v>
      </c>
      <c r="L803">
        <v>0</v>
      </c>
      <c r="M803">
        <v>1.3085766345169803E-3</v>
      </c>
      <c r="N803">
        <v>0.12759014813542152</v>
      </c>
      <c r="O803">
        <v>0.12801875600590226</v>
      </c>
      <c r="P803">
        <v>1.8740932492964723E-2</v>
      </c>
      <c r="Q803">
        <v>9.0913181805393013E-4</v>
      </c>
      <c r="R803">
        <v>1.305197626085258E-3</v>
      </c>
      <c r="S803">
        <v>0.10302217012467242</v>
      </c>
      <c r="T803">
        <v>1.0441431191785124</v>
      </c>
      <c r="U803">
        <v>0</v>
      </c>
      <c r="V803">
        <v>0.20727738820438857</v>
      </c>
      <c r="W803">
        <v>8.2869942693106213E-2</v>
      </c>
      <c r="X803">
        <v>3.052002801204335E-2</v>
      </c>
      <c r="Y803">
        <v>3.5523176799222679E-3</v>
      </c>
    </row>
    <row r="804" spans="1:25" x14ac:dyDescent="0.25">
      <c r="A804" s="1095"/>
      <c r="B804" s="1454">
        <v>554</v>
      </c>
      <c r="C804" s="1099">
        <v>1.0080118704358851</v>
      </c>
      <c r="D804" s="1099">
        <v>1.0094983583179937</v>
      </c>
      <c r="E804" s="1099">
        <v>1.0122470153597714</v>
      </c>
      <c r="F804" s="1099">
        <v>1.0173866991674148</v>
      </c>
      <c r="G804" s="1099">
        <v>0.95358359953780958</v>
      </c>
      <c r="H804" s="1099">
        <v>0.98420721085450968</v>
      </c>
      <c r="I804" s="1099">
        <v>0.9557349652454793</v>
      </c>
      <c r="K804">
        <v>1.7435265370046487</v>
      </c>
      <c r="L804">
        <v>0</v>
      </c>
      <c r="M804">
        <v>1.3045471579755902E-3</v>
      </c>
      <c r="N804">
        <v>0.12451908004170587</v>
      </c>
      <c r="O804">
        <v>0.12800936870108862</v>
      </c>
      <c r="P804">
        <v>1.8671668969723634E-2</v>
      </c>
      <c r="Q804">
        <v>8.9960070717550822E-4</v>
      </c>
      <c r="R804">
        <v>1.3011296294647187E-3</v>
      </c>
      <c r="S804">
        <v>0.10089038904471379</v>
      </c>
      <c r="T804">
        <v>1.0486137535623063</v>
      </c>
      <c r="U804">
        <v>0</v>
      </c>
      <c r="V804">
        <v>0.20693948514367197</v>
      </c>
      <c r="W804">
        <v>8.1210156167270356E-2</v>
      </c>
      <c r="X804">
        <v>3.0235206261365517E-2</v>
      </c>
      <c r="Y804">
        <v>3.5412459341358851E-3</v>
      </c>
    </row>
    <row r="805" spans="1:25" x14ac:dyDescent="0.25">
      <c r="A805" s="1095"/>
      <c r="B805" s="1454">
        <v>555</v>
      </c>
      <c r="C805" s="1099">
        <v>0.99166286373093293</v>
      </c>
      <c r="D805" s="1099">
        <v>1.0208040773292124</v>
      </c>
      <c r="E805" s="1099">
        <v>0.95717214944983398</v>
      </c>
      <c r="F805" s="1099">
        <v>0.99396957431978361</v>
      </c>
      <c r="G805" s="1099">
        <v>0.99620078488487618</v>
      </c>
      <c r="H805" s="1099">
        <v>0.99339385312110406</v>
      </c>
      <c r="I805" s="1099">
        <v>1.0029591401272029</v>
      </c>
      <c r="K805">
        <v>1.7197230977207245</v>
      </c>
      <c r="L805">
        <v>0</v>
      </c>
      <c r="M805">
        <v>1.4852625736410338E-3</v>
      </c>
      <c r="N805">
        <v>0.12001591569504509</v>
      </c>
      <c r="O805">
        <v>0.12636191195636368</v>
      </c>
      <c r="P805">
        <v>1.7719217648998239E-2</v>
      </c>
      <c r="Q805">
        <v>8.5943496038768166E-4</v>
      </c>
      <c r="R805">
        <v>1.4813866641967155E-3</v>
      </c>
      <c r="S805">
        <v>0.10720070100472939</v>
      </c>
      <c r="T805">
        <v>1.026130233016783</v>
      </c>
      <c r="U805">
        <v>0</v>
      </c>
      <c r="V805">
        <v>0.20867610296996092</v>
      </c>
      <c r="W805">
        <v>8.0910260186375871E-2</v>
      </c>
      <c r="X805">
        <v>2.782135003056144E-2</v>
      </c>
      <c r="Y805">
        <v>4.0318461609608518E-3</v>
      </c>
    </row>
    <row r="806" spans="1:25" x14ac:dyDescent="0.25">
      <c r="A806" s="1095"/>
      <c r="B806" s="1454">
        <v>556</v>
      </c>
      <c r="C806" s="1099">
        <v>1.0062239703906257</v>
      </c>
      <c r="D806" s="1099">
        <v>0.98982615916861161</v>
      </c>
      <c r="E806" s="1099">
        <v>1.0125456899069936</v>
      </c>
      <c r="F806" s="1099">
        <v>0.98082272057255704</v>
      </c>
      <c r="G806" s="1099">
        <v>1.0238240751059788</v>
      </c>
      <c r="H806" s="1099">
        <v>1.0305456766473489</v>
      </c>
      <c r="I806" s="1099">
        <v>0.99929580863600065</v>
      </c>
      <c r="K806">
        <v>1.7268049545436539</v>
      </c>
      <c r="L806">
        <v>0</v>
      </c>
      <c r="M806">
        <v>1.3789338862609409E-3</v>
      </c>
      <c r="N806">
        <v>0.13175370775211126</v>
      </c>
      <c r="O806">
        <v>0.12623238591265618</v>
      </c>
      <c r="P806">
        <v>1.8312734911968186E-2</v>
      </c>
      <c r="Q806">
        <v>9.0860067385179725E-4</v>
      </c>
      <c r="R806">
        <v>1.3754853703638694E-3</v>
      </c>
      <c r="S806">
        <v>0.10997508971297934</v>
      </c>
      <c r="T806">
        <v>1.0109189016983133</v>
      </c>
      <c r="U806">
        <v>0</v>
      </c>
      <c r="V806">
        <v>0.20917148102586014</v>
      </c>
      <c r="W806">
        <v>8.5913407376866452E-2</v>
      </c>
      <c r="X806">
        <v>2.9878476245442546E-2</v>
      </c>
      <c r="Y806">
        <v>3.7436177494999741E-3</v>
      </c>
    </row>
    <row r="807" spans="1:25" x14ac:dyDescent="0.25">
      <c r="A807" s="1095"/>
      <c r="B807" s="1454">
        <v>557</v>
      </c>
      <c r="C807" s="1099">
        <v>1.0280242834520419</v>
      </c>
      <c r="D807" s="1099">
        <v>1.0034678106794102</v>
      </c>
      <c r="E807" s="1099">
        <v>0.97322754553221014</v>
      </c>
      <c r="F807" s="1099">
        <v>1.0294344415005023</v>
      </c>
      <c r="G807" s="1099">
        <v>1.0107221848318455</v>
      </c>
      <c r="H807" s="1099">
        <v>1.0014066247259945</v>
      </c>
      <c r="I807" s="1099">
        <v>1.003685740586193</v>
      </c>
      <c r="K807">
        <v>1.7573515543514355</v>
      </c>
      <c r="L807">
        <v>0</v>
      </c>
      <c r="M807">
        <v>1.419726134823885E-3</v>
      </c>
      <c r="N807">
        <v>0.12044249196190314</v>
      </c>
      <c r="O807">
        <v>0.12800719607916625</v>
      </c>
      <c r="P807">
        <v>1.8401235160922076E-2</v>
      </c>
      <c r="Q807">
        <v>8.4901357849538508E-4</v>
      </c>
      <c r="R807">
        <v>1.4160842507915808E-3</v>
      </c>
      <c r="S807">
        <v>0.10555804466058501</v>
      </c>
      <c r="T807">
        <v>1.0622340656436198</v>
      </c>
      <c r="U807">
        <v>0</v>
      </c>
      <c r="V807">
        <v>0.20875295366868712</v>
      </c>
      <c r="W807">
        <v>8.0405244082487726E-2</v>
      </c>
      <c r="X807">
        <v>2.8850836880991822E-2</v>
      </c>
      <c r="Y807">
        <v>3.8541145186068676E-3</v>
      </c>
    </row>
    <row r="808" spans="1:25" x14ac:dyDescent="0.25">
      <c r="A808" s="1095"/>
      <c r="B808" s="1454">
        <v>558</v>
      </c>
      <c r="C808" s="1099">
        <v>1.0349971150391268</v>
      </c>
      <c r="D808" s="1099">
        <v>0.99602988808489701</v>
      </c>
      <c r="E808" s="1099">
        <v>0.96664679038940704</v>
      </c>
      <c r="F808" s="1099">
        <v>1.0062880832033838</v>
      </c>
      <c r="G808" s="1099">
        <v>1.0037230357703182</v>
      </c>
      <c r="H808" s="1099">
        <v>1.0233752595650714</v>
      </c>
      <c r="I808" s="1099">
        <v>0.96549163302105701</v>
      </c>
      <c r="K808">
        <v>1.7287936390872385</v>
      </c>
      <c r="L808">
        <v>0</v>
      </c>
      <c r="M808">
        <v>1.465283469721563E-3</v>
      </c>
      <c r="N808">
        <v>0.12186168335088624</v>
      </c>
      <c r="O808">
        <v>0.12625002557264742</v>
      </c>
      <c r="P808">
        <v>1.7930105846871793E-2</v>
      </c>
      <c r="Q808">
        <v>8.3996286628333454E-4</v>
      </c>
      <c r="R808">
        <v>1.4616057136690231E-3</v>
      </c>
      <c r="S808">
        <v>0.10266339559776561</v>
      </c>
      <c r="T808">
        <v>1.0385530285149416</v>
      </c>
      <c r="U808">
        <v>0</v>
      </c>
      <c r="V808">
        <v>0.20686743659796919</v>
      </c>
      <c r="W808">
        <v>8.1679180073606181E-2</v>
      </c>
      <c r="X808">
        <v>2.817448948790777E-2</v>
      </c>
      <c r="Y808">
        <v>3.9780089344130616E-3</v>
      </c>
    </row>
    <row r="809" spans="1:25" x14ac:dyDescent="0.25">
      <c r="A809" s="1095"/>
      <c r="B809" s="1454">
        <v>559</v>
      </c>
      <c r="C809" s="1099">
        <v>0.96708831087488911</v>
      </c>
      <c r="D809" s="1099">
        <v>0.98658671763094508</v>
      </c>
      <c r="E809" s="1099">
        <v>0.99472454648182651</v>
      </c>
      <c r="F809" s="1099">
        <v>0.95859270202320435</v>
      </c>
      <c r="G809" s="1099">
        <v>0.96520369703151121</v>
      </c>
      <c r="H809" s="1099">
        <v>1.023605366541535</v>
      </c>
      <c r="I809" s="1099">
        <v>0.98464110243715686</v>
      </c>
      <c r="K809">
        <v>1.7089539052603699</v>
      </c>
      <c r="L809">
        <v>0</v>
      </c>
      <c r="M809">
        <v>1.4734615848183209E-3</v>
      </c>
      <c r="N809">
        <v>0.13340392575556331</v>
      </c>
      <c r="O809">
        <v>0.12660934246122607</v>
      </c>
      <c r="P809">
        <v>1.7787265894006029E-2</v>
      </c>
      <c r="Q809">
        <v>9.2931305574728458E-4</v>
      </c>
      <c r="R809">
        <v>1.4697334331764855E-3</v>
      </c>
      <c r="S809">
        <v>0.11204234701866153</v>
      </c>
      <c r="T809">
        <v>0.98851274985630855</v>
      </c>
      <c r="U809">
        <v>0</v>
      </c>
      <c r="V809">
        <v>0.20857378320476402</v>
      </c>
      <c r="W809">
        <v>8.7913098375254947E-2</v>
      </c>
      <c r="X809">
        <v>2.9185677882867037E-2</v>
      </c>
      <c r="Y809">
        <v>4.0001299076103591E-3</v>
      </c>
    </row>
    <row r="810" spans="1:25" x14ac:dyDescent="0.25">
      <c r="A810" s="1095"/>
      <c r="B810" s="1454">
        <v>560</v>
      </c>
      <c r="C810" s="1099">
        <v>1.0395793514804903</v>
      </c>
      <c r="D810" s="1099">
        <v>0.96882365822114858</v>
      </c>
      <c r="E810" s="1099">
        <v>1.0243838131578522</v>
      </c>
      <c r="F810" s="1099">
        <v>0.95929843195040732</v>
      </c>
      <c r="G810" s="1099">
        <v>0.99551694197343521</v>
      </c>
      <c r="H810" s="1099">
        <v>0.98916727545936511</v>
      </c>
      <c r="I810" s="1099">
        <v>1.0100383498191277</v>
      </c>
      <c r="K810">
        <v>1.6819450009840631</v>
      </c>
      <c r="L810">
        <v>0</v>
      </c>
      <c r="M810">
        <v>1.2668133361726265E-3</v>
      </c>
      <c r="N810">
        <v>0.12543065181292382</v>
      </c>
      <c r="O810">
        <v>0.1239338777211612</v>
      </c>
      <c r="P810">
        <v>1.8044908311447304E-2</v>
      </c>
      <c r="Q810">
        <v>8.978714510945292E-4</v>
      </c>
      <c r="R810">
        <v>1.2635286018825385E-3</v>
      </c>
      <c r="S810">
        <v>0.1062398253578869</v>
      </c>
      <c r="T810">
        <v>0.98840278270954951</v>
      </c>
      <c r="U810">
        <v>0</v>
      </c>
      <c r="V810">
        <v>0.2046354418662496</v>
      </c>
      <c r="W810">
        <v>8.1225096574035663E-2</v>
      </c>
      <c r="X810">
        <v>2.9698921581772925E-2</v>
      </c>
      <c r="Y810">
        <v>3.4389083322326009E-3</v>
      </c>
    </row>
    <row r="811" spans="1:25" x14ac:dyDescent="0.25">
      <c r="A811" s="1095"/>
      <c r="B811" s="1454">
        <v>561</v>
      </c>
      <c r="C811" s="1099">
        <v>1.0084051658450564</v>
      </c>
      <c r="D811" s="1099">
        <v>0.99934377629532767</v>
      </c>
      <c r="E811" s="1099">
        <v>0.98873612335473526</v>
      </c>
      <c r="F811" s="1099">
        <v>1.0154809025715703</v>
      </c>
      <c r="G811" s="1099">
        <v>1.0243350109462901</v>
      </c>
      <c r="H811" s="1099">
        <v>0.96344899165375808</v>
      </c>
      <c r="I811" s="1099">
        <v>1.0150468041263085</v>
      </c>
      <c r="K811">
        <v>1.7438428190888899</v>
      </c>
      <c r="L811">
        <v>0</v>
      </c>
      <c r="M811">
        <v>1.3482071946081386E-3</v>
      </c>
      <c r="N811">
        <v>0.11985683951859452</v>
      </c>
      <c r="O811">
        <v>0.12822139176733929</v>
      </c>
      <c r="P811">
        <v>1.8450790048946425E-2</v>
      </c>
      <c r="Q811">
        <v>8.8115613963076487E-4</v>
      </c>
      <c r="R811">
        <v>1.3446057184016249E-3</v>
      </c>
      <c r="S811">
        <v>0.1062702025617933</v>
      </c>
      <c r="T811">
        <v>1.0473588435399441</v>
      </c>
      <c r="U811">
        <v>0</v>
      </c>
      <c r="V811">
        <v>0.21047030001626935</v>
      </c>
      <c r="W811">
        <v>7.9269053039963316E-2</v>
      </c>
      <c r="X811">
        <v>2.9408270416279188E-2</v>
      </c>
      <c r="Y811">
        <v>3.6595735163332775E-3</v>
      </c>
    </row>
    <row r="812" spans="1:25" x14ac:dyDescent="0.25">
      <c r="A812" s="1095"/>
      <c r="B812" s="1454">
        <v>562</v>
      </c>
      <c r="C812" s="1099">
        <v>1.0174998840079887</v>
      </c>
      <c r="D812" s="1099">
        <v>1.0119883436759878</v>
      </c>
      <c r="E812" s="1099">
        <v>0.97467058197567757</v>
      </c>
      <c r="F812" s="1099">
        <v>0.98871898543338188</v>
      </c>
      <c r="G812" s="1099">
        <v>1.0423330595676772</v>
      </c>
      <c r="H812" s="1099">
        <v>1.0040432924507856</v>
      </c>
      <c r="I812" s="1099">
        <v>1.0060704131003608</v>
      </c>
      <c r="K812">
        <v>1.7129193601345787</v>
      </c>
      <c r="L812">
        <v>0</v>
      </c>
      <c r="M812">
        <v>1.420761928411582E-3</v>
      </c>
      <c r="N812">
        <v>0.12105700437980746</v>
      </c>
      <c r="O812">
        <v>0.12511519950744737</v>
      </c>
      <c r="P812">
        <v>1.7868358678412983E-2</v>
      </c>
      <c r="Q812">
        <v>8.5619699082447557E-4</v>
      </c>
      <c r="R812">
        <v>1.417105713951165E-3</v>
      </c>
      <c r="S812">
        <v>0.10623853173631934</v>
      </c>
      <c r="T812">
        <v>1.0201778189198636</v>
      </c>
      <c r="U812">
        <v>0</v>
      </c>
      <c r="V812">
        <v>0.20878736310220972</v>
      </c>
      <c r="W812">
        <v>8.0744756054111744E-2</v>
      </c>
      <c r="X812">
        <v>2.8220892375439656E-2</v>
      </c>
      <c r="Y812">
        <v>3.8568946046020165E-3</v>
      </c>
    </row>
    <row r="813" spans="1:25" x14ac:dyDescent="0.25">
      <c r="A813" s="1095"/>
      <c r="B813" s="1454">
        <v>563</v>
      </c>
      <c r="C813" s="1099">
        <v>0.9983050331177592</v>
      </c>
      <c r="D813" s="1099">
        <v>1.0027417132367387</v>
      </c>
      <c r="E813" s="1099">
        <v>0.9942333789919604</v>
      </c>
      <c r="F813" s="1099">
        <v>1.0101015332575654</v>
      </c>
      <c r="G813" s="1099">
        <v>1.0248947080827493</v>
      </c>
      <c r="H813" s="1099">
        <v>1.0081075918462332</v>
      </c>
      <c r="I813" s="1099">
        <v>0.96290752131277146</v>
      </c>
      <c r="K813">
        <v>1.7487500259808377</v>
      </c>
      <c r="L813">
        <v>0</v>
      </c>
      <c r="M813">
        <v>1.4042155265903771E-3</v>
      </c>
      <c r="N813">
        <v>0.12694242256642926</v>
      </c>
      <c r="O813">
        <v>0.12820141064731683</v>
      </c>
      <c r="P813">
        <v>1.8433118322712088E-2</v>
      </c>
      <c r="Q813">
        <v>8.9396717140111819E-4</v>
      </c>
      <c r="R813">
        <v>1.4006236863811443E-3</v>
      </c>
      <c r="S813">
        <v>0.10455003959824512</v>
      </c>
      <c r="T813">
        <v>1.0416441290162419</v>
      </c>
      <c r="U813">
        <v>0</v>
      </c>
      <c r="V813">
        <v>0.21097862375052681</v>
      </c>
      <c r="W813">
        <v>8.3679503217829784E-2</v>
      </c>
      <c r="X813">
        <v>2.9618367571486226E-2</v>
      </c>
      <c r="Y813">
        <v>3.8120359588553485E-3</v>
      </c>
    </row>
    <row r="814" spans="1:25" x14ac:dyDescent="0.25">
      <c r="A814" s="1095"/>
      <c r="B814" s="1454">
        <v>564</v>
      </c>
      <c r="C814" s="1099">
        <v>1.0282154579736293</v>
      </c>
      <c r="D814" s="1099">
        <v>1.0078213450805362</v>
      </c>
      <c r="E814" s="1099">
        <v>1.0093267205917973</v>
      </c>
      <c r="F814" s="1099">
        <v>1.0047665756343229</v>
      </c>
      <c r="G814" s="1099">
        <v>1.0393596732792503</v>
      </c>
      <c r="H814" s="1099">
        <v>1.0409281015932046</v>
      </c>
      <c r="I814" s="1099">
        <v>1.0008892738351658</v>
      </c>
      <c r="K814">
        <v>1.7443890040055545</v>
      </c>
      <c r="L814">
        <v>0</v>
      </c>
      <c r="M814">
        <v>1.3629410185735584E-3</v>
      </c>
      <c r="N814">
        <v>0.12896967229839532</v>
      </c>
      <c r="O814">
        <v>0.12611257685704072</v>
      </c>
      <c r="P814">
        <v>1.8571743233244491E-2</v>
      </c>
      <c r="Q814">
        <v>8.7985824805208036E-4</v>
      </c>
      <c r="R814">
        <v>1.3595680084864325E-3</v>
      </c>
      <c r="S814">
        <v>0.10757061456090586</v>
      </c>
      <c r="T814">
        <v>1.0356925603656559</v>
      </c>
      <c r="U814">
        <v>0</v>
      </c>
      <c r="V814">
        <v>0.20883008197732059</v>
      </c>
      <c r="W814">
        <v>8.4257669473258329E-2</v>
      </c>
      <c r="X814">
        <v>2.9807304064139114E-2</v>
      </c>
      <c r="Y814">
        <v>3.7002959376265226E-3</v>
      </c>
    </row>
    <row r="815" spans="1:25" x14ac:dyDescent="0.25">
      <c r="A815" s="1095"/>
      <c r="B815" s="1454">
        <v>565</v>
      </c>
      <c r="C815" s="1099">
        <v>1.0266457988930857</v>
      </c>
      <c r="D815" s="1099">
        <v>1.0435194625913677</v>
      </c>
      <c r="E815" s="1099">
        <v>0.98946635679998696</v>
      </c>
      <c r="F815" s="1099">
        <v>0.99731142666957973</v>
      </c>
      <c r="G815" s="1099">
        <v>0.99666856910072743</v>
      </c>
      <c r="H815" s="1099">
        <v>0.96786039191535445</v>
      </c>
      <c r="I815" s="1099">
        <v>1.0111634253063084</v>
      </c>
      <c r="K815">
        <v>1.7021086546598285</v>
      </c>
      <c r="L815">
        <v>0</v>
      </c>
      <c r="M815">
        <v>1.294634184050705E-3</v>
      </c>
      <c r="N815">
        <v>0.11534737624081569</v>
      </c>
      <c r="O815">
        <v>0.12398436883487349</v>
      </c>
      <c r="P815">
        <v>1.8074552104225674E-2</v>
      </c>
      <c r="Q815">
        <v>8.5130222531191861E-4</v>
      </c>
      <c r="R815">
        <v>1.2911626294252613E-3</v>
      </c>
      <c r="S815">
        <v>0.10152304235114258</v>
      </c>
      <c r="T815">
        <v>1.028597106265436</v>
      </c>
      <c r="U815">
        <v>0</v>
      </c>
      <c r="V815">
        <v>0.20543022821162016</v>
      </c>
      <c r="W815">
        <v>7.6253265977557605E-2</v>
      </c>
      <c r="X815">
        <v>2.8536764957822102E-2</v>
      </c>
      <c r="Y815">
        <v>3.5141190456491615E-3</v>
      </c>
    </row>
    <row r="816" spans="1:25" x14ac:dyDescent="0.25">
      <c r="A816" s="1095"/>
      <c r="B816" s="1454">
        <v>566</v>
      </c>
      <c r="C816" s="1099">
        <v>1.0118823621143951</v>
      </c>
      <c r="D816" s="1099">
        <v>1.0104264412052675</v>
      </c>
      <c r="E816" s="1099">
        <v>0.98442051040098733</v>
      </c>
      <c r="F816" s="1099">
        <v>0.98779327282156815</v>
      </c>
      <c r="G816" s="1099">
        <v>1.0379050156880101</v>
      </c>
      <c r="H816" s="1099">
        <v>1.0025068164837132</v>
      </c>
      <c r="I816" s="1099">
        <v>0.96665050260052399</v>
      </c>
      <c r="K816">
        <v>1.7113720488538156</v>
      </c>
      <c r="L816">
        <v>0</v>
      </c>
      <c r="M816">
        <v>1.3985187691486706E-3</v>
      </c>
      <c r="N816">
        <v>0.12272895149312253</v>
      </c>
      <c r="O816">
        <v>0.12543289886307166</v>
      </c>
      <c r="P816">
        <v>1.7939234325534185E-2</v>
      </c>
      <c r="Q816">
        <v>8.7033167989311263E-4</v>
      </c>
      <c r="R816">
        <v>1.3949134039388806E-3</v>
      </c>
      <c r="S816">
        <v>0.10261913506746126</v>
      </c>
      <c r="T816">
        <v>1.018930474673992</v>
      </c>
      <c r="U816">
        <v>0</v>
      </c>
      <c r="V816">
        <v>0.20905677282933247</v>
      </c>
      <c r="W816">
        <v>8.1379254158825326E-2</v>
      </c>
      <c r="X816">
        <v>2.8622106675350933E-2</v>
      </c>
      <c r="Y816">
        <v>3.7964944524416068E-3</v>
      </c>
    </row>
    <row r="817" spans="1:25" x14ac:dyDescent="0.25">
      <c r="A817" s="1095"/>
      <c r="B817" s="1454">
        <v>567</v>
      </c>
      <c r="C817" s="1099">
        <v>1.0010668647461534</v>
      </c>
      <c r="D817" s="1099">
        <v>1.0021601885630185</v>
      </c>
      <c r="E817" s="1099">
        <v>0.99598207646491443</v>
      </c>
      <c r="F817" s="1099">
        <v>1.0195941302207712</v>
      </c>
      <c r="G817" s="1099">
        <v>0.99848350374056871</v>
      </c>
      <c r="H817" s="1099">
        <v>0.96930282635788689</v>
      </c>
      <c r="I817" s="1099">
        <v>0.99684878491851336</v>
      </c>
      <c r="K817">
        <v>1.7509071000065848</v>
      </c>
      <c r="L817">
        <v>0</v>
      </c>
      <c r="M817">
        <v>1.3434022335476119E-3</v>
      </c>
      <c r="N817">
        <v>0.12207622419519014</v>
      </c>
      <c r="O817">
        <v>0.12880542674448534</v>
      </c>
      <c r="P817">
        <v>1.8586983453970567E-2</v>
      </c>
      <c r="Q817">
        <v>8.9333011873628037E-4</v>
      </c>
      <c r="R817">
        <v>1.3398324340438876E-3</v>
      </c>
      <c r="S817">
        <v>0.10534931512076375</v>
      </c>
      <c r="T817">
        <v>1.0513798910131553</v>
      </c>
      <c r="U817">
        <v>0</v>
      </c>
      <c r="V817">
        <v>0.20998161894341824</v>
      </c>
      <c r="W817">
        <v>8.0387824612244294E-2</v>
      </c>
      <c r="X817">
        <v>2.9803473394299229E-2</v>
      </c>
      <c r="Y817">
        <v>3.6465822098242827E-3</v>
      </c>
    </row>
    <row r="818" spans="1:25" x14ac:dyDescent="0.25">
      <c r="A818" s="1095"/>
      <c r="B818" s="1454">
        <v>568</v>
      </c>
      <c r="C818" s="1099">
        <v>0.98492031771694177</v>
      </c>
      <c r="D818" s="1099">
        <v>0.95864385134756691</v>
      </c>
      <c r="E818" s="1099">
        <v>1.0053151041355666</v>
      </c>
      <c r="F818" s="1099">
        <v>0.9916928998511616</v>
      </c>
      <c r="G818" s="1099">
        <v>0.9687969917430066</v>
      </c>
      <c r="H818" s="1099">
        <v>0.99195629326329249</v>
      </c>
      <c r="I818" s="1099">
        <v>1.006892141811945</v>
      </c>
      <c r="K818">
        <v>1.7445584832278671</v>
      </c>
      <c r="L818">
        <v>0</v>
      </c>
      <c r="M818">
        <v>1.4014040347121377E-3</v>
      </c>
      <c r="N818">
        <v>0.13099814765230508</v>
      </c>
      <c r="O818">
        <v>0.12961418373465633</v>
      </c>
      <c r="P818">
        <v>1.841604179347368E-2</v>
      </c>
      <c r="Q818">
        <v>9.3322620536849901E-4</v>
      </c>
      <c r="R818">
        <v>1.3977815282647476E-3</v>
      </c>
      <c r="S818">
        <v>0.11256362003208559</v>
      </c>
      <c r="T818">
        <v>1.0223338829695041</v>
      </c>
      <c r="U818">
        <v>0</v>
      </c>
      <c r="V818">
        <v>0.20984729647147735</v>
      </c>
      <c r="W818">
        <v>8.5786020137936667E-2</v>
      </c>
      <c r="X818">
        <v>3.0265386196127248E-2</v>
      </c>
      <c r="Y818">
        <v>3.8043005413796877E-3</v>
      </c>
    </row>
    <row r="819" spans="1:25" x14ac:dyDescent="0.25">
      <c r="A819" s="1095"/>
      <c r="B819" s="1454">
        <v>569</v>
      </c>
      <c r="C819" s="1099">
        <v>0.98178163367969007</v>
      </c>
      <c r="D819" s="1099">
        <v>1.009991182281569</v>
      </c>
      <c r="E819" s="1099">
        <v>1.0046936767452945</v>
      </c>
      <c r="F819" s="1099">
        <v>1.0028325310856336</v>
      </c>
      <c r="G819" s="1099">
        <v>0.97458247301852796</v>
      </c>
      <c r="H819" s="1099">
        <v>0.98349110863357625</v>
      </c>
      <c r="I819" s="1099">
        <v>1.0043837103738142</v>
      </c>
      <c r="K819">
        <v>1.7422473348828496</v>
      </c>
      <c r="L819">
        <v>0</v>
      </c>
      <c r="M819">
        <v>1.3546009548086092E-3</v>
      </c>
      <c r="N819">
        <v>0.1263799369766487</v>
      </c>
      <c r="O819">
        <v>0.12822868419026698</v>
      </c>
      <c r="P819">
        <v>1.8503528529496171E-2</v>
      </c>
      <c r="Q819">
        <v>9.1628363742310274E-4</v>
      </c>
      <c r="R819">
        <v>1.3510373339185387E-3</v>
      </c>
      <c r="S819">
        <v>0.10852456019777144</v>
      </c>
      <c r="T819">
        <v>1.0338361353768748</v>
      </c>
      <c r="U819">
        <v>0</v>
      </c>
      <c r="V819">
        <v>0.20939965567862351</v>
      </c>
      <c r="W819">
        <v>8.2792171031923656E-2</v>
      </c>
      <c r="X819">
        <v>2.9992864631123092E-2</v>
      </c>
      <c r="Y819">
        <v>3.6770782535888316E-3</v>
      </c>
    </row>
    <row r="820" spans="1:25" x14ac:dyDescent="0.25">
      <c r="A820" s="1095"/>
      <c r="B820" s="1454">
        <v>570</v>
      </c>
      <c r="C820" s="1099">
        <v>0.98564713069326448</v>
      </c>
      <c r="D820" s="1099">
        <v>1.0093386135467339</v>
      </c>
      <c r="E820" s="1099">
        <v>0.99801414350196327</v>
      </c>
      <c r="F820" s="1099">
        <v>1.0105406638741179</v>
      </c>
      <c r="G820" s="1099">
        <v>0.99514240250233499</v>
      </c>
      <c r="H820" s="1099">
        <v>0.98396341448567715</v>
      </c>
      <c r="I820" s="1099">
        <v>0.98472066964920058</v>
      </c>
      <c r="K820">
        <v>1.7478773524455791</v>
      </c>
      <c r="L820">
        <v>0</v>
      </c>
      <c r="M820">
        <v>1.370647526083594E-3</v>
      </c>
      <c r="N820">
        <v>0.12532307344479804</v>
      </c>
      <c r="O820">
        <v>0.12861143734001687</v>
      </c>
      <c r="P820">
        <v>1.8504223177780936E-2</v>
      </c>
      <c r="Q820">
        <v>9.066301671946435E-4</v>
      </c>
      <c r="R820">
        <v>1.3670474158443699E-3</v>
      </c>
      <c r="S820">
        <v>0.10611370049984332</v>
      </c>
      <c r="T820">
        <v>1.0419829562418619</v>
      </c>
      <c r="U820">
        <v>0</v>
      </c>
      <c r="V820">
        <v>0.21046044587209561</v>
      </c>
      <c r="W820">
        <v>8.2426044903916335E-2</v>
      </c>
      <c r="X820">
        <v>2.9831788489443026E-2</v>
      </c>
      <c r="Y820">
        <v>3.7206524188688563E-3</v>
      </c>
    </row>
    <row r="821" spans="1:25" x14ac:dyDescent="0.25">
      <c r="A821" s="1095"/>
      <c r="B821" s="1454">
        <v>571</v>
      </c>
      <c r="C821" s="1099">
        <v>0.9756755787350706</v>
      </c>
      <c r="D821" s="1099">
        <v>1.0091068952206552</v>
      </c>
      <c r="E821" s="1099">
        <v>1.0003158544291402</v>
      </c>
      <c r="F821" s="1099">
        <v>1.0165563074659709</v>
      </c>
      <c r="G821" s="1099">
        <v>0.99856835217716888</v>
      </c>
      <c r="H821" s="1099">
        <v>0.99110217995874239</v>
      </c>
      <c r="I821" s="1099">
        <v>0.95484337090995253</v>
      </c>
      <c r="K821">
        <v>1.7591267675300291</v>
      </c>
      <c r="L821">
        <v>0</v>
      </c>
      <c r="M821">
        <v>1.3877871586186546E-3</v>
      </c>
      <c r="N821">
        <v>0.12777805690436356</v>
      </c>
      <c r="O821">
        <v>0.12961709188434256</v>
      </c>
      <c r="P821">
        <v>1.8615320919326134E-2</v>
      </c>
      <c r="Q821">
        <v>9.1816968796912734E-4</v>
      </c>
      <c r="R821">
        <v>1.3841672428712083E-3</v>
      </c>
      <c r="S821">
        <v>0.10442739658041281</v>
      </c>
      <c r="T821">
        <v>1.0481161587528365</v>
      </c>
      <c r="U821">
        <v>0</v>
      </c>
      <c r="V821">
        <v>0.21182481239082521</v>
      </c>
      <c r="W821">
        <v>8.3925742540715276E-2</v>
      </c>
      <c r="X821">
        <v>3.0140390840498032E-2</v>
      </c>
      <c r="Y821">
        <v>3.7672469444864471E-3</v>
      </c>
    </row>
    <row r="822" spans="1:25" x14ac:dyDescent="0.25">
      <c r="A822" s="1095"/>
      <c r="B822" s="1454">
        <v>572</v>
      </c>
      <c r="C822" s="1099">
        <v>1.0212645356963899</v>
      </c>
      <c r="D822" s="1099">
        <v>0.97826844438087901</v>
      </c>
      <c r="E822" s="1099">
        <v>1.0107153167989638</v>
      </c>
      <c r="F822" s="1099">
        <v>1.034252301600638</v>
      </c>
      <c r="G822" s="1099">
        <v>0.99594069581902267</v>
      </c>
      <c r="H822" s="1099">
        <v>1.033252926452175</v>
      </c>
      <c r="I822" s="1099">
        <v>1.0177760782121439</v>
      </c>
      <c r="K822">
        <v>1.7895643747274115</v>
      </c>
      <c r="L822">
        <v>0</v>
      </c>
      <c r="M822">
        <v>1.3849572425045399E-3</v>
      </c>
      <c r="N822">
        <v>0.13160360057800596</v>
      </c>
      <c r="O822">
        <v>0.13004463158494883</v>
      </c>
      <c r="P822">
        <v>1.9078078648057478E-2</v>
      </c>
      <c r="Q822">
        <v>8.9774029873841525E-4</v>
      </c>
      <c r="R822">
        <v>1.3815305048479375E-3</v>
      </c>
      <c r="S822">
        <v>0.11177734219107657</v>
      </c>
      <c r="T822">
        <v>1.0660435705976148</v>
      </c>
      <c r="U822">
        <v>0</v>
      </c>
      <c r="V822">
        <v>0.20971184709919183</v>
      </c>
      <c r="W822">
        <v>8.5908080150160659E-2</v>
      </c>
      <c r="X822">
        <v>3.0742839704482976E-2</v>
      </c>
      <c r="Y822">
        <v>3.7600706127875597E-3</v>
      </c>
    </row>
    <row r="823" spans="1:25" x14ac:dyDescent="0.25">
      <c r="A823" s="1095"/>
      <c r="B823" s="1454">
        <v>573</v>
      </c>
      <c r="C823" s="1099">
        <v>1.0303144682721788</v>
      </c>
      <c r="D823" s="1099">
        <v>1.0001073200480608</v>
      </c>
      <c r="E823" s="1099">
        <v>0.99582192750876564</v>
      </c>
      <c r="F823" s="1099">
        <v>1.0068154606122059</v>
      </c>
      <c r="G823" s="1099">
        <v>0.99086810924267976</v>
      </c>
      <c r="H823" s="1099">
        <v>1.034243276032581</v>
      </c>
      <c r="I823" s="1099">
        <v>1.040871212106645</v>
      </c>
      <c r="K823">
        <v>1.7458616682358286</v>
      </c>
      <c r="L823">
        <v>0</v>
      </c>
      <c r="M823">
        <v>1.3966366004258507E-3</v>
      </c>
      <c r="N823">
        <v>0.12687401798298023</v>
      </c>
      <c r="O823">
        <v>0.12645242434274237</v>
      </c>
      <c r="P823">
        <v>1.8446141910366819E-2</v>
      </c>
      <c r="Q823">
        <v>8.6853877382027779E-4</v>
      </c>
      <c r="R823">
        <v>1.3931641383713885E-3</v>
      </c>
      <c r="S823">
        <v>0.11169880138420611</v>
      </c>
      <c r="T823">
        <v>1.0382076603193544</v>
      </c>
      <c r="U823">
        <v>0</v>
      </c>
      <c r="V823">
        <v>0.20660771819012824</v>
      </c>
      <c r="W823">
        <v>8.3555175118591007E-2</v>
      </c>
      <c r="X823">
        <v>2.9362929147480472E-2</v>
      </c>
      <c r="Y823">
        <v>3.7917335282121336E-3</v>
      </c>
    </row>
    <row r="824" spans="1:25" x14ac:dyDescent="0.25">
      <c r="A824" s="1095"/>
      <c r="B824" s="1454">
        <v>574</v>
      </c>
      <c r="C824" s="1099">
        <v>0.99831918505890405</v>
      </c>
      <c r="D824" s="1099">
        <v>1.0192918465396303</v>
      </c>
      <c r="E824" s="1099">
        <v>1.0459501134241855</v>
      </c>
      <c r="F824" s="1099">
        <v>1.0053061799993988</v>
      </c>
      <c r="G824" s="1099">
        <v>1.0005329594182635</v>
      </c>
      <c r="H824" s="1099">
        <v>0.98778601145252898</v>
      </c>
      <c r="I824" s="1099">
        <v>0.97633255890372261</v>
      </c>
      <c r="K824">
        <v>1.7418446852835212</v>
      </c>
      <c r="L824">
        <v>0</v>
      </c>
      <c r="M824">
        <v>1.2231590908571876E-3</v>
      </c>
      <c r="N824">
        <v>0.12923689604665872</v>
      </c>
      <c r="O824">
        <v>0.12729362684772252</v>
      </c>
      <c r="P824">
        <v>1.901596480553424E-2</v>
      </c>
      <c r="Q824">
        <v>9.3650998086808259E-4</v>
      </c>
      <c r="R824">
        <v>1.219954776334453E-3</v>
      </c>
      <c r="S824">
        <v>0.10362457111418714</v>
      </c>
      <c r="T824">
        <v>1.0351844289868462</v>
      </c>
      <c r="U824">
        <v>0</v>
      </c>
      <c r="V824">
        <v>0.20920643995758595</v>
      </c>
      <c r="W824">
        <v>8.2652914595849086E-2</v>
      </c>
      <c r="X824">
        <v>3.1376222519591289E-2</v>
      </c>
      <c r="Y824">
        <v>3.3203147431984442E-3</v>
      </c>
    </row>
    <row r="825" spans="1:25" x14ac:dyDescent="0.25">
      <c r="A825" s="1095"/>
      <c r="B825" s="1454">
        <v>575</v>
      </c>
      <c r="C825" s="1099">
        <v>1.0121947599046208</v>
      </c>
      <c r="D825" s="1099">
        <v>1.0201319774310433</v>
      </c>
      <c r="E825" s="1099">
        <v>0.96985222583034503</v>
      </c>
      <c r="F825" s="1099">
        <v>0.99873905165820631</v>
      </c>
      <c r="G825" s="1099">
        <v>1.0275669344667411</v>
      </c>
      <c r="H825" s="1099">
        <v>0.97010932779030945</v>
      </c>
      <c r="I825" s="1099">
        <v>1.0155633665042503</v>
      </c>
      <c r="K825">
        <v>1.715330160052517</v>
      </c>
      <c r="L825">
        <v>0</v>
      </c>
      <c r="M825">
        <v>1.3877586498315388E-3</v>
      </c>
      <c r="N825">
        <v>0.11652175843499156</v>
      </c>
      <c r="O825">
        <v>0.12575216400922209</v>
      </c>
      <c r="P825">
        <v>1.7924936952909525E-2</v>
      </c>
      <c r="Q825">
        <v>8.535905800114295E-4</v>
      </c>
      <c r="R825">
        <v>1.3840583982851265E-3</v>
      </c>
      <c r="S825">
        <v>0.104939598335461</v>
      </c>
      <c r="T825">
        <v>1.0306637437980484</v>
      </c>
      <c r="U825">
        <v>0</v>
      </c>
      <c r="V825">
        <v>0.20877621409215835</v>
      </c>
      <c r="W825">
        <v>7.7947603457891007E-2</v>
      </c>
      <c r="X825">
        <v>2.8187299937966512E-2</v>
      </c>
      <c r="Y825">
        <v>3.7669507054037413E-3</v>
      </c>
    </row>
    <row r="826" spans="1:25" x14ac:dyDescent="0.25">
      <c r="A826" s="1095"/>
      <c r="B826" s="1454">
        <v>576</v>
      </c>
      <c r="C826" s="1099">
        <v>1.0113199171724561</v>
      </c>
      <c r="D826" s="1099">
        <v>1.00701230799889</v>
      </c>
      <c r="E826" s="1099">
        <v>0.99556315453711164</v>
      </c>
      <c r="F826" s="1099">
        <v>0.99939505061408529</v>
      </c>
      <c r="G826" s="1099">
        <v>1.0124444405807593</v>
      </c>
      <c r="H826" s="1099">
        <v>0.99079235322173731</v>
      </c>
      <c r="I826" s="1099">
        <v>1.0252933492869878</v>
      </c>
      <c r="K826">
        <v>1.7303345471169114</v>
      </c>
      <c r="L826">
        <v>0</v>
      </c>
      <c r="M826">
        <v>1.3553928272438964E-3</v>
      </c>
      <c r="N826">
        <v>0.12301652031644161</v>
      </c>
      <c r="O826">
        <v>0.1265383492884358</v>
      </c>
      <c r="P826">
        <v>1.8320920421287464E-2</v>
      </c>
      <c r="Q826">
        <v>8.821824067745688E-4</v>
      </c>
      <c r="R826">
        <v>1.3518629757076888E-3</v>
      </c>
      <c r="S826">
        <v>0.10839350422790174</v>
      </c>
      <c r="T826">
        <v>1.0305636052402818</v>
      </c>
      <c r="U826">
        <v>0</v>
      </c>
      <c r="V826">
        <v>0.20860914952940557</v>
      </c>
      <c r="W826">
        <v>8.1027253923089265E-2</v>
      </c>
      <c r="X826">
        <v>2.9307266236463896E-2</v>
      </c>
      <c r="Y826">
        <v>3.6793253783661559E-3</v>
      </c>
    </row>
    <row r="827" spans="1:25" x14ac:dyDescent="0.25">
      <c r="A827" s="1095"/>
      <c r="B827" s="1454">
        <v>577</v>
      </c>
      <c r="C827" s="1099">
        <v>0.97778247473269053</v>
      </c>
      <c r="D827" s="1099">
        <v>1.0061170559303563</v>
      </c>
      <c r="E827" s="1099">
        <v>0.97159418471268233</v>
      </c>
      <c r="F827" s="1099">
        <v>1.0253717206055781</v>
      </c>
      <c r="G827" s="1099">
        <v>1.0030850901521144</v>
      </c>
      <c r="H827" s="1099">
        <v>1.0199913840386887</v>
      </c>
      <c r="I827" s="1099">
        <v>1.0163905275572025</v>
      </c>
      <c r="K827">
        <v>1.7801157723288243</v>
      </c>
      <c r="L827">
        <v>0</v>
      </c>
      <c r="M827">
        <v>1.516498346885032E-3</v>
      </c>
      <c r="N827">
        <v>0.12802200058394866</v>
      </c>
      <c r="O827">
        <v>0.1301944818396483</v>
      </c>
      <c r="P827">
        <v>1.8473154365641196E-2</v>
      </c>
      <c r="Q827">
        <v>8.9016668341107932E-4</v>
      </c>
      <c r="R827">
        <v>1.5126604418174321E-3</v>
      </c>
      <c r="S827">
        <v>0.11322794561531034</v>
      </c>
      <c r="T827">
        <v>1.0580930663799524</v>
      </c>
      <c r="U827">
        <v>0</v>
      </c>
      <c r="V827">
        <v>0.21232566480533269</v>
      </c>
      <c r="W827">
        <v>8.5550029949646E-2</v>
      </c>
      <c r="X827">
        <v>2.9226136936755361E-2</v>
      </c>
      <c r="Y827">
        <v>4.1169630742464202E-3</v>
      </c>
    </row>
    <row r="828" spans="1:25" x14ac:dyDescent="0.25">
      <c r="A828" s="1095"/>
      <c r="B828" s="1454">
        <v>578</v>
      </c>
      <c r="C828" s="1099">
        <v>1.0336387811024417</v>
      </c>
      <c r="D828" s="1099">
        <v>0.97296563004773418</v>
      </c>
      <c r="E828" s="1099">
        <v>0.97006216773039555</v>
      </c>
      <c r="F828" s="1099">
        <v>0.97017205906163939</v>
      </c>
      <c r="G828" s="1099">
        <v>1.028846365535689</v>
      </c>
      <c r="H828" s="1099">
        <v>1.0205531834157862</v>
      </c>
      <c r="I828" s="1099">
        <v>1.0120571794453492</v>
      </c>
      <c r="K828">
        <v>1.6979483061655374</v>
      </c>
      <c r="L828">
        <v>0</v>
      </c>
      <c r="M828">
        <v>1.4683029552220973E-3</v>
      </c>
      <c r="N828">
        <v>0.12338183311485973</v>
      </c>
      <c r="O828">
        <v>0.12465497316905587</v>
      </c>
      <c r="P828">
        <v>1.756404019443341E-2</v>
      </c>
      <c r="Q828">
        <v>8.5204888372319065E-4</v>
      </c>
      <c r="R828">
        <v>1.4646118038673746E-3</v>
      </c>
      <c r="S828">
        <v>0.10890546054572769</v>
      </c>
      <c r="T828">
        <v>1.00117736968016</v>
      </c>
      <c r="U828">
        <v>0</v>
      </c>
      <c r="V828">
        <v>0.20701212517905995</v>
      </c>
      <c r="W828">
        <v>8.2526126359596233E-2</v>
      </c>
      <c r="X828">
        <v>2.7891829669300414E-2</v>
      </c>
      <c r="Y828">
        <v>3.986190520975607E-3</v>
      </c>
    </row>
    <row r="829" spans="1:25" x14ac:dyDescent="0.25">
      <c r="A829" s="1095"/>
      <c r="B829" s="1454">
        <v>579</v>
      </c>
      <c r="C829" s="1099">
        <v>1.0285481544897142</v>
      </c>
      <c r="D829" s="1099">
        <v>1.0033873601684042</v>
      </c>
      <c r="E829" s="1099">
        <v>1.0270542654749382</v>
      </c>
      <c r="F829" s="1099">
        <v>1.0139736694267065</v>
      </c>
      <c r="G829" s="1099">
        <v>0.98580245401546884</v>
      </c>
      <c r="H829" s="1099">
        <v>0.99766057670509201</v>
      </c>
      <c r="I829" s="1099">
        <v>0.98301942151016242</v>
      </c>
      <c r="K829">
        <v>1.7430145062347371</v>
      </c>
      <c r="L829">
        <v>0</v>
      </c>
      <c r="M829">
        <v>1.2628709616171209E-3</v>
      </c>
      <c r="N829">
        <v>0.12605319069376247</v>
      </c>
      <c r="O829">
        <v>0.12705173181234169</v>
      </c>
      <c r="P829">
        <v>1.8850062726727297E-2</v>
      </c>
      <c r="Q829">
        <v>8.9731259492085037E-4</v>
      </c>
      <c r="R829">
        <v>1.2596153802421897E-3</v>
      </c>
      <c r="S829">
        <v>0.10309477502868085</v>
      </c>
      <c r="T829">
        <v>1.0446583940176979</v>
      </c>
      <c r="U829">
        <v>0</v>
      </c>
      <c r="V829">
        <v>0.2068656506576721</v>
      </c>
      <c r="W829">
        <v>8.1501372052010732E-2</v>
      </c>
      <c r="X829">
        <v>3.06170143993762E-2</v>
      </c>
      <c r="Y829">
        <v>3.4282578329207399E-3</v>
      </c>
    </row>
    <row r="830" spans="1:25" x14ac:dyDescent="0.25">
      <c r="A830" s="1095"/>
      <c r="B830" s="1454">
        <v>580</v>
      </c>
      <c r="C830" s="1099">
        <v>0.98707820279708669</v>
      </c>
      <c r="D830" s="1099">
        <v>1.0181749295578784</v>
      </c>
      <c r="E830" s="1099">
        <v>1.0061444739879635</v>
      </c>
      <c r="F830" s="1099">
        <v>0.98893573229808274</v>
      </c>
      <c r="G830" s="1099">
        <v>1.0264045329508888</v>
      </c>
      <c r="H830" s="1099">
        <v>1.0080706212607227</v>
      </c>
      <c r="I830" s="1099">
        <v>0.96487118807545247</v>
      </c>
      <c r="K830">
        <v>1.7261745279160432</v>
      </c>
      <c r="L830">
        <v>0</v>
      </c>
      <c r="M830">
        <v>1.3692937072364091E-3</v>
      </c>
      <c r="N830">
        <v>0.1283191820011638</v>
      </c>
      <c r="O830">
        <v>0.12652813923811407</v>
      </c>
      <c r="P830">
        <v>1.8290238606625122E-2</v>
      </c>
      <c r="Q830">
        <v>9.0979328509658446E-4</v>
      </c>
      <c r="R830">
        <v>1.3657712571263714E-3</v>
      </c>
      <c r="S830">
        <v>0.10479019034545642</v>
      </c>
      <c r="T830">
        <v>1.0194672833133691</v>
      </c>
      <c r="U830">
        <v>0</v>
      </c>
      <c r="V830">
        <v>0.21048237003619411</v>
      </c>
      <c r="W830">
        <v>8.3990436034232174E-2</v>
      </c>
      <c r="X830">
        <v>2.9683238370377157E-2</v>
      </c>
      <c r="Y830">
        <v>3.7171791355240726E-3</v>
      </c>
    </row>
    <row r="831" spans="1:25" x14ac:dyDescent="0.25">
      <c r="A831" s="1095"/>
      <c r="B831" s="1454">
        <v>581</v>
      </c>
      <c r="C831" s="1099">
        <v>1.0018483199479369</v>
      </c>
      <c r="D831" s="1099">
        <v>1.0218711937893221</v>
      </c>
      <c r="E831" s="1099">
        <v>1.0175430619944628</v>
      </c>
      <c r="F831" s="1099">
        <v>1.020910998196078</v>
      </c>
      <c r="G831" s="1099">
        <v>1.0241531872579541</v>
      </c>
      <c r="H831" s="1099">
        <v>1.0192245771887107</v>
      </c>
      <c r="I831" s="1099">
        <v>1.0022063887442996</v>
      </c>
      <c r="K831">
        <v>1.7665217982081391</v>
      </c>
      <c r="L831">
        <v>0</v>
      </c>
      <c r="M831">
        <v>1.3344666888026591E-3</v>
      </c>
      <c r="N831">
        <v>0.12943793789981359</v>
      </c>
      <c r="O831">
        <v>0.12805008988580741</v>
      </c>
      <c r="P831">
        <v>1.8943775825608002E-2</v>
      </c>
      <c r="Q831">
        <v>9.0565571342235071E-4</v>
      </c>
      <c r="R831">
        <v>1.3310823199933429E-3</v>
      </c>
      <c r="S831">
        <v>0.10806352832003623</v>
      </c>
      <c r="T831">
        <v>1.0520878891815595</v>
      </c>
      <c r="U831">
        <v>0</v>
      </c>
      <c r="V831">
        <v>0.21070119121848738</v>
      </c>
      <c r="W831">
        <v>8.415597651626866E-2</v>
      </c>
      <c r="X831">
        <v>3.0556370732091803E-2</v>
      </c>
      <c r="Y831">
        <v>3.6227672838530212E-3</v>
      </c>
    </row>
    <row r="832" spans="1:25" x14ac:dyDescent="0.25">
      <c r="A832" s="1095"/>
      <c r="B832" s="1454">
        <v>582</v>
      </c>
      <c r="C832" s="1099">
        <v>1.0197730546362669</v>
      </c>
      <c r="D832" s="1099">
        <v>0.97952174447842233</v>
      </c>
      <c r="E832" s="1099">
        <v>1.0237535669370006</v>
      </c>
      <c r="F832" s="1099">
        <v>1.0268881137920551</v>
      </c>
      <c r="G832" s="1099">
        <v>1.0392129163091461</v>
      </c>
      <c r="H832" s="1099">
        <v>1.0009231467763673</v>
      </c>
      <c r="I832" s="1099">
        <v>1.0306060987154213</v>
      </c>
      <c r="K832">
        <v>1.777427757848514</v>
      </c>
      <c r="L832">
        <v>0</v>
      </c>
      <c r="M832">
        <v>1.3056965754810971E-3</v>
      </c>
      <c r="N832">
        <v>0.12903977991231236</v>
      </c>
      <c r="O832">
        <v>0.12956219733926852</v>
      </c>
      <c r="P832">
        <v>1.9164323470179375E-2</v>
      </c>
      <c r="Q832">
        <v>9.1071052210114185E-4</v>
      </c>
      <c r="R832">
        <v>1.302358343833857E-3</v>
      </c>
      <c r="S832">
        <v>0.11091091509564553</v>
      </c>
      <c r="T832">
        <v>1.058061858877928</v>
      </c>
      <c r="U832">
        <v>0</v>
      </c>
      <c r="V832">
        <v>0.21154539488040838</v>
      </c>
      <c r="W832">
        <v>8.3592977751063544E-2</v>
      </c>
      <c r="X832">
        <v>3.1098348141652278E-2</v>
      </c>
      <c r="Y832">
        <v>3.544590089603096E-3</v>
      </c>
    </row>
    <row r="833" spans="1:25" x14ac:dyDescent="0.25">
      <c r="A833" s="1095"/>
      <c r="B833" s="1454">
        <v>583</v>
      </c>
      <c r="C833" s="1099">
        <v>0.98709668528976491</v>
      </c>
      <c r="D833" s="1099">
        <v>0.97043064601314133</v>
      </c>
      <c r="E833" s="1099">
        <v>0.99082941303059824</v>
      </c>
      <c r="F833" s="1099">
        <v>0.98833224114554541</v>
      </c>
      <c r="G833" s="1099">
        <v>1.0240009317416883</v>
      </c>
      <c r="H833" s="1099">
        <v>0.97840485118450504</v>
      </c>
      <c r="I833" s="1099">
        <v>1.0264510004599401</v>
      </c>
      <c r="K833">
        <v>1.7343152921612308</v>
      </c>
      <c r="L833">
        <v>0</v>
      </c>
      <c r="M833">
        <v>1.4109697316761452E-3</v>
      </c>
      <c r="N833">
        <v>0.12623850601848446</v>
      </c>
      <c r="O833">
        <v>0.12861509858301717</v>
      </c>
      <c r="P833">
        <v>1.8202734306781834E-2</v>
      </c>
      <c r="Q833">
        <v>9.1280102478618654E-4</v>
      </c>
      <c r="R833">
        <v>1.4072631520770595E-3</v>
      </c>
      <c r="S833">
        <v>0.11260324332057246</v>
      </c>
      <c r="T833">
        <v>1.0192958012571376</v>
      </c>
      <c r="U833">
        <v>0</v>
      </c>
      <c r="V833">
        <v>0.21173466329295698</v>
      </c>
      <c r="W833">
        <v>8.3385011352228089E-2</v>
      </c>
      <c r="X833">
        <v>2.9501033189085528E-2</v>
      </c>
      <c r="Y833">
        <v>3.8301063957803497E-3</v>
      </c>
    </row>
    <row r="834" spans="1:25" x14ac:dyDescent="0.25">
      <c r="A834" s="1095"/>
      <c r="B834" s="1454">
        <v>584</v>
      </c>
      <c r="C834" s="1099">
        <v>1.0113960840734806</v>
      </c>
      <c r="D834" s="1099">
        <v>1.028247267112133</v>
      </c>
      <c r="E834" s="1099">
        <v>1.0173547654251942</v>
      </c>
      <c r="F834" s="1099">
        <v>1.0048909612067092</v>
      </c>
      <c r="G834" s="1099">
        <v>0.99378738607424388</v>
      </c>
      <c r="H834" s="1099">
        <v>0.99868680420021727</v>
      </c>
      <c r="I834" s="1099">
        <v>1.0003363725824834</v>
      </c>
      <c r="K834">
        <v>1.7335556557462224</v>
      </c>
      <c r="L834">
        <v>0</v>
      </c>
      <c r="M834">
        <v>1.2902618594545475E-3</v>
      </c>
      <c r="N834">
        <v>0.12507205315449438</v>
      </c>
      <c r="O834">
        <v>0.12608211317558354</v>
      </c>
      <c r="P834">
        <v>1.8625485879165009E-2</v>
      </c>
      <c r="Q834">
        <v>8.9470377871959147E-4</v>
      </c>
      <c r="R834">
        <v>1.2869164605488154E-3</v>
      </c>
      <c r="S834">
        <v>0.10499565570721119</v>
      </c>
      <c r="T834">
        <v>1.0355841542844237</v>
      </c>
      <c r="U834">
        <v>0</v>
      </c>
      <c r="V834">
        <v>0.20742691182298248</v>
      </c>
      <c r="W834">
        <v>8.1326409121739315E-2</v>
      </c>
      <c r="X834">
        <v>3.0048951847091006E-2</v>
      </c>
      <c r="Y834">
        <v>3.5025623737166712E-3</v>
      </c>
    </row>
    <row r="835" spans="1:25" x14ac:dyDescent="0.25">
      <c r="A835" s="1095"/>
      <c r="B835" s="1454">
        <v>585</v>
      </c>
      <c r="C835" s="1099">
        <v>0.98203076971959169</v>
      </c>
      <c r="D835" s="1099">
        <v>1.010823815613954</v>
      </c>
      <c r="E835" s="1099">
        <v>1.0334815219882585</v>
      </c>
      <c r="F835" s="1099">
        <v>0.97737293377459999</v>
      </c>
      <c r="G835" s="1099">
        <v>0.96500830701105655</v>
      </c>
      <c r="H835" s="1099">
        <v>0.96768856130033665</v>
      </c>
      <c r="I835" s="1099">
        <v>0.98579382246626734</v>
      </c>
      <c r="K835">
        <v>1.7087519898838899</v>
      </c>
      <c r="L835">
        <v>0</v>
      </c>
      <c r="M835">
        <v>1.2516268057800733E-3</v>
      </c>
      <c r="N835">
        <v>0.12736195007861315</v>
      </c>
      <c r="O835">
        <v>0.12633931919321531</v>
      </c>
      <c r="P835">
        <v>1.8449228011976248E-2</v>
      </c>
      <c r="Q835">
        <v>9.432102617720978E-4</v>
      </c>
      <c r="R835">
        <v>1.2482722993995827E-3</v>
      </c>
      <c r="S835">
        <v>0.10523311546902497</v>
      </c>
      <c r="T835">
        <v>1.0067689445851093</v>
      </c>
      <c r="U835">
        <v>0</v>
      </c>
      <c r="V835">
        <v>0.20763192459059782</v>
      </c>
      <c r="W835">
        <v>8.2040976480181188E-2</v>
      </c>
      <c r="X835">
        <v>3.0589290013665546E-2</v>
      </c>
      <c r="Y835">
        <v>3.3973857061127574E-3</v>
      </c>
    </row>
    <row r="836" spans="1:25" x14ac:dyDescent="0.25">
      <c r="A836" s="1095"/>
      <c r="B836" s="1454">
        <v>586</v>
      </c>
      <c r="C836" s="1099">
        <v>1.0178532209609259</v>
      </c>
      <c r="D836" s="1099">
        <v>1.0126878886855044</v>
      </c>
      <c r="E836" s="1099">
        <v>0.98686375372369739</v>
      </c>
      <c r="F836" s="1099">
        <v>0.98017453573666491</v>
      </c>
      <c r="G836" s="1099">
        <v>1.0083042843388412</v>
      </c>
      <c r="H836" s="1099">
        <v>1.0005716237621451</v>
      </c>
      <c r="I836" s="1099">
        <v>1.0346540728455442</v>
      </c>
      <c r="K836">
        <v>1.7046559603129254</v>
      </c>
      <c r="L836">
        <v>0</v>
      </c>
      <c r="M836">
        <v>1.3785629285430901E-3</v>
      </c>
      <c r="N836">
        <v>0.12187415705223044</v>
      </c>
      <c r="O836">
        <v>0.12446586480273307</v>
      </c>
      <c r="P836">
        <v>1.7918010602807587E-2</v>
      </c>
      <c r="Q836">
        <v>8.6666229325197232E-4</v>
      </c>
      <c r="R836">
        <v>1.3749999787811414E-3</v>
      </c>
      <c r="S836">
        <v>0.10889832680625736</v>
      </c>
      <c r="T836">
        <v>1.0109993642991693</v>
      </c>
      <c r="U836">
        <v>0</v>
      </c>
      <c r="V836">
        <v>0.2066798973602004</v>
      </c>
      <c r="W836">
        <v>8.0693853269247648E-2</v>
      </c>
      <c r="X836">
        <v>2.8521090103167512E-2</v>
      </c>
      <c r="Y836">
        <v>3.7422966736210812E-3</v>
      </c>
    </row>
    <row r="837" spans="1:25" x14ac:dyDescent="0.25">
      <c r="A837" s="1095"/>
      <c r="B837" s="1454">
        <v>587</v>
      </c>
      <c r="C837" s="1099">
        <v>0.96632202457907967</v>
      </c>
      <c r="D837" s="1099">
        <v>1.0134897139213261</v>
      </c>
      <c r="E837" s="1099">
        <v>0.97171279552744683</v>
      </c>
      <c r="F837" s="1099">
        <v>0.98742364343835309</v>
      </c>
      <c r="G837" s="1099">
        <v>1.0237816345924466</v>
      </c>
      <c r="H837" s="1099">
        <v>0.99768373964012858</v>
      </c>
      <c r="I837" s="1099">
        <v>1.0118652668260324</v>
      </c>
      <c r="K837">
        <v>1.7312920822579057</v>
      </c>
      <c r="L837">
        <v>0</v>
      </c>
      <c r="M837">
        <v>1.4877565183754227E-3</v>
      </c>
      <c r="N837">
        <v>0.12563176649860144</v>
      </c>
      <c r="O837">
        <v>0.12757708684967875</v>
      </c>
      <c r="P837">
        <v>1.7927947662220528E-2</v>
      </c>
      <c r="Q837">
        <v>8.9820940187081697E-4</v>
      </c>
      <c r="R837">
        <v>1.4838853693348955E-3</v>
      </c>
      <c r="S837">
        <v>0.11162059176219202</v>
      </c>
      <c r="T837">
        <v>1.0189304211017052</v>
      </c>
      <c r="U837">
        <v>0</v>
      </c>
      <c r="V837">
        <v>0.2121329867166997</v>
      </c>
      <c r="W837">
        <v>8.3946716146830483E-2</v>
      </c>
      <c r="X837">
        <v>2.8591580454497778E-2</v>
      </c>
      <c r="Y837">
        <v>4.0386468126490495E-3</v>
      </c>
    </row>
    <row r="838" spans="1:25" x14ac:dyDescent="0.25">
      <c r="A838" s="1095"/>
      <c r="B838" s="1454">
        <v>588</v>
      </c>
      <c r="C838" s="1099">
        <v>0.98109862277866666</v>
      </c>
      <c r="D838" s="1099">
        <v>1.0327686141224846</v>
      </c>
      <c r="E838" s="1099">
        <v>1.0168600311375802</v>
      </c>
      <c r="F838" s="1099">
        <v>1.0167470340163656</v>
      </c>
      <c r="G838" s="1099">
        <v>0.9822853898734214</v>
      </c>
      <c r="H838" s="1099">
        <v>0.96250592663293033</v>
      </c>
      <c r="I838" s="1099">
        <v>1.0156115811887485</v>
      </c>
      <c r="K838">
        <v>1.7508750819481673</v>
      </c>
      <c r="L838">
        <v>0</v>
      </c>
      <c r="M838">
        <v>1.2780702911665829E-3</v>
      </c>
      <c r="N838">
        <v>0.12369260024094715</v>
      </c>
      <c r="O838">
        <v>0.12833698813269909</v>
      </c>
      <c r="P838">
        <v>1.8848708254222881E-2</v>
      </c>
      <c r="Q838">
        <v>9.2024811075143214E-4</v>
      </c>
      <c r="R838">
        <v>1.2746240855812947E-3</v>
      </c>
      <c r="S838">
        <v>0.10692161575289764</v>
      </c>
      <c r="T838">
        <v>1.0478170544661378</v>
      </c>
      <c r="U838">
        <v>0</v>
      </c>
      <c r="V838">
        <v>0.20991911486657372</v>
      </c>
      <c r="W838">
        <v>8.0452774915188541E-2</v>
      </c>
      <c r="X838">
        <v>3.05003168330969E-2</v>
      </c>
      <c r="Y838">
        <v>3.4691065812353992E-3</v>
      </c>
    </row>
    <row r="839" spans="1:25" x14ac:dyDescent="0.25">
      <c r="A839" s="1095"/>
      <c r="B839" s="1454">
        <v>589</v>
      </c>
      <c r="C839" s="1099">
        <v>0.96437451797458962</v>
      </c>
      <c r="D839" s="1099">
        <v>0.991098020401316</v>
      </c>
      <c r="E839" s="1099">
        <v>1.0274195579798788</v>
      </c>
      <c r="F839" s="1099">
        <v>1.0039857552267191</v>
      </c>
      <c r="G839" s="1099">
        <v>1.0051126676535502</v>
      </c>
      <c r="H839" s="1099">
        <v>0.99504636825646975</v>
      </c>
      <c r="I839" s="1099">
        <v>0.98986663796337604</v>
      </c>
      <c r="K839">
        <v>1.7645373616553075</v>
      </c>
      <c r="L839">
        <v>0</v>
      </c>
      <c r="M839">
        <v>1.3437700591004684E-3</v>
      </c>
      <c r="N839">
        <v>0.13427366638591326</v>
      </c>
      <c r="O839">
        <v>0.13021676377608152</v>
      </c>
      <c r="P839">
        <v>1.8907979031812572E-2</v>
      </c>
      <c r="Q839">
        <v>9.6211192177502933E-4</v>
      </c>
      <c r="R839">
        <v>1.3402833330962661E-3</v>
      </c>
      <c r="S839">
        <v>0.11093324849043208</v>
      </c>
      <c r="T839">
        <v>1.0343576207199734</v>
      </c>
      <c r="U839">
        <v>0</v>
      </c>
      <c r="V839">
        <v>0.21312132677983678</v>
      </c>
      <c r="W839">
        <v>8.6797983417788119E-2</v>
      </c>
      <c r="X839">
        <v>3.132233844929061E-2</v>
      </c>
      <c r="Y839">
        <v>3.6478094084060244E-3</v>
      </c>
    </row>
    <row r="840" spans="1:25" x14ac:dyDescent="0.25">
      <c r="A840" s="1095"/>
      <c r="B840" s="1454">
        <v>590</v>
      </c>
      <c r="C840" s="1099">
        <v>1.01430746252991</v>
      </c>
      <c r="D840" s="1099">
        <v>1.0116057226045996</v>
      </c>
      <c r="E840" s="1099">
        <v>1.0202937852135985</v>
      </c>
      <c r="F840" s="1099">
        <v>0.99352234350673507</v>
      </c>
      <c r="G840" s="1099">
        <v>1.0132713930257951</v>
      </c>
      <c r="H840" s="1099">
        <v>1.0222171414770118</v>
      </c>
      <c r="I840" s="1099">
        <v>1.0164162871395259</v>
      </c>
      <c r="K840">
        <v>1.7328605294942498</v>
      </c>
      <c r="L840">
        <v>0</v>
      </c>
      <c r="M840">
        <v>1.3205547084545481E-3</v>
      </c>
      <c r="N840">
        <v>0.12915712879216468</v>
      </c>
      <c r="O840">
        <v>0.12583134426916268</v>
      </c>
      <c r="P840">
        <v>1.856680303386813E-2</v>
      </c>
      <c r="Q840">
        <v>9.0069061870842759E-4</v>
      </c>
      <c r="R840">
        <v>1.3172175349624709E-3</v>
      </c>
      <c r="S840">
        <v>0.10904889437717671</v>
      </c>
      <c r="T840">
        <v>1.0237831247396754</v>
      </c>
      <c r="U840">
        <v>0</v>
      </c>
      <c r="V840">
        <v>0.20803019768666034</v>
      </c>
      <c r="W840">
        <v>8.3838258198250568E-2</v>
      </c>
      <c r="X840">
        <v>3.0122393042547865E-2</v>
      </c>
      <c r="Y840">
        <v>3.5850319095241455E-3</v>
      </c>
    </row>
    <row r="841" spans="1:25" x14ac:dyDescent="0.25">
      <c r="A841" s="1095"/>
      <c r="B841" s="1454">
        <v>591</v>
      </c>
      <c r="C841" s="1099">
        <v>1.0347870355768027</v>
      </c>
      <c r="D841" s="1099">
        <v>1.0265212213054127</v>
      </c>
      <c r="E841" s="1099">
        <v>1.0033631181259313</v>
      </c>
      <c r="F841" s="1099">
        <v>0.97855812966122657</v>
      </c>
      <c r="G841" s="1099">
        <v>1.0153677542248392</v>
      </c>
      <c r="H841" s="1099">
        <v>1.002890078382531</v>
      </c>
      <c r="I841" s="1099">
        <v>1.0149216235850673</v>
      </c>
      <c r="K841">
        <v>1.6934805685773668</v>
      </c>
      <c r="L841">
        <v>0</v>
      </c>
      <c r="M841">
        <v>1.3045411558744214E-3</v>
      </c>
      <c r="N841">
        <v>0.12122729404996525</v>
      </c>
      <c r="O841">
        <v>0.12297784508775161</v>
      </c>
      <c r="P841">
        <v>1.8031053579728198E-2</v>
      </c>
      <c r="Q841">
        <v>8.6253331291207133E-4</v>
      </c>
      <c r="R841">
        <v>1.3011726704310774E-3</v>
      </c>
      <c r="S841">
        <v>0.10446078999172281</v>
      </c>
      <c r="T841">
        <v>1.008849815065465</v>
      </c>
      <c r="U841">
        <v>0</v>
      </c>
      <c r="V841">
        <v>0.20523734324510531</v>
      </c>
      <c r="W841">
        <v>7.947927607404745E-2</v>
      </c>
      <c r="X841">
        <v>2.8816623578654443E-2</v>
      </c>
      <c r="Y841">
        <v>3.541363077457864E-3</v>
      </c>
    </row>
    <row r="842" spans="1:25" x14ac:dyDescent="0.25">
      <c r="A842" s="1095"/>
      <c r="B842" s="1454">
        <v>592</v>
      </c>
      <c r="C842" s="1099">
        <v>1.0107186332453291</v>
      </c>
      <c r="D842" s="1099">
        <v>0.98106844885866673</v>
      </c>
      <c r="E842" s="1099">
        <v>0.98931819679893629</v>
      </c>
      <c r="F842" s="1099">
        <v>0.97922424330487423</v>
      </c>
      <c r="G842" s="1099">
        <v>1.0031452235282896</v>
      </c>
      <c r="H842" s="1099">
        <v>0.98482309184198924</v>
      </c>
      <c r="I842" s="1099">
        <v>1.0325753917066292</v>
      </c>
      <c r="K842">
        <v>1.7107973532261183</v>
      </c>
      <c r="L842">
        <v>0</v>
      </c>
      <c r="M842">
        <v>1.3841784875951229E-3</v>
      </c>
      <c r="N842">
        <v>0.1232788139159476</v>
      </c>
      <c r="O842">
        <v>0.12618541277959627</v>
      </c>
      <c r="P842">
        <v>1.7974338764646325E-2</v>
      </c>
      <c r="Q842">
        <v>8.8619141108324875E-4</v>
      </c>
      <c r="R842">
        <v>1.3805629896974604E-3</v>
      </c>
      <c r="S842">
        <v>0.11043108275450612</v>
      </c>
      <c r="T842">
        <v>1.0099468863022771</v>
      </c>
      <c r="U842">
        <v>0</v>
      </c>
      <c r="V842">
        <v>0.20790801415689306</v>
      </c>
      <c r="W842">
        <v>8.1503778262032853E-2</v>
      </c>
      <c r="X842">
        <v>2.8929013021543843E-2</v>
      </c>
      <c r="Y842">
        <v>3.7574373554892441E-3</v>
      </c>
    </row>
    <row r="843" spans="1:25" x14ac:dyDescent="0.25">
      <c r="A843" s="1095"/>
      <c r="B843" s="1454">
        <v>593</v>
      </c>
      <c r="C843" s="1099">
        <v>1.0309684607209793</v>
      </c>
      <c r="D843" s="1099">
        <v>1.0023619696093329</v>
      </c>
      <c r="E843" s="1099">
        <v>1.0137271255904943</v>
      </c>
      <c r="F843" s="1099">
        <v>1.005520112418933</v>
      </c>
      <c r="G843" s="1099">
        <v>1.0073866708493568</v>
      </c>
      <c r="H843" s="1099">
        <v>1.0288388418673999</v>
      </c>
      <c r="I843" s="1099">
        <v>1.0284221703661516</v>
      </c>
      <c r="K843">
        <v>1.7444258610878289</v>
      </c>
      <c r="L843">
        <v>0</v>
      </c>
      <c r="M843">
        <v>1.3359370739826947E-3</v>
      </c>
      <c r="N843">
        <v>0.12810149062064469</v>
      </c>
      <c r="O843">
        <v>0.12629118063949576</v>
      </c>
      <c r="P843">
        <v>1.8650187517677518E-2</v>
      </c>
      <c r="Q843">
        <v>8.8341413559740668E-4</v>
      </c>
      <c r="R843">
        <v>1.3325964408003293E-3</v>
      </c>
      <c r="S843">
        <v>0.10978939561328867</v>
      </c>
      <c r="T843">
        <v>1.0363392730147891</v>
      </c>
      <c r="U843">
        <v>0</v>
      </c>
      <c r="V843">
        <v>0.20727108988198964</v>
      </c>
      <c r="W843">
        <v>8.3473854940908337E-2</v>
      </c>
      <c r="X843">
        <v>3.0002427135059503E-2</v>
      </c>
      <c r="Y843">
        <v>3.6268882215598481E-3</v>
      </c>
    </row>
    <row r="844" spans="1:25" x14ac:dyDescent="0.25">
      <c r="A844" s="1095"/>
      <c r="B844" s="1454">
        <v>594</v>
      </c>
      <c r="C844" s="1099">
        <v>1.0118353289198225</v>
      </c>
      <c r="D844" s="1099">
        <v>1.01112708811148</v>
      </c>
      <c r="E844" s="1099">
        <v>0.99095903052184398</v>
      </c>
      <c r="F844" s="1099">
        <v>1.0204951507103248</v>
      </c>
      <c r="G844" s="1099">
        <v>1.017203450533241</v>
      </c>
      <c r="H844" s="1099">
        <v>1.0102981309455457</v>
      </c>
      <c r="I844" s="1099">
        <v>1.0449969938739376</v>
      </c>
      <c r="K844">
        <v>1.7617004161659167</v>
      </c>
      <c r="L844">
        <v>0</v>
      </c>
      <c r="M844">
        <v>1.393769982562115E-3</v>
      </c>
      <c r="N844">
        <v>0.12475798320977673</v>
      </c>
      <c r="O844">
        <v>0.12788921044201759</v>
      </c>
      <c r="P844">
        <v>1.8614227793529902E-2</v>
      </c>
      <c r="Q844">
        <v>8.7608879278797743E-4</v>
      </c>
      <c r="R844">
        <v>1.3902139143133817E-3</v>
      </c>
      <c r="S844">
        <v>0.11166393918293831</v>
      </c>
      <c r="T844">
        <v>1.0524623778556355</v>
      </c>
      <c r="U844">
        <v>0</v>
      </c>
      <c r="V844">
        <v>0.20975375226449111</v>
      </c>
      <c r="W844">
        <v>8.2400679482975608E-2</v>
      </c>
      <c r="X844">
        <v>2.9502009219143348E-2</v>
      </c>
      <c r="Y844">
        <v>3.7837039908673381E-3</v>
      </c>
    </row>
    <row r="845" spans="1:25" x14ac:dyDescent="0.25">
      <c r="A845" s="1095"/>
      <c r="B845" s="1454">
        <v>595</v>
      </c>
      <c r="C845" s="1099">
        <v>0.98554563154734653</v>
      </c>
      <c r="D845" s="1099">
        <v>1.0378528194351029</v>
      </c>
      <c r="E845" s="1099">
        <v>0.98325592746975254</v>
      </c>
      <c r="F845" s="1099">
        <v>1.0081529728386283</v>
      </c>
      <c r="G845" s="1099">
        <v>1.0129016121573204</v>
      </c>
      <c r="H845" s="1099">
        <v>0.98460592606914654</v>
      </c>
      <c r="I845" s="1099">
        <v>1.0100521146782504</v>
      </c>
      <c r="K845">
        <v>1.7386510335952532</v>
      </c>
      <c r="L845">
        <v>0</v>
      </c>
      <c r="M845">
        <v>1.3909544512172437E-3</v>
      </c>
      <c r="N845">
        <v>0.12162842633212788</v>
      </c>
      <c r="O845">
        <v>0.12709480919767904</v>
      </c>
      <c r="P845">
        <v>1.8282908992185265E-2</v>
      </c>
      <c r="Q845">
        <v>8.8299190557325426E-4</v>
      </c>
      <c r="R845">
        <v>1.387283348022079E-3</v>
      </c>
      <c r="S845">
        <v>0.10700172187037206</v>
      </c>
      <c r="T845">
        <v>1.0399674205318012</v>
      </c>
      <c r="U845">
        <v>0</v>
      </c>
      <c r="V845">
        <v>0.21032469198956086</v>
      </c>
      <c r="W845">
        <v>8.0706077217708977E-2</v>
      </c>
      <c r="X845">
        <v>2.8989928705955029E-2</v>
      </c>
      <c r="Y845">
        <v>3.7757279554833313E-3</v>
      </c>
    </row>
    <row r="846" spans="1:25" x14ac:dyDescent="0.25">
      <c r="A846" s="1095"/>
      <c r="B846" s="1454">
        <v>596</v>
      </c>
      <c r="C846" s="1099">
        <v>0.99687620948331102</v>
      </c>
      <c r="D846" s="1099">
        <v>0.99842294078742422</v>
      </c>
      <c r="E846" s="1099">
        <v>1.0028070078369176</v>
      </c>
      <c r="F846" s="1099">
        <v>0.99715130847449684</v>
      </c>
      <c r="G846" s="1099">
        <v>0.98799395048067562</v>
      </c>
      <c r="H846" s="1099">
        <v>1.0442196345600143</v>
      </c>
      <c r="I846" s="1099">
        <v>0.97795686126852888</v>
      </c>
      <c r="K846">
        <v>1.7464996532902217</v>
      </c>
      <c r="L846">
        <v>0</v>
      </c>
      <c r="M846">
        <v>1.4327942608251426E-3</v>
      </c>
      <c r="N846">
        <v>0.13293690344972267</v>
      </c>
      <c r="O846">
        <v>0.1275223044944726</v>
      </c>
      <c r="P846">
        <v>1.8396830490805788E-2</v>
      </c>
      <c r="Q846">
        <v>9.0480914960589898E-4</v>
      </c>
      <c r="R846">
        <v>1.4292545564605131E-3</v>
      </c>
      <c r="S846">
        <v>0.10902543613803851</v>
      </c>
      <c r="T846">
        <v>1.0280349871508452</v>
      </c>
      <c r="U846">
        <v>0</v>
      </c>
      <c r="V846">
        <v>0.2087909603192252</v>
      </c>
      <c r="W846">
        <v>8.7185094864698276E-2</v>
      </c>
      <c r="X846">
        <v>2.9815907188123675E-2</v>
      </c>
      <c r="Y846">
        <v>3.8899597490476058E-3</v>
      </c>
    </row>
    <row r="847" spans="1:25" x14ac:dyDescent="0.25">
      <c r="A847" s="1095"/>
      <c r="B847" s="1454">
        <v>597</v>
      </c>
      <c r="C847" s="1099">
        <v>0.99984676952142726</v>
      </c>
      <c r="D847" s="1099">
        <v>0.98993789118530973</v>
      </c>
      <c r="E847" s="1099">
        <v>0.96752758012958562</v>
      </c>
      <c r="F847" s="1099">
        <v>0.98202118617334055</v>
      </c>
      <c r="G847" s="1099">
        <v>1.0000666119936863</v>
      </c>
      <c r="H847" s="1099">
        <v>1.0216543832514529</v>
      </c>
      <c r="I847" s="1099">
        <v>1.009884378096739</v>
      </c>
      <c r="K847">
        <v>1.7206106460793811</v>
      </c>
      <c r="L847">
        <v>0</v>
      </c>
      <c r="M847">
        <v>1.5094338223163484E-3</v>
      </c>
      <c r="N847">
        <v>0.12586704969444806</v>
      </c>
      <c r="O847">
        <v>0.12646095507575117</v>
      </c>
      <c r="P847">
        <v>1.7742470580995703E-2</v>
      </c>
      <c r="Q847">
        <v>8.7243924937861208E-4</v>
      </c>
      <c r="R847">
        <v>1.5056243479976924E-3</v>
      </c>
      <c r="S847">
        <v>0.11109865911488724</v>
      </c>
      <c r="T847">
        <v>1.0134814904399341</v>
      </c>
      <c r="U847">
        <v>0</v>
      </c>
      <c r="V847">
        <v>0.20848518566721747</v>
      </c>
      <c r="W847">
        <v>8.4318504267449926E-2</v>
      </c>
      <c r="X847">
        <v>2.8189888317319008E-2</v>
      </c>
      <c r="Y847">
        <v>4.0978131463167934E-3</v>
      </c>
    </row>
    <row r="848" spans="1:25" x14ac:dyDescent="0.25">
      <c r="A848" s="1095"/>
      <c r="B848" s="1454">
        <v>598</v>
      </c>
      <c r="C848" s="1099">
        <v>1.0036287503211272</v>
      </c>
      <c r="D848" s="1099">
        <v>1.0120624105926543</v>
      </c>
      <c r="E848" s="1099">
        <v>0.99691549068767493</v>
      </c>
      <c r="F848" s="1099">
        <v>1.0102498801896793</v>
      </c>
      <c r="G848" s="1099">
        <v>0.97271162189075044</v>
      </c>
      <c r="H848" s="1099">
        <v>0.98128645655760072</v>
      </c>
      <c r="I848" s="1099">
        <v>1.0308605123423202</v>
      </c>
      <c r="K848">
        <v>1.7416896121039118</v>
      </c>
      <c r="L848">
        <v>0</v>
      </c>
      <c r="M848">
        <v>1.3453092665298458E-3</v>
      </c>
      <c r="N848">
        <v>0.12259804318815008</v>
      </c>
      <c r="O848">
        <v>0.12752301347349931</v>
      </c>
      <c r="P848">
        <v>1.8485294082391295E-2</v>
      </c>
      <c r="Q848">
        <v>8.8841319966402696E-4</v>
      </c>
      <c r="R848">
        <v>1.3417694125536263E-3</v>
      </c>
      <c r="S848">
        <v>0.10882291336164848</v>
      </c>
      <c r="T848">
        <v>1.0417162031205016</v>
      </c>
      <c r="U848">
        <v>0</v>
      </c>
      <c r="V848">
        <v>0.20774336540706126</v>
      </c>
      <c r="W848">
        <v>8.0686544409775351E-2</v>
      </c>
      <c r="X848">
        <v>2.9577507688394185E-2</v>
      </c>
      <c r="Y848">
        <v>3.6518540268029964E-3</v>
      </c>
    </row>
    <row r="849" spans="1:25" x14ac:dyDescent="0.25">
      <c r="A849" s="1095"/>
      <c r="B849" s="1454">
        <v>599</v>
      </c>
      <c r="C849" s="1099">
        <v>0.98129423247662362</v>
      </c>
      <c r="D849" s="1099">
        <v>1.0225551316962955</v>
      </c>
      <c r="E849" s="1099">
        <v>0.97203864080638125</v>
      </c>
      <c r="F849" s="1099">
        <v>0.97243832643500316</v>
      </c>
      <c r="G849" s="1099">
        <v>0.9672420169771514</v>
      </c>
      <c r="H849" s="1099">
        <v>1.0014728386033813</v>
      </c>
      <c r="I849" s="1099">
        <v>0.99343238676612511</v>
      </c>
      <c r="K849">
        <v>1.6999700966972184</v>
      </c>
      <c r="L849">
        <v>0</v>
      </c>
      <c r="M849">
        <v>1.4619295637994766E-3</v>
      </c>
      <c r="N849">
        <v>0.12357335945479522</v>
      </c>
      <c r="O849">
        <v>0.12523865239274901</v>
      </c>
      <c r="P849">
        <v>1.7603698499716307E-2</v>
      </c>
      <c r="Q849">
        <v>8.8166219355058405E-4</v>
      </c>
      <c r="R849">
        <v>1.4581335888954484E-3</v>
      </c>
      <c r="S849">
        <v>0.10758630335099088</v>
      </c>
      <c r="T849">
        <v>1.0034572659611294</v>
      </c>
      <c r="U849">
        <v>0</v>
      </c>
      <c r="V849">
        <v>0.2070294240528954</v>
      </c>
      <c r="W849">
        <v>8.2554946038064986E-2</v>
      </c>
      <c r="X849">
        <v>2.8080021772863055E-2</v>
      </c>
      <c r="Y849">
        <v>3.9685589553650142E-3</v>
      </c>
    </row>
    <row r="850" spans="1:25" x14ac:dyDescent="0.25">
      <c r="A850" s="1095"/>
      <c r="B850" s="1454">
        <v>600</v>
      </c>
      <c r="C850" s="1099">
        <v>1.0121193474942753</v>
      </c>
      <c r="D850" s="1099">
        <v>0.97106150586259232</v>
      </c>
      <c r="E850" s="1099">
        <v>0.9895856251089975</v>
      </c>
      <c r="F850" s="1099">
        <v>1.0262142740118814</v>
      </c>
      <c r="G850" s="1099">
        <v>0.98606210346656242</v>
      </c>
      <c r="H850" s="1099">
        <v>0.97009198369337568</v>
      </c>
      <c r="I850" s="1099">
        <v>0.98960176654076504</v>
      </c>
      <c r="K850">
        <v>1.7605420228335018</v>
      </c>
      <c r="L850">
        <v>0</v>
      </c>
      <c r="M850">
        <v>1.3749038415497876E-3</v>
      </c>
      <c r="N850">
        <v>0.12254897708457917</v>
      </c>
      <c r="O850">
        <v>0.13017038847376972</v>
      </c>
      <c r="P850">
        <v>1.8593413690086432E-2</v>
      </c>
      <c r="Q850">
        <v>8.8884944800572555E-4</v>
      </c>
      <c r="R850">
        <v>1.3712805175668239E-3</v>
      </c>
      <c r="S850">
        <v>0.1056253834425851</v>
      </c>
      <c r="T850">
        <v>1.0584029598806526</v>
      </c>
      <c r="U850">
        <v>0</v>
      </c>
      <c r="V850">
        <v>0.20973799968426721</v>
      </c>
      <c r="W850">
        <v>8.1008273871516573E-2</v>
      </c>
      <c r="X850">
        <v>2.9837227055705667E-2</v>
      </c>
      <c r="Y850">
        <v>3.7321735263157675E-3</v>
      </c>
    </row>
    <row r="851" spans="1:25" x14ac:dyDescent="0.25">
      <c r="A851" s="1095"/>
      <c r="B851" s="1454">
        <v>601</v>
      </c>
      <c r="C851" s="1099">
        <v>1.0044223068177236</v>
      </c>
      <c r="D851" s="1099">
        <v>0.97779085495054574</v>
      </c>
      <c r="E851" s="1099">
        <v>0.97738676011733161</v>
      </c>
      <c r="F851" s="1099">
        <v>1.0019259926772519</v>
      </c>
      <c r="G851" s="1099">
        <v>1.0030513345421315</v>
      </c>
      <c r="H851" s="1099">
        <v>0.99422418080065589</v>
      </c>
      <c r="I851" s="1099">
        <v>1.0264594492759838</v>
      </c>
      <c r="K851">
        <v>1.7421781741662257</v>
      </c>
      <c r="L851">
        <v>0</v>
      </c>
      <c r="M851">
        <v>1.4463101837522327E-3</v>
      </c>
      <c r="N851">
        <v>0.12425005298849892</v>
      </c>
      <c r="O851">
        <v>0.1283561879039396</v>
      </c>
      <c r="P851">
        <v>1.8169195789711379E-2</v>
      </c>
      <c r="Q851">
        <v>8.8186547463991679E-4</v>
      </c>
      <c r="R851">
        <v>1.4425761018080389E-3</v>
      </c>
      <c r="S851">
        <v>0.11146011840370272</v>
      </c>
      <c r="T851">
        <v>1.0337221964911549</v>
      </c>
      <c r="U851">
        <v>0</v>
      </c>
      <c r="V851">
        <v>0.20969182559876196</v>
      </c>
      <c r="W851">
        <v>8.2738274025817973E-2</v>
      </c>
      <c r="X851">
        <v>2.8985974967903293E-2</v>
      </c>
      <c r="Y851">
        <v>3.9262166040373277E-3</v>
      </c>
    </row>
    <row r="852" spans="1:25" x14ac:dyDescent="0.25">
      <c r="A852" s="1095"/>
      <c r="B852" s="1454">
        <v>602</v>
      </c>
      <c r="C852" s="1099">
        <v>0.98634005398274449</v>
      </c>
      <c r="D852" s="1099">
        <v>1.0097540724917771</v>
      </c>
      <c r="E852" s="1099">
        <v>1.0410167389978346</v>
      </c>
      <c r="F852" s="1099">
        <v>1.0170806672009705</v>
      </c>
      <c r="G852" s="1099">
        <v>1.0071886682366529</v>
      </c>
      <c r="H852" s="1099">
        <v>1.0216683551301711</v>
      </c>
      <c r="I852" s="1099">
        <v>0.99925719171626604</v>
      </c>
      <c r="K852">
        <v>1.7762234195732793</v>
      </c>
      <c r="L852">
        <v>0</v>
      </c>
      <c r="M852">
        <v>1.3009406515124547E-3</v>
      </c>
      <c r="N852">
        <v>0.13544045364570831</v>
      </c>
      <c r="O852">
        <v>0.12922627389663657</v>
      </c>
      <c r="P852">
        <v>1.9247104465291664E-2</v>
      </c>
      <c r="Q852">
        <v>9.4671117892099112E-4</v>
      </c>
      <c r="R852">
        <v>1.2976514952716526E-3</v>
      </c>
      <c r="S852">
        <v>0.11035074237727119</v>
      </c>
      <c r="T852">
        <v>1.0474515708882457</v>
      </c>
      <c r="U852">
        <v>0</v>
      </c>
      <c r="V852">
        <v>0.21143658309060834</v>
      </c>
      <c r="W852">
        <v>8.6866170288246558E-2</v>
      </c>
      <c r="X852">
        <v>3.1729319299159703E-2</v>
      </c>
      <c r="Y852">
        <v>3.5317795994289892E-3</v>
      </c>
    </row>
    <row r="853" spans="1:25" x14ac:dyDescent="0.25">
      <c r="A853" s="1095"/>
      <c r="B853" s="1454">
        <v>603</v>
      </c>
      <c r="C853" s="1099">
        <v>0.99975983013101599</v>
      </c>
      <c r="D853" s="1099">
        <v>1.0037406934753534</v>
      </c>
      <c r="E853" s="1099">
        <v>1.0103930218428938</v>
      </c>
      <c r="F853" s="1099">
        <v>0.98265261240715263</v>
      </c>
      <c r="G853" s="1099">
        <v>0.9824348619593618</v>
      </c>
      <c r="H853" s="1099">
        <v>0.962223369379268</v>
      </c>
      <c r="I853" s="1099">
        <v>1.0205547465834786</v>
      </c>
      <c r="K853">
        <v>1.7082817505006509</v>
      </c>
      <c r="L853">
        <v>0</v>
      </c>
      <c r="M853">
        <v>1.2905293495305559E-3</v>
      </c>
      <c r="N853">
        <v>0.12248540355827288</v>
      </c>
      <c r="O853">
        <v>0.12606019437259469</v>
      </c>
      <c r="P853">
        <v>1.8247484464709748E-2</v>
      </c>
      <c r="Q853">
        <v>9.0736826104000925E-4</v>
      </c>
      <c r="R853">
        <v>1.2870623894170067E-3</v>
      </c>
      <c r="S853">
        <v>0.10718513191375129</v>
      </c>
      <c r="T853">
        <v>1.0128671044378925</v>
      </c>
      <c r="U853">
        <v>0</v>
      </c>
      <c r="V853">
        <v>0.20738431892807072</v>
      </c>
      <c r="W853">
        <v>7.9971102093479421E-2</v>
      </c>
      <c r="X853">
        <v>2.9674149886960752E-2</v>
      </c>
      <c r="Y853">
        <v>3.502959543990449E-3</v>
      </c>
    </row>
    <row r="854" spans="1:25" x14ac:dyDescent="0.25">
      <c r="A854" s="1095"/>
      <c r="B854" s="1454">
        <v>604</v>
      </c>
      <c r="C854" s="1099">
        <v>0.98457313693046156</v>
      </c>
      <c r="D854" s="1099">
        <v>0.96913856657739827</v>
      </c>
      <c r="E854" s="1099">
        <v>1.0213830165455804</v>
      </c>
      <c r="F854" s="1099">
        <v>1.0117295098891392</v>
      </c>
      <c r="G854" s="1099">
        <v>0.99651100523534886</v>
      </c>
      <c r="H854" s="1099">
        <v>1.009790490668339</v>
      </c>
      <c r="I854" s="1099">
        <v>1.0270455799060219</v>
      </c>
      <c r="K854">
        <v>1.777988949108432</v>
      </c>
      <c r="L854">
        <v>0</v>
      </c>
      <c r="M854">
        <v>1.3738884145391816E-3</v>
      </c>
      <c r="N854">
        <v>0.13481396132434512</v>
      </c>
      <c r="O854">
        <v>0.13074523806946317</v>
      </c>
      <c r="P854">
        <v>1.8986522282951803E-2</v>
      </c>
      <c r="Q854">
        <v>9.4500149617417705E-4</v>
      </c>
      <c r="R854">
        <v>1.3703988903919061E-3</v>
      </c>
      <c r="S854">
        <v>0.1155732052534723</v>
      </c>
      <c r="T854">
        <v>1.0425127683479423</v>
      </c>
      <c r="U854">
        <v>0</v>
      </c>
      <c r="V854">
        <v>0.21199227601083742</v>
      </c>
      <c r="W854">
        <v>8.7454499709393507E-2</v>
      </c>
      <c r="X854">
        <v>3.1239192110224853E-2</v>
      </c>
      <c r="Y854">
        <v>3.7297740277739619E-3</v>
      </c>
    </row>
    <row r="855" spans="1:25" x14ac:dyDescent="0.25">
      <c r="A855" s="1095"/>
      <c r="B855" s="1454">
        <v>605</v>
      </c>
      <c r="C855" s="1099">
        <v>1.0153574429308925</v>
      </c>
      <c r="D855" s="1099">
        <v>1.0194711921770041</v>
      </c>
      <c r="E855" s="1099">
        <v>0.99603886070638081</v>
      </c>
      <c r="F855" s="1099">
        <v>0.97662593397385078</v>
      </c>
      <c r="G855" s="1099">
        <v>1.0263173594634218</v>
      </c>
      <c r="H855" s="1099">
        <v>1.0344514287933595</v>
      </c>
      <c r="I855" s="1099">
        <v>0.96671431143755227</v>
      </c>
      <c r="K855">
        <v>1.7040856512248728</v>
      </c>
      <c r="L855">
        <v>0</v>
      </c>
      <c r="M855">
        <v>1.3956333882933593E-3</v>
      </c>
      <c r="N855">
        <v>0.12686373767706077</v>
      </c>
      <c r="O855">
        <v>0.12405948439228794</v>
      </c>
      <c r="P855">
        <v>1.7928839784601181E-2</v>
      </c>
      <c r="Q855">
        <v>8.7479562958712553E-4</v>
      </c>
      <c r="R855">
        <v>1.3921382713861373E-3</v>
      </c>
      <c r="S855">
        <v>0.10378588864166026</v>
      </c>
      <c r="T855">
        <v>1.0070705097283237</v>
      </c>
      <c r="U855">
        <v>0</v>
      </c>
      <c r="V855">
        <v>0.20740086985847042</v>
      </c>
      <c r="W855">
        <v>8.3537598692516979E-2</v>
      </c>
      <c r="X855">
        <v>2.8778480480813481E-2</v>
      </c>
      <c r="Y855">
        <v>3.7889414564552409E-3</v>
      </c>
    </row>
    <row r="856" spans="1:25" x14ac:dyDescent="0.25">
      <c r="A856" s="1095"/>
      <c r="B856" s="1454">
        <v>606</v>
      </c>
      <c r="C856" s="1099">
        <v>0.99209329569323779</v>
      </c>
      <c r="D856" s="1099">
        <v>0.97126999070394571</v>
      </c>
      <c r="E856" s="1099">
        <v>1.0000978953230215</v>
      </c>
      <c r="F856" s="1099">
        <v>1.0142402889957363</v>
      </c>
      <c r="G856" s="1099">
        <v>1.0269652695525047</v>
      </c>
      <c r="H856" s="1099">
        <v>0.97511485784813212</v>
      </c>
      <c r="I856" s="1099">
        <v>0.96092230497849362</v>
      </c>
      <c r="K856">
        <v>1.7569095444036489</v>
      </c>
      <c r="L856">
        <v>0</v>
      </c>
      <c r="M856">
        <v>1.3756188327878355E-3</v>
      </c>
      <c r="N856">
        <v>0.12657169262806792</v>
      </c>
      <c r="O856">
        <v>0.13034871058503417</v>
      </c>
      <c r="P856">
        <v>1.8598465847857314E-2</v>
      </c>
      <c r="Q856">
        <v>9.1667760359098228E-4</v>
      </c>
      <c r="R856">
        <v>1.3720023481833519E-3</v>
      </c>
      <c r="S856">
        <v>0.10480278747020355</v>
      </c>
      <c r="T856">
        <v>1.0457348076886148</v>
      </c>
      <c r="U856">
        <v>0</v>
      </c>
      <c r="V856">
        <v>0.21281621687212907</v>
      </c>
      <c r="W856">
        <v>8.3144160243265208E-2</v>
      </c>
      <c r="X856">
        <v>3.0245503838185295E-2</v>
      </c>
      <c r="Y856">
        <v>3.7341381113025589E-3</v>
      </c>
    </row>
    <row r="857" spans="1:25" x14ac:dyDescent="0.25">
      <c r="A857" s="1095"/>
      <c r="B857" s="1454">
        <v>607</v>
      </c>
      <c r="C857" s="1099">
        <v>1.0034493064871195</v>
      </c>
      <c r="D857" s="1099">
        <v>1.0112994128954671</v>
      </c>
      <c r="E857" s="1099">
        <v>0.97582323323239339</v>
      </c>
      <c r="F857" s="1099">
        <v>1.012524177145163</v>
      </c>
      <c r="G857" s="1099">
        <v>1.0078784795674394</v>
      </c>
      <c r="H857" s="1099">
        <v>1.0014900105538931</v>
      </c>
      <c r="I857" s="1099">
        <v>0.97688505042679108</v>
      </c>
      <c r="K857">
        <v>1.7427419360815095</v>
      </c>
      <c r="L857">
        <v>0</v>
      </c>
      <c r="M857">
        <v>1.4354204790443862E-3</v>
      </c>
      <c r="N857">
        <v>0.12273295134758068</v>
      </c>
      <c r="O857">
        <v>0.12764900137749285</v>
      </c>
      <c r="P857">
        <v>1.8199766774552838E-2</v>
      </c>
      <c r="Q857">
        <v>8.6947451659003048E-4</v>
      </c>
      <c r="R857">
        <v>1.4317208807509327E-3</v>
      </c>
      <c r="S857">
        <v>0.1045344635557388</v>
      </c>
      <c r="T857">
        <v>1.0447048820681069</v>
      </c>
      <c r="U857">
        <v>0</v>
      </c>
      <c r="V857">
        <v>0.20953707153312531</v>
      </c>
      <c r="W857">
        <v>8.1805437616892629E-2</v>
      </c>
      <c r="X857">
        <v>2.8815914618981833E-2</v>
      </c>
      <c r="Y857">
        <v>3.896672270742542E-3</v>
      </c>
    </row>
    <row r="858" spans="1:25" x14ac:dyDescent="0.25">
      <c r="A858" s="1095"/>
      <c r="B858" s="1454">
        <v>608</v>
      </c>
      <c r="C858" s="1099">
        <v>1.022539255961032</v>
      </c>
      <c r="D858" s="1099">
        <v>1.0251778332756885</v>
      </c>
      <c r="E858" s="1099">
        <v>1.0343221337293289</v>
      </c>
      <c r="F858" s="1099">
        <v>0.97413585440343775</v>
      </c>
      <c r="G858" s="1099">
        <v>1.0086460183578076</v>
      </c>
      <c r="H858" s="1099">
        <v>0.99112211906195691</v>
      </c>
      <c r="I858" s="1099">
        <v>0.9735810251060929</v>
      </c>
      <c r="K858">
        <v>1.6908825132808656</v>
      </c>
      <c r="L858">
        <v>0</v>
      </c>
      <c r="M858">
        <v>1.2226069431890854E-3</v>
      </c>
      <c r="N858">
        <v>0.12473260939154233</v>
      </c>
      <c r="O858">
        <v>0.12341903471088421</v>
      </c>
      <c r="P858">
        <v>1.8323859096645394E-2</v>
      </c>
      <c r="Q858">
        <v>9.0152109220130428E-4</v>
      </c>
      <c r="R858">
        <v>1.2194090565867195E-3</v>
      </c>
      <c r="S858">
        <v>0.10067935353972077</v>
      </c>
      <c r="T858">
        <v>1.0034109843309067</v>
      </c>
      <c r="U858">
        <v>0</v>
      </c>
      <c r="V858">
        <v>0.20578143905861829</v>
      </c>
      <c r="W858">
        <v>8.0308194130028307E-2</v>
      </c>
      <c r="X858">
        <v>3.0009886342979991E-2</v>
      </c>
      <c r="Y858">
        <v>3.3188294739415806E-3</v>
      </c>
    </row>
    <row r="859" spans="1:25" x14ac:dyDescent="0.25">
      <c r="A859" s="1095"/>
      <c r="B859" s="1454">
        <v>609</v>
      </c>
      <c r="C859" s="1099">
        <v>0.99888036492440901</v>
      </c>
      <c r="D859" s="1099">
        <v>1.0030860972986098</v>
      </c>
      <c r="E859" s="1099">
        <v>1.0145842389551785</v>
      </c>
      <c r="F859" s="1099">
        <v>1.0127832587565908</v>
      </c>
      <c r="G859" s="1099">
        <v>0.96418392646764417</v>
      </c>
      <c r="H859" s="1099">
        <v>0.97792110570175006</v>
      </c>
      <c r="I859" s="1099">
        <v>1.034959074935577</v>
      </c>
      <c r="K859">
        <v>1.7514221564302368</v>
      </c>
      <c r="L859">
        <v>0</v>
      </c>
      <c r="M859">
        <v>1.3051701924502255E-3</v>
      </c>
      <c r="N859">
        <v>0.12545838370000573</v>
      </c>
      <c r="O859">
        <v>0.12844275161874313</v>
      </c>
      <c r="P859">
        <v>1.8782470257705096E-2</v>
      </c>
      <c r="Q859">
        <v>9.1233396017302245E-4</v>
      </c>
      <c r="R859">
        <v>1.3017293766658844E-3</v>
      </c>
      <c r="S859">
        <v>0.11015766842439835</v>
      </c>
      <c r="T859">
        <v>1.0437995944145271</v>
      </c>
      <c r="U859">
        <v>0</v>
      </c>
      <c r="V859">
        <v>0.20818191742545836</v>
      </c>
      <c r="W859">
        <v>8.1710372720128294E-2</v>
      </c>
      <c r="X859">
        <v>3.0437226476571891E-2</v>
      </c>
      <c r="Y859">
        <v>3.5428782483108465E-3</v>
      </c>
    </row>
    <row r="860" spans="1:25" x14ac:dyDescent="0.25">
      <c r="A860" s="1095"/>
      <c r="B860" s="1454">
        <v>610</v>
      </c>
      <c r="C860" s="1099">
        <v>0.98857244785745624</v>
      </c>
      <c r="D860" s="1099">
        <v>1.0250154099865756</v>
      </c>
      <c r="E860" s="1099">
        <v>0.99507380063912076</v>
      </c>
      <c r="F860" s="1099">
        <v>0.9792607390870256</v>
      </c>
      <c r="G860" s="1099">
        <v>0.99275515100876088</v>
      </c>
      <c r="H860" s="1099">
        <v>1.0081215889217099</v>
      </c>
      <c r="I860" s="1099">
        <v>0.99865819997207605</v>
      </c>
      <c r="K860">
        <v>1.7120041107667683</v>
      </c>
      <c r="L860">
        <v>0</v>
      </c>
      <c r="M860">
        <v>1.3925564551020143E-3</v>
      </c>
      <c r="N860">
        <v>0.12620613535932179</v>
      </c>
      <c r="O860">
        <v>0.125364440443957</v>
      </c>
      <c r="P860">
        <v>1.8015524170737263E-2</v>
      </c>
      <c r="Q860">
        <v>8.9565201666550679E-4</v>
      </c>
      <c r="R860">
        <v>1.3889672459257694E-3</v>
      </c>
      <c r="S860">
        <v>0.10778311367707942</v>
      </c>
      <c r="T860">
        <v>1.0098156685582875</v>
      </c>
      <c r="U860">
        <v>0</v>
      </c>
      <c r="V860">
        <v>0.20798804573038449</v>
      </c>
      <c r="W860">
        <v>8.3152427222253411E-2</v>
      </c>
      <c r="X860">
        <v>2.9006381826777641E-2</v>
      </c>
      <c r="Y860">
        <v>3.7803109704803808E-3</v>
      </c>
    </row>
    <row r="861" spans="1:25" x14ac:dyDescent="0.25">
      <c r="A861" s="1095"/>
      <c r="B861" s="1454">
        <v>611</v>
      </c>
      <c r="C861" s="1099">
        <v>0.95565646653857816</v>
      </c>
      <c r="D861" s="1099">
        <v>0.97584805993262613</v>
      </c>
      <c r="E861" s="1099">
        <v>0.98948886240014711</v>
      </c>
      <c r="F861" s="1099">
        <v>0.96818667288186766</v>
      </c>
      <c r="G861" s="1099">
        <v>0.97937749155427467</v>
      </c>
      <c r="H861" s="1099">
        <v>0.98922095442976732</v>
      </c>
      <c r="I861" s="1099">
        <v>1.0025871455818538</v>
      </c>
      <c r="K861">
        <v>1.7209577413831831</v>
      </c>
      <c r="L861">
        <v>0</v>
      </c>
      <c r="M861">
        <v>1.4658263589486875E-3</v>
      </c>
      <c r="N861">
        <v>0.13061781953406695</v>
      </c>
      <c r="O861">
        <v>0.12845806164482046</v>
      </c>
      <c r="P861">
        <v>1.7909917700509485E-2</v>
      </c>
      <c r="Q861">
        <v>9.3942071204788035E-4</v>
      </c>
      <c r="R861">
        <v>1.4619957313446094E-3</v>
      </c>
      <c r="S861">
        <v>0.1136676637542704</v>
      </c>
      <c r="T861">
        <v>0.99855805379091933</v>
      </c>
      <c r="U861">
        <v>0</v>
      </c>
      <c r="V861">
        <v>0.21112487895952287</v>
      </c>
      <c r="W861">
        <v>8.6347009536848429E-2</v>
      </c>
      <c r="X861">
        <v>2.9359675943824347E-2</v>
      </c>
      <c r="Y861">
        <v>3.9790704339567147E-3</v>
      </c>
    </row>
    <row r="862" spans="1:25" x14ac:dyDescent="0.25">
      <c r="A862" s="1095"/>
      <c r="B862" s="1454">
        <v>612</v>
      </c>
      <c r="C862" s="1099">
        <v>0.98868563717895142</v>
      </c>
      <c r="D862" s="1099">
        <v>1.0023488298744021</v>
      </c>
      <c r="E862" s="1099">
        <v>0.97678819472880618</v>
      </c>
      <c r="F862" s="1099">
        <v>0.99161728235005675</v>
      </c>
      <c r="G862" s="1099">
        <v>1.0204339855766693</v>
      </c>
      <c r="H862" s="1099">
        <v>1.0130257575032122</v>
      </c>
      <c r="I862" s="1099">
        <v>1.0391375610722045</v>
      </c>
      <c r="K862">
        <v>1.7373308634762368</v>
      </c>
      <c r="L862">
        <v>0</v>
      </c>
      <c r="M862">
        <v>1.4739600095867859E-3</v>
      </c>
      <c r="N862">
        <v>0.12640008336197386</v>
      </c>
      <c r="O862">
        <v>0.12724574252662274</v>
      </c>
      <c r="P862">
        <v>1.8065954766032087E-2</v>
      </c>
      <c r="Q862">
        <v>8.8649942009174168E-4</v>
      </c>
      <c r="R862">
        <v>1.4701992975545554E-3</v>
      </c>
      <c r="S862">
        <v>0.11410211435414687</v>
      </c>
      <c r="T862">
        <v>1.0231043887948199</v>
      </c>
      <c r="U862">
        <v>0</v>
      </c>
      <c r="V862">
        <v>0.21058016486450823</v>
      </c>
      <c r="W862">
        <v>8.420047930879189E-2</v>
      </c>
      <c r="X862">
        <v>2.8747798954406521E-2</v>
      </c>
      <c r="Y862">
        <v>4.001397836875315E-3</v>
      </c>
    </row>
    <row r="863" spans="1:25" x14ac:dyDescent="0.25">
      <c r="A863" s="1095"/>
      <c r="B863" s="1454">
        <v>613</v>
      </c>
      <c r="C863" s="1099">
        <v>0.98793591857053287</v>
      </c>
      <c r="D863" s="1099">
        <v>1.0175023313965061</v>
      </c>
      <c r="E863" s="1099">
        <v>0.96092404929694686</v>
      </c>
      <c r="F863" s="1099">
        <v>1.0428601358169958</v>
      </c>
      <c r="G863" s="1099">
        <v>1.0050133167632442</v>
      </c>
      <c r="H863" s="1099">
        <v>0.9981042394350953</v>
      </c>
      <c r="I863" s="1099">
        <v>0.99481927668845949</v>
      </c>
      <c r="K863">
        <v>1.783130926865234</v>
      </c>
      <c r="L863">
        <v>0</v>
      </c>
      <c r="M863">
        <v>1.494839948809444E-3</v>
      </c>
      <c r="N863">
        <v>0.1221738618045555</v>
      </c>
      <c r="O863">
        <v>0.13039156901900928</v>
      </c>
      <c r="P863">
        <v>1.848679988132073E-2</v>
      </c>
      <c r="Q863">
        <v>8.6723731564558647E-4</v>
      </c>
      <c r="R863">
        <v>1.4909743764987646E-3</v>
      </c>
      <c r="S863">
        <v>0.10754059074736869</v>
      </c>
      <c r="T863">
        <v>1.0764815783109321</v>
      </c>
      <c r="U863">
        <v>0</v>
      </c>
      <c r="V863">
        <v>0.21206327801156288</v>
      </c>
      <c r="W863">
        <v>8.217555734596807E-2</v>
      </c>
      <c r="X863">
        <v>2.8896379247921027E-2</v>
      </c>
      <c r="Y863">
        <v>4.0579407532585193E-3</v>
      </c>
    </row>
    <row r="864" spans="1:25" x14ac:dyDescent="0.25">
      <c r="A864" s="1095"/>
      <c r="B864" s="1454">
        <v>614</v>
      </c>
      <c r="C864" s="1099">
        <v>1.0121587551756681</v>
      </c>
      <c r="D864" s="1099">
        <v>0.99559473983286773</v>
      </c>
      <c r="E864" s="1099">
        <v>0.99620112593665411</v>
      </c>
      <c r="F864" s="1099">
        <v>1.0216036733543745</v>
      </c>
      <c r="G864" s="1099">
        <v>0.99685250543598258</v>
      </c>
      <c r="H864" s="1099">
        <v>0.99442921467447176</v>
      </c>
      <c r="I864" s="1099">
        <v>0.96550753788343779</v>
      </c>
      <c r="K864">
        <v>1.7539753027329557</v>
      </c>
      <c r="L864">
        <v>0</v>
      </c>
      <c r="M864">
        <v>1.3692658731722204E-3</v>
      </c>
      <c r="N864">
        <v>0.12451800513882638</v>
      </c>
      <c r="O864">
        <v>0.12868801365833862</v>
      </c>
      <c r="P864">
        <v>1.8577721342286798E-2</v>
      </c>
      <c r="Q864">
        <v>8.8606807045261764E-4</v>
      </c>
      <c r="R864">
        <v>1.3657275061116469E-3</v>
      </c>
      <c r="S864">
        <v>0.10308411667405139</v>
      </c>
      <c r="T864">
        <v>1.0534454030963065</v>
      </c>
      <c r="U864">
        <v>0</v>
      </c>
      <c r="V864">
        <v>0.20927789646059367</v>
      </c>
      <c r="W864">
        <v>8.1985042571021016E-2</v>
      </c>
      <c r="X864">
        <v>2.979951402845453E-2</v>
      </c>
      <c r="Y864">
        <v>3.7170600596845107E-3</v>
      </c>
    </row>
    <row r="865" spans="1:25" x14ac:dyDescent="0.25">
      <c r="A865" s="1095"/>
      <c r="B865" s="1454">
        <v>615</v>
      </c>
      <c r="C865" s="1099">
        <v>1.0190752124392033</v>
      </c>
      <c r="D865" s="1099">
        <v>1.0123830756878811</v>
      </c>
      <c r="E865" s="1099">
        <v>0.997037658582973</v>
      </c>
      <c r="F865" s="1099">
        <v>1.024018504344675</v>
      </c>
      <c r="G865" s="1099">
        <v>1.0085180198057124</v>
      </c>
      <c r="H865" s="1099">
        <v>1.0052292952891964</v>
      </c>
      <c r="I865" s="1099">
        <v>1.0351003207494329</v>
      </c>
      <c r="K865">
        <v>1.7605384878175601</v>
      </c>
      <c r="L865">
        <v>0</v>
      </c>
      <c r="M865">
        <v>1.3598427310503682E-3</v>
      </c>
      <c r="N865">
        <v>0.12397675650038108</v>
      </c>
      <c r="O865">
        <v>0.1277480592252431</v>
      </c>
      <c r="P865">
        <v>1.8704400250696196E-2</v>
      </c>
      <c r="Q865">
        <v>8.7494735754782733E-4</v>
      </c>
      <c r="R865">
        <v>1.3563578563637261E-3</v>
      </c>
      <c r="S865">
        <v>0.10944915100609237</v>
      </c>
      <c r="T865">
        <v>1.0559099493998587</v>
      </c>
      <c r="U865">
        <v>0</v>
      </c>
      <c r="V865">
        <v>0.20889876372156554</v>
      </c>
      <c r="W865">
        <v>8.1587990833448781E-2</v>
      </c>
      <c r="X865">
        <v>2.9700395435637031E-2</v>
      </c>
      <c r="Y865">
        <v>3.69155896177488E-3</v>
      </c>
    </row>
    <row r="866" spans="1:25" x14ac:dyDescent="0.25">
      <c r="A866" s="1095"/>
      <c r="B866" s="1454">
        <v>616</v>
      </c>
      <c r="C866" s="1099">
        <v>0.98201666929020437</v>
      </c>
      <c r="D866" s="1099">
        <v>0.99611163342231046</v>
      </c>
      <c r="E866" s="1099">
        <v>1.0227426841880052</v>
      </c>
      <c r="F866" s="1099">
        <v>1.0340359918127981</v>
      </c>
      <c r="G866" s="1099">
        <v>0.99142801368959232</v>
      </c>
      <c r="H866" s="1099">
        <v>1.0321131417134959</v>
      </c>
      <c r="I866" s="1099">
        <v>0.99967564711519064</v>
      </c>
      <c r="K866">
        <v>1.8018752001182687</v>
      </c>
      <c r="L866">
        <v>0</v>
      </c>
      <c r="M866">
        <v>1.3837839648711584E-3</v>
      </c>
      <c r="N866">
        <v>0.1363493211546794</v>
      </c>
      <c r="O866">
        <v>0.1313026505243369</v>
      </c>
      <c r="P866">
        <v>1.9286746261914026E-2</v>
      </c>
      <c r="Q866">
        <v>9.384213092194705E-4</v>
      </c>
      <c r="R866">
        <v>1.3803333422020333E-3</v>
      </c>
      <c r="S866">
        <v>0.11260900386626442</v>
      </c>
      <c r="T866">
        <v>1.0654570811549182</v>
      </c>
      <c r="U866">
        <v>0</v>
      </c>
      <c r="V866">
        <v>0.21229719424867416</v>
      </c>
      <c r="W866">
        <v>8.8380276900474827E-2</v>
      </c>
      <c r="X866">
        <v>3.1501142989746676E-2</v>
      </c>
      <c r="Y866">
        <v>3.7568123307099681E-3</v>
      </c>
    </row>
    <row r="867" spans="1:25" x14ac:dyDescent="0.25">
      <c r="A867" s="1095"/>
      <c r="B867" s="1454">
        <v>617</v>
      </c>
      <c r="C867" s="1099">
        <v>0.98640460332301094</v>
      </c>
      <c r="D867" s="1099">
        <v>1.0333969212473715</v>
      </c>
      <c r="E867" s="1099">
        <v>1.0122712529231082</v>
      </c>
      <c r="F867" s="1099">
        <v>1.0187255331662963</v>
      </c>
      <c r="G867" s="1099">
        <v>1.0078136712125045</v>
      </c>
      <c r="H867" s="1099">
        <v>0.98244021614400623</v>
      </c>
      <c r="I867" s="1099">
        <v>0.99965921291266024</v>
      </c>
      <c r="K867">
        <v>1.7552122172447369</v>
      </c>
      <c r="L867">
        <v>0</v>
      </c>
      <c r="M867">
        <v>1.3102696605283477E-3</v>
      </c>
      <c r="N867">
        <v>0.12507184373099442</v>
      </c>
      <c r="O867">
        <v>0.128159084939972</v>
      </c>
      <c r="P867">
        <v>1.8814783581212385E-2</v>
      </c>
      <c r="Q867">
        <v>9.1076549446668603E-4</v>
      </c>
      <c r="R867">
        <v>1.3068099783209587E-3</v>
      </c>
      <c r="S867">
        <v>0.10605408319745599</v>
      </c>
      <c r="T867">
        <v>1.0499929559165619</v>
      </c>
      <c r="U867">
        <v>0</v>
      </c>
      <c r="V867">
        <v>0.21076542166333986</v>
      </c>
      <c r="W867">
        <v>8.1569499620119654E-2</v>
      </c>
      <c r="X867">
        <v>3.0320532811624591E-2</v>
      </c>
      <c r="Y867">
        <v>3.5567059711960739E-3</v>
      </c>
    </row>
    <row r="868" spans="1:25" x14ac:dyDescent="0.25">
      <c r="A868" s="1095"/>
      <c r="B868" s="1454">
        <v>618</v>
      </c>
      <c r="C868" s="1099">
        <v>0.98560229718195058</v>
      </c>
      <c r="D868" s="1099">
        <v>1.0001464775425073</v>
      </c>
      <c r="E868" s="1099">
        <v>0.99365776207159406</v>
      </c>
      <c r="F868" s="1099">
        <v>1.0111571305233014</v>
      </c>
      <c r="G868" s="1099">
        <v>0.9610559389952168</v>
      </c>
      <c r="H868" s="1099">
        <v>0.97385805973080597</v>
      </c>
      <c r="I868" s="1099">
        <v>1.0053697052426889</v>
      </c>
      <c r="K868">
        <v>1.7481154666355214</v>
      </c>
      <c r="L868">
        <v>0</v>
      </c>
      <c r="M868">
        <v>1.3763977760644802E-3</v>
      </c>
      <c r="N868">
        <v>0.12420001503456736</v>
      </c>
      <c r="O868">
        <v>0.12906697728796832</v>
      </c>
      <c r="P868">
        <v>1.8464870882185132E-2</v>
      </c>
      <c r="Q868">
        <v>9.0588545601082886E-4</v>
      </c>
      <c r="R868">
        <v>1.3727515229648103E-3</v>
      </c>
      <c r="S868">
        <v>0.10823384363469585</v>
      </c>
      <c r="T868">
        <v>1.0427500967805241</v>
      </c>
      <c r="U868">
        <v>0</v>
      </c>
      <c r="V868">
        <v>0.20911279979145719</v>
      </c>
      <c r="W868">
        <v>8.1899877201380519E-2</v>
      </c>
      <c r="X868">
        <v>2.9748569701738264E-2</v>
      </c>
      <c r="Y868">
        <v>3.7361771180922879E-3</v>
      </c>
    </row>
    <row r="869" spans="1:25" x14ac:dyDescent="0.25">
      <c r="A869" s="1095"/>
      <c r="B869" s="1454">
        <v>619</v>
      </c>
      <c r="C869" s="1099">
        <v>0.99407661807984071</v>
      </c>
      <c r="D869" s="1099">
        <v>1.0234025516477585</v>
      </c>
      <c r="E869" s="1099">
        <v>1.0219369722412546</v>
      </c>
      <c r="F869" s="1099">
        <v>0.98459791547519049</v>
      </c>
      <c r="G869" s="1099">
        <v>1.0140089588606633</v>
      </c>
      <c r="H869" s="1099">
        <v>0.98367915191159316</v>
      </c>
      <c r="I869" s="1099">
        <v>0.98915060596218118</v>
      </c>
      <c r="K869">
        <v>1.7141661075750687</v>
      </c>
      <c r="L869">
        <v>0</v>
      </c>
      <c r="M869">
        <v>1.2803170680811139E-3</v>
      </c>
      <c r="N869">
        <v>0.12582988955260083</v>
      </c>
      <c r="O869">
        <v>0.12567057819441696</v>
      </c>
      <c r="P869">
        <v>1.8413591381652498E-2</v>
      </c>
      <c r="Q869">
        <v>9.1631111169037673E-4</v>
      </c>
      <c r="R869">
        <v>1.2769393033780765E-3</v>
      </c>
      <c r="S869">
        <v>0.10470560296256641</v>
      </c>
      <c r="T869">
        <v>1.0145397945911641</v>
      </c>
      <c r="U869">
        <v>0</v>
      </c>
      <c r="V869">
        <v>0.20895375118839321</v>
      </c>
      <c r="W869">
        <v>8.1600070999397784E-2</v>
      </c>
      <c r="X869">
        <v>3.0064487517020035E-2</v>
      </c>
      <c r="Y869">
        <v>3.4754078408668959E-3</v>
      </c>
    </row>
    <row r="870" spans="1:25" x14ac:dyDescent="0.25">
      <c r="A870" s="1095"/>
      <c r="B870" s="1454">
        <v>620</v>
      </c>
      <c r="C870" s="1099">
        <v>1.0455674864431606</v>
      </c>
      <c r="D870" s="1099">
        <v>1.0149465990003845</v>
      </c>
      <c r="E870" s="1099">
        <v>1.0067876815080667</v>
      </c>
      <c r="F870" s="1099">
        <v>1.0237584751903543</v>
      </c>
      <c r="G870" s="1099">
        <v>1.0240889299128344</v>
      </c>
      <c r="H870" s="1099">
        <v>0.97820455822303642</v>
      </c>
      <c r="I870" s="1099">
        <v>1.0057425335248402</v>
      </c>
      <c r="K870">
        <v>1.7400932441878385</v>
      </c>
      <c r="L870">
        <v>0</v>
      </c>
      <c r="M870">
        <v>1.2645072910436102E-3</v>
      </c>
      <c r="N870">
        <v>0.11872302772446036</v>
      </c>
      <c r="O870">
        <v>0.12632656987235891</v>
      </c>
      <c r="P870">
        <v>1.8708855820284229E-2</v>
      </c>
      <c r="Q870">
        <v>8.6056272167229413E-4</v>
      </c>
      <c r="R870">
        <v>1.2611821045603532E-3</v>
      </c>
      <c r="S870">
        <v>0.10182551477110609</v>
      </c>
      <c r="T870">
        <v>1.0553456653407418</v>
      </c>
      <c r="U870">
        <v>0</v>
      </c>
      <c r="V870">
        <v>0.20747375583599162</v>
      </c>
      <c r="W870">
        <v>7.7679788894066751E-2</v>
      </c>
      <c r="X870">
        <v>2.9720306453594608E-2</v>
      </c>
      <c r="Y870">
        <v>3.4325219400442477E-3</v>
      </c>
    </row>
    <row r="871" spans="1:25" x14ac:dyDescent="0.25">
      <c r="A871" s="1095"/>
      <c r="B871" s="1454">
        <v>621</v>
      </c>
      <c r="C871" s="1099">
        <v>1.0069633121258947</v>
      </c>
      <c r="D871" s="1099">
        <v>1.0086311268422063</v>
      </c>
      <c r="E871" s="1099">
        <v>1.0132721100375637</v>
      </c>
      <c r="F871" s="1099">
        <v>1.0098074691155636</v>
      </c>
      <c r="G871" s="1099">
        <v>1.008570358645752</v>
      </c>
      <c r="H871" s="1099">
        <v>0.99225606578106951</v>
      </c>
      <c r="I871" s="1099">
        <v>1.0117785774715657</v>
      </c>
      <c r="K871">
        <v>1.7462430743140382</v>
      </c>
      <c r="L871">
        <v>0</v>
      </c>
      <c r="M871">
        <v>1.3135147296705473E-3</v>
      </c>
      <c r="N871">
        <v>0.1257660626694613</v>
      </c>
      <c r="O871">
        <v>0.12754104507451297</v>
      </c>
      <c r="P871">
        <v>1.8701614614303644E-2</v>
      </c>
      <c r="Q871">
        <v>9.0179857268718813E-4</v>
      </c>
      <c r="R871">
        <v>1.310099749668017E-3</v>
      </c>
      <c r="S871">
        <v>0.10749050397851927</v>
      </c>
      <c r="T871">
        <v>1.0407715117197205</v>
      </c>
      <c r="U871">
        <v>0</v>
      </c>
      <c r="V871">
        <v>0.20932557439353203</v>
      </c>
      <c r="W871">
        <v>8.1973967894656885E-2</v>
      </c>
      <c r="X871">
        <v>3.0208750732316533E-2</v>
      </c>
      <c r="Y871">
        <v>3.5656596443299341E-3</v>
      </c>
    </row>
    <row r="872" spans="1:25" x14ac:dyDescent="0.25">
      <c r="A872" s="1095"/>
      <c r="B872" s="1454">
        <v>622</v>
      </c>
      <c r="C872" s="1099">
        <v>0.98948330935788242</v>
      </c>
      <c r="D872" s="1099">
        <v>0.98897641030112671</v>
      </c>
      <c r="E872" s="1099">
        <v>1.0290527737946105</v>
      </c>
      <c r="F872" s="1099">
        <v>0.99907758089749243</v>
      </c>
      <c r="G872" s="1099">
        <v>1.0088296714913316</v>
      </c>
      <c r="H872" s="1099">
        <v>0.99480243038178573</v>
      </c>
      <c r="I872" s="1099">
        <v>1.0058917727634542</v>
      </c>
      <c r="K872">
        <v>1.7495168315767076</v>
      </c>
      <c r="L872">
        <v>0</v>
      </c>
      <c r="M872">
        <v>1.3088496924525956E-3</v>
      </c>
      <c r="N872">
        <v>0.13143055148574992</v>
      </c>
      <c r="O872">
        <v>0.12860284720199741</v>
      </c>
      <c r="P872">
        <v>1.8817074659478909E-2</v>
      </c>
      <c r="Q872">
        <v>9.4006868188019354E-4</v>
      </c>
      <c r="R872">
        <v>1.3054600825919815E-3</v>
      </c>
      <c r="S872">
        <v>0.11012459774007506</v>
      </c>
      <c r="T872">
        <v>1.0292538272161396</v>
      </c>
      <c r="U872">
        <v>0</v>
      </c>
      <c r="V872">
        <v>0.21089828456619072</v>
      </c>
      <c r="W872">
        <v>8.4879501075453265E-2</v>
      </c>
      <c r="X872">
        <v>3.1020436559586667E-2</v>
      </c>
      <c r="Y872">
        <v>3.5530320000148048E-3</v>
      </c>
    </row>
    <row r="873" spans="1:25" x14ac:dyDescent="0.25">
      <c r="A873" s="1095"/>
      <c r="B873" s="1454">
        <v>623</v>
      </c>
      <c r="C873" s="1099">
        <v>0.97918079877290631</v>
      </c>
      <c r="D873" s="1099">
        <v>1.0486316319787234</v>
      </c>
      <c r="E873" s="1099">
        <v>1.014993427470078</v>
      </c>
      <c r="F873" s="1099">
        <v>0.97205731788276883</v>
      </c>
      <c r="G873" s="1099">
        <v>0.98523751597272091</v>
      </c>
      <c r="H873" s="1099">
        <v>0.99557288811960065</v>
      </c>
      <c r="I873" s="1099">
        <v>0.98179911205215376</v>
      </c>
      <c r="K873">
        <v>1.6988961420890838</v>
      </c>
      <c r="L873">
        <v>0</v>
      </c>
      <c r="M873">
        <v>1.3126356746227053E-3</v>
      </c>
      <c r="N873">
        <v>0.12633337376434176</v>
      </c>
      <c r="O873">
        <v>0.12435632652829273</v>
      </c>
      <c r="P873">
        <v>1.8121875182117431E-2</v>
      </c>
      <c r="Q873">
        <v>9.1468874938139958E-4</v>
      </c>
      <c r="R873">
        <v>1.3091903618615188E-3</v>
      </c>
      <c r="S873">
        <v>0.10457517409552756</v>
      </c>
      <c r="T873">
        <v>1.0018147783377718</v>
      </c>
      <c r="U873">
        <v>0</v>
      </c>
      <c r="V873">
        <v>0.20744323734778072</v>
      </c>
      <c r="W873">
        <v>8.2260472871832288E-2</v>
      </c>
      <c r="X873">
        <v>2.9516475934297758E-2</v>
      </c>
      <c r="Y873">
        <v>3.5631845905002542E-3</v>
      </c>
    </row>
    <row r="874" spans="1:25" x14ac:dyDescent="0.25">
      <c r="A874" s="1095"/>
      <c r="B874" s="1454">
        <v>624</v>
      </c>
      <c r="C874" s="1099">
        <v>0.98813606660661735</v>
      </c>
      <c r="D874" s="1099">
        <v>1.0054691911893145</v>
      </c>
      <c r="E874" s="1099">
        <v>1.005230337048266</v>
      </c>
      <c r="F874" s="1099">
        <v>0.99677318003807824</v>
      </c>
      <c r="G874" s="1099">
        <v>0.99879994293808261</v>
      </c>
      <c r="H874" s="1099">
        <v>1.0131273609726845</v>
      </c>
      <c r="I874" s="1099">
        <v>1.016304027043945</v>
      </c>
      <c r="K874">
        <v>1.7444131297049486</v>
      </c>
      <c r="L874">
        <v>0</v>
      </c>
      <c r="M874">
        <v>1.3885723469218166E-3</v>
      </c>
      <c r="N874">
        <v>0.1297697946538415</v>
      </c>
      <c r="O874">
        <v>0.12764015678794052</v>
      </c>
      <c r="P874">
        <v>1.8472372137920211E-2</v>
      </c>
      <c r="Q874">
        <v>9.1253308290925063E-4</v>
      </c>
      <c r="R874">
        <v>1.3850292311165832E-3</v>
      </c>
      <c r="S874">
        <v>0.11153100721253768</v>
      </c>
      <c r="T874">
        <v>1.0275736303770735</v>
      </c>
      <c r="U874">
        <v>0</v>
      </c>
      <c r="V874">
        <v>0.20983961418636404</v>
      </c>
      <c r="W874">
        <v>8.4985879301111053E-2</v>
      </c>
      <c r="X874">
        <v>2.9922092088718707E-2</v>
      </c>
      <c r="Y874">
        <v>3.7695929923360085E-3</v>
      </c>
    </row>
    <row r="875" spans="1:25" x14ac:dyDescent="0.25">
      <c r="A875" s="1095"/>
      <c r="B875" s="1454">
        <v>625</v>
      </c>
      <c r="C875" s="1099">
        <v>1.0200634324964262</v>
      </c>
      <c r="D875" s="1099">
        <v>1.0113947506324881</v>
      </c>
      <c r="E875" s="1099">
        <v>1.0364444754501747</v>
      </c>
      <c r="F875" s="1099">
        <v>1.0047505129131755</v>
      </c>
      <c r="G875" s="1099">
        <v>0.97188799758650257</v>
      </c>
      <c r="H875" s="1099">
        <v>0.98425289050490716</v>
      </c>
      <c r="I875" s="1099">
        <v>1.0079913097046569</v>
      </c>
      <c r="K875">
        <v>1.7330638625588319</v>
      </c>
      <c r="L875">
        <v>0</v>
      </c>
      <c r="M875">
        <v>1.2243775132721466E-3</v>
      </c>
      <c r="N875">
        <v>0.12571403165881676</v>
      </c>
      <c r="O875">
        <v>0.12646100797807783</v>
      </c>
      <c r="P875">
        <v>1.8860137278820948E-2</v>
      </c>
      <c r="Q875">
        <v>9.105797606954397E-4</v>
      </c>
      <c r="R875">
        <v>1.2211686953145773E-3</v>
      </c>
      <c r="S875">
        <v>0.10506517569791556</v>
      </c>
      <c r="T875">
        <v>1.0348845297272882</v>
      </c>
      <c r="U875">
        <v>0</v>
      </c>
      <c r="V875">
        <v>0.20619239647133281</v>
      </c>
      <c r="W875">
        <v>8.0840841192267546E-2</v>
      </c>
      <c r="X875">
        <v>3.0814752981080284E-2</v>
      </c>
      <c r="Y875">
        <v>3.3236186304940597E-3</v>
      </c>
    </row>
    <row r="876" spans="1:25" x14ac:dyDescent="0.25">
      <c r="A876" s="1095"/>
      <c r="B876" s="1454">
        <v>626</v>
      </c>
      <c r="C876" s="1099">
        <v>1.0050988106221899</v>
      </c>
      <c r="D876" s="1099">
        <v>0.99903834130931257</v>
      </c>
      <c r="E876" s="1099">
        <v>1.0053273636220852</v>
      </c>
      <c r="F876" s="1099">
        <v>0.97108602959919132</v>
      </c>
      <c r="G876" s="1099">
        <v>0.99698645949985332</v>
      </c>
      <c r="H876" s="1099">
        <v>1.0251999322977523</v>
      </c>
      <c r="I876" s="1099">
        <v>0.99290326732414391</v>
      </c>
      <c r="K876">
        <v>1.7079616437978362</v>
      </c>
      <c r="L876">
        <v>0</v>
      </c>
      <c r="M876">
        <v>1.3851467162622271E-3</v>
      </c>
      <c r="N876">
        <v>0.12949159988571088</v>
      </c>
      <c r="O876">
        <v>0.12509367884620765</v>
      </c>
      <c r="P876">
        <v>1.8030328678078997E-2</v>
      </c>
      <c r="Q876">
        <v>8.9952827991021157E-4</v>
      </c>
      <c r="R876">
        <v>1.3816551482552862E-3</v>
      </c>
      <c r="S876">
        <v>0.10832066712060731</v>
      </c>
      <c r="T876">
        <v>1.0010899567749261</v>
      </c>
      <c r="U876">
        <v>0</v>
      </c>
      <c r="V876">
        <v>0.20715762010055436</v>
      </c>
      <c r="W876">
        <v>8.4798820387101695E-2</v>
      </c>
      <c r="X876">
        <v>2.9322525441692782E-2</v>
      </c>
      <c r="Y876">
        <v>3.7604098510536756E-3</v>
      </c>
    </row>
    <row r="877" spans="1:25" x14ac:dyDescent="0.25">
      <c r="A877" s="1095"/>
      <c r="B877" s="1454">
        <v>627</v>
      </c>
      <c r="C877" s="1099">
        <v>1.0074517706287069</v>
      </c>
      <c r="D877" s="1099">
        <v>1.0012558197290493</v>
      </c>
      <c r="E877" s="1099">
        <v>1.0236565098083465</v>
      </c>
      <c r="F877" s="1099">
        <v>1.0397913631559081</v>
      </c>
      <c r="G877" s="1099">
        <v>1.027524385304561</v>
      </c>
      <c r="H877" s="1099">
        <v>0.99721142704508003</v>
      </c>
      <c r="I877" s="1099">
        <v>0.99380357984584244</v>
      </c>
      <c r="K877">
        <v>1.7866778699653239</v>
      </c>
      <c r="L877">
        <v>0</v>
      </c>
      <c r="M877">
        <v>1.300104497868245E-3</v>
      </c>
      <c r="N877">
        <v>0.12844691706431219</v>
      </c>
      <c r="O877">
        <v>0.13014296303522721</v>
      </c>
      <c r="P877">
        <v>1.9293219082458044E-2</v>
      </c>
      <c r="Q877">
        <v>9.1370095202357633E-4</v>
      </c>
      <c r="R877">
        <v>1.2967542950403118E-3</v>
      </c>
      <c r="S877">
        <v>0.10654269207234809</v>
      </c>
      <c r="T877">
        <v>1.0713597475802203</v>
      </c>
      <c r="U877">
        <v>0</v>
      </c>
      <c r="V877">
        <v>0.21200270060886314</v>
      </c>
      <c r="W877">
        <v>8.3213627858919004E-2</v>
      </c>
      <c r="X877">
        <v>3.1236314197619304E-2</v>
      </c>
      <c r="Y877">
        <v>3.5293377161612562E-3</v>
      </c>
    </row>
    <row r="878" spans="1:25" x14ac:dyDescent="0.25">
      <c r="A878" s="1095"/>
      <c r="B878" s="1454">
        <v>628</v>
      </c>
      <c r="C878" s="1099">
        <v>1.0291757640496388</v>
      </c>
      <c r="D878" s="1099">
        <v>0.97407942279646154</v>
      </c>
      <c r="E878" s="1099">
        <v>0.99519041415065257</v>
      </c>
      <c r="F878" s="1099">
        <v>0.98377204031347987</v>
      </c>
      <c r="G878" s="1099">
        <v>0.99436417473996952</v>
      </c>
      <c r="H878" s="1099">
        <v>0.99785972656575095</v>
      </c>
      <c r="I878" s="1099">
        <v>0.99832282607874645</v>
      </c>
      <c r="K878">
        <v>1.7108650836641346</v>
      </c>
      <c r="L878">
        <v>0</v>
      </c>
      <c r="M878">
        <v>1.3690995723804977E-3</v>
      </c>
      <c r="N878">
        <v>0.1241249961736887</v>
      </c>
      <c r="O878">
        <v>0.12595918010143908</v>
      </c>
      <c r="P878">
        <v>1.803996366662048E-2</v>
      </c>
      <c r="Q878">
        <v>8.7814314413910556E-4</v>
      </c>
      <c r="R878">
        <v>1.3655818046674783E-3</v>
      </c>
      <c r="S878">
        <v>0.1063578430731674</v>
      </c>
      <c r="T878">
        <v>1.0144643046333843</v>
      </c>
      <c r="U878">
        <v>0</v>
      </c>
      <c r="V878">
        <v>0.20644896015394032</v>
      </c>
      <c r="W878">
        <v>8.1775553899856426E-2</v>
      </c>
      <c r="X878">
        <v>2.9102993077227378E-2</v>
      </c>
      <c r="Y878">
        <v>3.7166635083839511E-3</v>
      </c>
    </row>
    <row r="879" spans="1:25" x14ac:dyDescent="0.25">
      <c r="A879" s="1095"/>
      <c r="B879" s="1454">
        <v>629</v>
      </c>
      <c r="C879" s="1099">
        <v>0.99859253756139688</v>
      </c>
      <c r="D879" s="1099">
        <v>1.0045820100510714</v>
      </c>
      <c r="E879" s="1099">
        <v>0.99801869400329302</v>
      </c>
      <c r="F879" s="1099">
        <v>1.0066136891122541</v>
      </c>
      <c r="G879" s="1099">
        <v>1.0261868248196233</v>
      </c>
      <c r="H879" s="1099">
        <v>0.9831009977224302</v>
      </c>
      <c r="I879" s="1099">
        <v>1.0078655827419993</v>
      </c>
      <c r="K879">
        <v>1.7424018358566971</v>
      </c>
      <c r="L879">
        <v>0</v>
      </c>
      <c r="M879">
        <v>1.3564457173362988E-3</v>
      </c>
      <c r="N879">
        <v>0.12402650382823502</v>
      </c>
      <c r="O879">
        <v>0.12785096007958727</v>
      </c>
      <c r="P879">
        <v>1.8472556515330384E-2</v>
      </c>
      <c r="Q879">
        <v>8.9657362560078288E-4</v>
      </c>
      <c r="R879">
        <v>1.3528855907220323E-3</v>
      </c>
      <c r="S879">
        <v>0.10750366406994924</v>
      </c>
      <c r="T879">
        <v>1.0379336598667304</v>
      </c>
      <c r="U879">
        <v>0</v>
      </c>
      <c r="V879">
        <v>0.21078905778596732</v>
      </c>
      <c r="W879">
        <v>8.1573059139638041E-2</v>
      </c>
      <c r="X879">
        <v>2.9677252472939619E-2</v>
      </c>
      <c r="Y879">
        <v>3.6821085993302503E-3</v>
      </c>
    </row>
    <row r="880" spans="1:25" x14ac:dyDescent="0.25">
      <c r="A880" s="1095"/>
      <c r="B880" s="1454">
        <v>630</v>
      </c>
      <c r="C880" s="1099">
        <v>0.95785689929258289</v>
      </c>
      <c r="D880" s="1099">
        <v>1.0217662895989454</v>
      </c>
      <c r="E880" s="1099">
        <v>1.0137005146257232</v>
      </c>
      <c r="F880" s="1099">
        <v>0.99014378163556294</v>
      </c>
      <c r="G880" s="1099">
        <v>0.99240760875674316</v>
      </c>
      <c r="H880" s="1099">
        <v>1.0196952954439398</v>
      </c>
      <c r="I880" s="1099">
        <v>1.0331504717873878</v>
      </c>
      <c r="K880">
        <v>1.7511767246534584</v>
      </c>
      <c r="L880">
        <v>0</v>
      </c>
      <c r="M880">
        <v>1.3988291637816448E-3</v>
      </c>
      <c r="N880">
        <v>0.13411459800634826</v>
      </c>
      <c r="O880">
        <v>0.12803725264666607</v>
      </c>
      <c r="P880">
        <v>1.8574987634330985E-2</v>
      </c>
      <c r="Q880">
        <v>9.4355321984115371E-4</v>
      </c>
      <c r="R880">
        <v>1.3952608193632174E-3</v>
      </c>
      <c r="S880">
        <v>0.11607319561451293</v>
      </c>
      <c r="T880">
        <v>1.0204924306989489</v>
      </c>
      <c r="U880">
        <v>0</v>
      </c>
      <c r="V880">
        <v>0.21139677881961705</v>
      </c>
      <c r="W880">
        <v>8.7393500299885227E-2</v>
      </c>
      <c r="X880">
        <v>3.0356556055022951E-2</v>
      </c>
      <c r="Y880">
        <v>3.7974400027011882E-3</v>
      </c>
    </row>
    <row r="881" spans="1:25" x14ac:dyDescent="0.25">
      <c r="A881" s="1095"/>
      <c r="B881" s="1454">
        <v>631</v>
      </c>
      <c r="C881" s="1099">
        <v>0.97116046098544262</v>
      </c>
      <c r="D881" s="1099">
        <v>0.99340222678191981</v>
      </c>
      <c r="E881" s="1099">
        <v>1.0040683511598505</v>
      </c>
      <c r="F881" s="1099">
        <v>0.97509800622702159</v>
      </c>
      <c r="G881" s="1099">
        <v>0.99335631304378613</v>
      </c>
      <c r="H881" s="1099">
        <v>0.97980761744146583</v>
      </c>
      <c r="I881" s="1099">
        <v>1.026992497980961</v>
      </c>
      <c r="K881">
        <v>1.720216236643449</v>
      </c>
      <c r="L881">
        <v>0</v>
      </c>
      <c r="M881">
        <v>1.3746621148827834E-3</v>
      </c>
      <c r="N881">
        <v>0.12800820040553437</v>
      </c>
      <c r="O881">
        <v>0.12740639055262171</v>
      </c>
      <c r="P881">
        <v>1.8174631500715716E-2</v>
      </c>
      <c r="Q881">
        <v>9.3185836610349033E-4</v>
      </c>
      <c r="R881">
        <v>1.3710308652916847E-3</v>
      </c>
      <c r="S881">
        <v>0.1128096093854962</v>
      </c>
      <c r="T881">
        <v>1.0052622156737474</v>
      </c>
      <c r="U881">
        <v>0</v>
      </c>
      <c r="V881">
        <v>0.21027224849400647</v>
      </c>
      <c r="W881">
        <v>8.3889920201126206E-2</v>
      </c>
      <c r="X881">
        <v>2.9733299258568099E-2</v>
      </c>
      <c r="Y881">
        <v>3.7314940551206894E-3</v>
      </c>
    </row>
    <row r="882" spans="1:25" x14ac:dyDescent="0.25">
      <c r="A882" s="1095"/>
      <c r="B882" s="1454">
        <v>632</v>
      </c>
      <c r="C882" s="1099">
        <v>1.0018936257471658</v>
      </c>
      <c r="D882" s="1099">
        <v>1.021821561562601</v>
      </c>
      <c r="E882" s="1099">
        <v>0.96884629815450829</v>
      </c>
      <c r="F882" s="1099">
        <v>1.035699768492732</v>
      </c>
      <c r="G882" s="1099">
        <v>1.0149344624497576</v>
      </c>
      <c r="H882" s="1099">
        <v>0.9914944651036629</v>
      </c>
      <c r="I882" s="1099">
        <v>0.98999350075961889</v>
      </c>
      <c r="K882">
        <v>1.7665265757145585</v>
      </c>
      <c r="L882">
        <v>0</v>
      </c>
      <c r="M882">
        <v>1.4376744400898147E-3</v>
      </c>
      <c r="N882">
        <v>0.12035329120012349</v>
      </c>
      <c r="O882">
        <v>0.12895392152040538</v>
      </c>
      <c r="P882">
        <v>1.8446398106602035E-2</v>
      </c>
      <c r="Q882">
        <v>8.6088307211537791E-4</v>
      </c>
      <c r="R882">
        <v>1.4339308521140709E-3</v>
      </c>
      <c r="S882">
        <v>0.10484919328573968</v>
      </c>
      <c r="T882">
        <v>1.0688378349945695</v>
      </c>
      <c r="U882">
        <v>0</v>
      </c>
      <c r="V882">
        <v>0.21087457051430056</v>
      </c>
      <c r="W882">
        <v>8.056005212937152E-2</v>
      </c>
      <c r="X882">
        <v>2.8891487395029673E-2</v>
      </c>
      <c r="Y882">
        <v>3.9026870842761414E-3</v>
      </c>
    </row>
    <row r="883" spans="1:25" x14ac:dyDescent="0.25">
      <c r="A883" s="1095"/>
      <c r="B883" s="1454">
        <v>633</v>
      </c>
      <c r="C883" s="1099">
        <v>0.95830421550648082</v>
      </c>
      <c r="D883" s="1099">
        <v>0.9890111272109996</v>
      </c>
      <c r="E883" s="1099">
        <v>0.97667107802329356</v>
      </c>
      <c r="F883" s="1099">
        <v>0.99904045289737498</v>
      </c>
      <c r="G883" s="1099">
        <v>1.0260555475199151</v>
      </c>
      <c r="H883" s="1099">
        <v>1.004298428052709</v>
      </c>
      <c r="I883" s="1099">
        <v>0.97535415119432867</v>
      </c>
      <c r="K883">
        <v>1.7549341739638866</v>
      </c>
      <c r="L883">
        <v>0</v>
      </c>
      <c r="M883">
        <v>1.5167831387396448E-3</v>
      </c>
      <c r="N883">
        <v>0.13002357540228998</v>
      </c>
      <c r="O883">
        <v>0.13005509896584758</v>
      </c>
      <c r="P883">
        <v>1.8171026754014531E-2</v>
      </c>
      <c r="Q883">
        <v>9.1940523289537463E-4</v>
      </c>
      <c r="R883">
        <v>1.5128814096717852E-3</v>
      </c>
      <c r="S883">
        <v>0.11064127671833679</v>
      </c>
      <c r="T883">
        <v>1.0307668288706384</v>
      </c>
      <c r="U883">
        <v>0</v>
      </c>
      <c r="V883">
        <v>0.2143392607589063</v>
      </c>
      <c r="W883">
        <v>8.6620382982942154E-2</v>
      </c>
      <c r="X883">
        <v>2.9283655531179505E-2</v>
      </c>
      <c r="Y883">
        <v>4.117564475903935E-3</v>
      </c>
    </row>
    <row r="884" spans="1:25" x14ac:dyDescent="0.25">
      <c r="A884" s="1095"/>
      <c r="B884" s="1454">
        <v>634</v>
      </c>
      <c r="C884" s="1099">
        <v>1.0052660776878977</v>
      </c>
      <c r="D884" s="1099">
        <v>1.0187854112352013</v>
      </c>
      <c r="E884" s="1099">
        <v>0.99247005092589047</v>
      </c>
      <c r="F884" s="1099">
        <v>0.95786281905761395</v>
      </c>
      <c r="G884" s="1099">
        <v>0.98882671394820976</v>
      </c>
      <c r="H884" s="1099">
        <v>0.99162763507407159</v>
      </c>
      <c r="I884" s="1099">
        <v>0.97449313735881526</v>
      </c>
      <c r="K884">
        <v>1.6723465942293496</v>
      </c>
      <c r="L884">
        <v>0</v>
      </c>
      <c r="M884">
        <v>1.3584521116162757E-3</v>
      </c>
      <c r="N884">
        <v>0.122145110214798</v>
      </c>
      <c r="O884">
        <v>0.1231502943084631</v>
      </c>
      <c r="P884">
        <v>1.757831875623049E-2</v>
      </c>
      <c r="Q884">
        <v>8.8054091531391621E-4</v>
      </c>
      <c r="R884">
        <v>1.3548947447800958E-3</v>
      </c>
      <c r="S884">
        <v>0.10267671351315966</v>
      </c>
      <c r="T884">
        <v>0.98782469253365845</v>
      </c>
      <c r="U884">
        <v>0</v>
      </c>
      <c r="V884">
        <v>0.20544492317549198</v>
      </c>
      <c r="W884">
        <v>8.0602023623143018E-2</v>
      </c>
      <c r="X884">
        <v>2.8359957701567479E-2</v>
      </c>
      <c r="Y884">
        <v>3.6875768543588412E-3</v>
      </c>
    </row>
    <row r="885" spans="1:25" x14ac:dyDescent="0.25">
      <c r="A885" s="1095"/>
      <c r="B885" s="1454">
        <v>635</v>
      </c>
      <c r="C885" s="1099">
        <v>1.0026229888871607</v>
      </c>
      <c r="D885" s="1099">
        <v>1.0013563633936067</v>
      </c>
      <c r="E885" s="1099">
        <v>1.0251721831496392</v>
      </c>
      <c r="F885" s="1099">
        <v>1.0055236250457655</v>
      </c>
      <c r="G885" s="1099">
        <v>0.96257729038492545</v>
      </c>
      <c r="H885" s="1099">
        <v>1.0080795486802501</v>
      </c>
      <c r="I885" s="1099">
        <v>0.97141345777304255</v>
      </c>
      <c r="K885">
        <v>1.7449260095059833</v>
      </c>
      <c r="L885">
        <v>0</v>
      </c>
      <c r="M885">
        <v>1.312115851213317E-3</v>
      </c>
      <c r="N885">
        <v>0.1302300592852719</v>
      </c>
      <c r="O885">
        <v>0.12781874768958723</v>
      </c>
      <c r="P885">
        <v>1.8741381119033652E-2</v>
      </c>
      <c r="Q885">
        <v>9.194898201226741E-4</v>
      </c>
      <c r="R885">
        <v>1.3087602544926105E-3</v>
      </c>
      <c r="S885">
        <v>0.10515723115232274</v>
      </c>
      <c r="T885">
        <v>1.0360074284129155</v>
      </c>
      <c r="U885">
        <v>0</v>
      </c>
      <c r="V885">
        <v>0.20749040804975377</v>
      </c>
      <c r="W885">
        <v>8.4294304757318916E-2</v>
      </c>
      <c r="X885">
        <v>3.0708300836348172E-2</v>
      </c>
      <c r="Y885">
        <v>3.5620139800269426E-3</v>
      </c>
    </row>
    <row r="886" spans="1:25" x14ac:dyDescent="0.25">
      <c r="A886" s="1095"/>
      <c r="B886" s="1454">
        <v>636</v>
      </c>
      <c r="C886" s="1099">
        <v>1.0014874091474046</v>
      </c>
      <c r="D886" s="1099">
        <v>0.9674369726732438</v>
      </c>
      <c r="E886" s="1099">
        <v>0.98168278996544434</v>
      </c>
      <c r="F886" s="1099">
        <v>1.0388713079811369</v>
      </c>
      <c r="G886" s="1099">
        <v>1.0441128510406059</v>
      </c>
      <c r="H886" s="1099">
        <v>0.96849388169731865</v>
      </c>
      <c r="I886" s="1099">
        <v>0.9928365128674802</v>
      </c>
      <c r="K886">
        <v>1.7830719715148544</v>
      </c>
      <c r="L886">
        <v>0</v>
      </c>
      <c r="M886">
        <v>1.4134791239258872E-3</v>
      </c>
      <c r="N886">
        <v>0.12301148788773408</v>
      </c>
      <c r="O886">
        <v>0.13183537382371471</v>
      </c>
      <c r="P886">
        <v>1.8743269621222206E-2</v>
      </c>
      <c r="Q886">
        <v>8.9223280819388233E-4</v>
      </c>
      <c r="R886">
        <v>1.4097513776145292E-3</v>
      </c>
      <c r="S886">
        <v>0.10723059848292352</v>
      </c>
      <c r="T886">
        <v>1.0717045763054642</v>
      </c>
      <c r="U886">
        <v>0</v>
      </c>
      <c r="V886">
        <v>0.21419762692144811</v>
      </c>
      <c r="W886">
        <v>8.1701221769539742E-2</v>
      </c>
      <c r="X886">
        <v>2.9922433115473327E-2</v>
      </c>
      <c r="Y886">
        <v>3.8368785254500153E-3</v>
      </c>
    </row>
    <row r="887" spans="1:25" x14ac:dyDescent="0.25">
      <c r="A887" s="1095"/>
      <c r="B887" s="1454">
        <v>637</v>
      </c>
      <c r="C887" s="1099">
        <v>1.0084298984494373</v>
      </c>
      <c r="D887" s="1099">
        <v>0.97918682701065873</v>
      </c>
      <c r="E887" s="1099">
        <v>0.98878263390171495</v>
      </c>
      <c r="F887" s="1099">
        <v>1.0096130212672338</v>
      </c>
      <c r="G887" s="1099">
        <v>1.0232126006945705</v>
      </c>
      <c r="H887" s="1099">
        <v>0.99180346055783586</v>
      </c>
      <c r="I887" s="1099">
        <v>0.98887461618814576</v>
      </c>
      <c r="K887">
        <v>1.747476642555772</v>
      </c>
      <c r="L887">
        <v>0</v>
      </c>
      <c r="M887">
        <v>1.4038059268071292E-3</v>
      </c>
      <c r="N887">
        <v>0.12482782185295593</v>
      </c>
      <c r="O887">
        <v>0.12871490711378467</v>
      </c>
      <c r="P887">
        <v>1.8379865130046188E-2</v>
      </c>
      <c r="Q887">
        <v>8.883887057656865E-4</v>
      </c>
      <c r="R887">
        <v>1.4001754153435311E-3</v>
      </c>
      <c r="S887">
        <v>0.10677884377190265</v>
      </c>
      <c r="T887">
        <v>1.0413053462702557</v>
      </c>
      <c r="U887">
        <v>0</v>
      </c>
      <c r="V887">
        <v>0.21072275485198155</v>
      </c>
      <c r="W887">
        <v>8.2554381575111746E-2</v>
      </c>
      <c r="X887">
        <v>2.9497147882565963E-2</v>
      </c>
      <c r="Y887">
        <v>3.8108159128634727E-3</v>
      </c>
    </row>
    <row r="888" spans="1:25" x14ac:dyDescent="0.25">
      <c r="A888" s="1095"/>
      <c r="B888" s="1454">
        <v>638</v>
      </c>
      <c r="C888" s="1099">
        <v>1.0152040619621283</v>
      </c>
      <c r="D888" s="1099">
        <v>1.0124494587206851</v>
      </c>
      <c r="E888" s="1099">
        <v>0.98301909792927322</v>
      </c>
      <c r="F888" s="1099">
        <v>1.0081861536606438</v>
      </c>
      <c r="G888" s="1099">
        <v>0.97286923217382015</v>
      </c>
      <c r="H888" s="1099">
        <v>1.0283350206925495</v>
      </c>
      <c r="I888" s="1099">
        <v>1.0080449659506929</v>
      </c>
      <c r="K888">
        <v>1.7423799819194714</v>
      </c>
      <c r="L888">
        <v>0</v>
      </c>
      <c r="M888">
        <v>1.4351908765947315E-3</v>
      </c>
      <c r="N888">
        <v>0.12542305287207875</v>
      </c>
      <c r="O888">
        <v>0.12670667114419612</v>
      </c>
      <c r="P888">
        <v>1.8249982103298024E-2</v>
      </c>
      <c r="Q888">
        <v>8.6552073353240609E-4</v>
      </c>
      <c r="R888">
        <v>1.4315897554149507E-3</v>
      </c>
      <c r="S888">
        <v>0.10844948447526932</v>
      </c>
      <c r="T888">
        <v>1.0400088664046989</v>
      </c>
      <c r="U888">
        <v>0</v>
      </c>
      <c r="V888">
        <v>0.2066349593733581</v>
      </c>
      <c r="W888">
        <v>8.3235859741101342E-2</v>
      </c>
      <c r="X888">
        <v>2.8912870802313018E-2</v>
      </c>
      <c r="Y888">
        <v>3.8963153908034547E-3</v>
      </c>
    </row>
    <row r="889" spans="1:25" x14ac:dyDescent="0.25">
      <c r="A889" s="1095"/>
      <c r="B889" s="1454">
        <v>639</v>
      </c>
      <c r="C889" s="1099">
        <v>0.96107551128722657</v>
      </c>
      <c r="D889" s="1099">
        <v>0.96528669956285484</v>
      </c>
      <c r="E889" s="1099">
        <v>1.015755887444733</v>
      </c>
      <c r="F889" s="1099">
        <v>0.99404812253819319</v>
      </c>
      <c r="G889" s="1099">
        <v>1.0208363851544597</v>
      </c>
      <c r="H889" s="1099">
        <v>1.0123695395434515</v>
      </c>
      <c r="I889" s="1099">
        <v>0.98644620192149179</v>
      </c>
      <c r="K889">
        <v>1.7651561104683482</v>
      </c>
      <c r="L889">
        <v>0</v>
      </c>
      <c r="M889">
        <v>1.4257174225872891E-3</v>
      </c>
      <c r="N889">
        <v>0.13754446333885639</v>
      </c>
      <c r="O889">
        <v>0.13081204798581669</v>
      </c>
      <c r="P889">
        <v>1.8669809416813378E-2</v>
      </c>
      <c r="Q889">
        <v>9.6406405803716323E-4</v>
      </c>
      <c r="R889">
        <v>1.4220947240952974E-3</v>
      </c>
      <c r="S889">
        <v>0.11390150195806836</v>
      </c>
      <c r="T889">
        <v>1.0244565998342343</v>
      </c>
      <c r="U889">
        <v>0</v>
      </c>
      <c r="V889">
        <v>0.21443709945261016</v>
      </c>
      <c r="W889">
        <v>8.9520352692995422E-2</v>
      </c>
      <c r="X889">
        <v>3.0983321383819099E-2</v>
      </c>
      <c r="Y889">
        <v>3.8704730455875924E-3</v>
      </c>
    </row>
    <row r="890" spans="1:25" x14ac:dyDescent="0.25">
      <c r="A890" s="1095"/>
      <c r="B890" s="1454">
        <v>640</v>
      </c>
      <c r="C890" s="1099">
        <v>1.0405381320543292</v>
      </c>
      <c r="D890" s="1099">
        <v>0.98660139696241633</v>
      </c>
      <c r="E890" s="1099">
        <v>0.98748031330156483</v>
      </c>
      <c r="F890" s="1099">
        <v>0.99773507304392306</v>
      </c>
      <c r="G890" s="1099">
        <v>1.0200113366784025</v>
      </c>
      <c r="H890" s="1099">
        <v>1.0066936540487981</v>
      </c>
      <c r="I890" s="1099">
        <v>0.98554137874159964</v>
      </c>
      <c r="K890">
        <v>1.7205982239519579</v>
      </c>
      <c r="L890">
        <v>0</v>
      </c>
      <c r="M890">
        <v>1.3806558369096065E-3</v>
      </c>
      <c r="N890">
        <v>0.1222915070078803</v>
      </c>
      <c r="O890">
        <v>0.12585163701865895</v>
      </c>
      <c r="P890">
        <v>1.8107153072789466E-2</v>
      </c>
      <c r="Q890">
        <v>8.5721575316851642E-4</v>
      </c>
      <c r="R890">
        <v>1.3771384828173208E-3</v>
      </c>
      <c r="S890">
        <v>0.1037526892117005</v>
      </c>
      <c r="T890">
        <v>1.029093628563521</v>
      </c>
      <c r="U890">
        <v>0</v>
      </c>
      <c r="V890">
        <v>0.20711574494235055</v>
      </c>
      <c r="W890">
        <v>8.0940215678228414E-2</v>
      </c>
      <c r="X890">
        <v>2.884383308109997E-2</v>
      </c>
      <c r="Y890">
        <v>3.7481169766498939E-3</v>
      </c>
    </row>
    <row r="891" spans="1:25" x14ac:dyDescent="0.25">
      <c r="A891" s="1095"/>
      <c r="B891" s="1454">
        <v>641</v>
      </c>
      <c r="C891" s="1099">
        <v>0.99673727277651691</v>
      </c>
      <c r="D891" s="1099">
        <v>0.99268696950014801</v>
      </c>
      <c r="E891" s="1099">
        <v>0.99287198615483729</v>
      </c>
      <c r="F891" s="1099">
        <v>0.97285106532668575</v>
      </c>
      <c r="G891" s="1099">
        <v>0.98121226142691276</v>
      </c>
      <c r="H891" s="1099">
        <v>1.0163618698423535</v>
      </c>
      <c r="I891" s="1099">
        <v>0.97896986899002336</v>
      </c>
      <c r="K891">
        <v>1.7086101558772357</v>
      </c>
      <c r="L891">
        <v>0</v>
      </c>
      <c r="M891">
        <v>1.4255027907409403E-3</v>
      </c>
      <c r="N891">
        <v>0.12833978511009883</v>
      </c>
      <c r="O891">
        <v>0.12589336782561167</v>
      </c>
      <c r="P891">
        <v>1.7883766294789012E-2</v>
      </c>
      <c r="Q891">
        <v>8.9771755837808078E-4</v>
      </c>
      <c r="R891">
        <v>1.4218805653900602E-3</v>
      </c>
      <c r="S891">
        <v>0.10745249334481023</v>
      </c>
      <c r="T891">
        <v>1.0032700606711491</v>
      </c>
      <c r="U891">
        <v>0</v>
      </c>
      <c r="V891">
        <v>0.20734382012517286</v>
      </c>
      <c r="W891">
        <v>8.4669465310497433E-2</v>
      </c>
      <c r="X891">
        <v>2.899341168589056E-2</v>
      </c>
      <c r="Y891">
        <v>3.8698901761893352E-3</v>
      </c>
    </row>
    <row r="892" spans="1:25" x14ac:dyDescent="0.25">
      <c r="A892" s="1095"/>
      <c r="B892" s="1454">
        <v>642</v>
      </c>
      <c r="C892" s="1099">
        <v>0.98213275176177894</v>
      </c>
      <c r="D892" s="1099">
        <v>0.97175336197496487</v>
      </c>
      <c r="E892" s="1099">
        <v>0.96942348196109285</v>
      </c>
      <c r="F892" s="1099">
        <v>1.0405222193099057</v>
      </c>
      <c r="G892" s="1099">
        <v>0.99952386692746198</v>
      </c>
      <c r="H892" s="1099">
        <v>1.0069274688788623</v>
      </c>
      <c r="I892" s="1099">
        <v>1.0280330654140239</v>
      </c>
      <c r="K892">
        <v>1.803481638054683</v>
      </c>
      <c r="L892">
        <v>0</v>
      </c>
      <c r="M892">
        <v>1.5306360572547694E-3</v>
      </c>
      <c r="N892">
        <v>0.12836750535691327</v>
      </c>
      <c r="O892">
        <v>0.13273670611445496</v>
      </c>
      <c r="P892">
        <v>1.8701268997576941E-2</v>
      </c>
      <c r="Q892">
        <v>8.9657662645807796E-4</v>
      </c>
      <c r="R892">
        <v>1.5267442650313602E-3</v>
      </c>
      <c r="S892">
        <v>0.11564014959743947</v>
      </c>
      <c r="T892">
        <v>1.0737961768653319</v>
      </c>
      <c r="U892">
        <v>0</v>
      </c>
      <c r="V892">
        <v>0.21362825193075477</v>
      </c>
      <c r="W892">
        <v>8.5894271237254891E-2</v>
      </c>
      <c r="X892">
        <v>2.9669328522418825E-2</v>
      </c>
      <c r="Y892">
        <v>4.1552945983036578E-3</v>
      </c>
    </row>
    <row r="893" spans="1:25" x14ac:dyDescent="0.25">
      <c r="A893" s="1095"/>
      <c r="B893" s="1454">
        <v>643</v>
      </c>
      <c r="C893" s="1099">
        <v>1.0234772808152872</v>
      </c>
      <c r="D893" s="1099">
        <v>1.0220196674537687</v>
      </c>
      <c r="E893" s="1099">
        <v>0.99284205776476175</v>
      </c>
      <c r="F893" s="1099">
        <v>1.0247381088481042</v>
      </c>
      <c r="G893" s="1099">
        <v>0.98069428155818705</v>
      </c>
      <c r="H893" s="1099">
        <v>1.0353929744028718</v>
      </c>
      <c r="I893" s="1099">
        <v>1.0436210749599344</v>
      </c>
      <c r="K893">
        <v>1.7641020560202283</v>
      </c>
      <c r="L893">
        <v>0</v>
      </c>
      <c r="M893">
        <v>1.3994619813402364E-3</v>
      </c>
      <c r="N893">
        <v>0.12599013738117806</v>
      </c>
      <c r="O893">
        <v>0.12712609986452408</v>
      </c>
      <c r="P893">
        <v>1.8657099232850666E-2</v>
      </c>
      <c r="Q893">
        <v>8.6411175171216862E-4</v>
      </c>
      <c r="R893">
        <v>1.3959750281572368E-3</v>
      </c>
      <c r="S893">
        <v>0.11138138572089747</v>
      </c>
      <c r="T893">
        <v>1.0567804205226266</v>
      </c>
      <c r="U893">
        <v>0</v>
      </c>
      <c r="V893">
        <v>0.20693730322038151</v>
      </c>
      <c r="W893">
        <v>8.31208216883082E-2</v>
      </c>
      <c r="X893">
        <v>2.9448779747331486E-2</v>
      </c>
      <c r="Y893">
        <v>3.7993838435996436E-3</v>
      </c>
    </row>
    <row r="894" spans="1:25" x14ac:dyDescent="0.25">
      <c r="A894" s="1095"/>
      <c r="B894" s="1454">
        <v>644</v>
      </c>
      <c r="C894" s="1099">
        <v>1.0171944405439695</v>
      </c>
      <c r="D894" s="1099">
        <v>1.0231741354287527</v>
      </c>
      <c r="E894" s="1099">
        <v>0.99333388741445217</v>
      </c>
      <c r="F894" s="1099">
        <v>0.98425365053670066</v>
      </c>
      <c r="G894" s="1099">
        <v>0.98387697321601353</v>
      </c>
      <c r="H894" s="1099">
        <v>0.97657603968028428</v>
      </c>
      <c r="I894" s="1099">
        <v>0.99724607023111733</v>
      </c>
      <c r="K894">
        <v>1.6963576172545702</v>
      </c>
      <c r="L894">
        <v>0</v>
      </c>
      <c r="M894">
        <v>1.3208099408313215E-3</v>
      </c>
      <c r="N894">
        <v>0.11906700397879394</v>
      </c>
      <c r="O894">
        <v>0.12437045850447004</v>
      </c>
      <c r="P894">
        <v>1.7960516487711856E-2</v>
      </c>
      <c r="Q894">
        <v>8.6950142565147572E-4</v>
      </c>
      <c r="R894">
        <v>1.317306606112695E-3</v>
      </c>
      <c r="S894">
        <v>0.10277229451476876</v>
      </c>
      <c r="T894">
        <v>1.0150155725023271</v>
      </c>
      <c r="U894">
        <v>0</v>
      </c>
      <c r="V894">
        <v>0.20548087551383129</v>
      </c>
      <c r="W894">
        <v>7.8530264005977179E-2</v>
      </c>
      <c r="X894">
        <v>2.8709359323924374E-2</v>
      </c>
      <c r="Y894">
        <v>3.5852743318327577E-3</v>
      </c>
    </row>
    <row r="895" spans="1:25" x14ac:dyDescent="0.25">
      <c r="A895" s="1095"/>
      <c r="B895" s="1454">
        <v>645</v>
      </c>
      <c r="C895" s="1099">
        <v>1.0013576791323315</v>
      </c>
      <c r="D895" s="1099">
        <v>0.9595752268111829</v>
      </c>
      <c r="E895" s="1099">
        <v>0.97139882137487044</v>
      </c>
      <c r="F895" s="1099">
        <v>1.0372856784020623</v>
      </c>
      <c r="G895" s="1099">
        <v>1.0148046766712351</v>
      </c>
      <c r="H895" s="1099">
        <v>1.0009063030440677</v>
      </c>
      <c r="I895" s="1099">
        <v>1.031125479815584</v>
      </c>
      <c r="K895">
        <v>1.7939427656816569</v>
      </c>
      <c r="L895">
        <v>0</v>
      </c>
      <c r="M895">
        <v>1.4993470790229673E-3</v>
      </c>
      <c r="N895">
        <v>0.12649703486189062</v>
      </c>
      <c r="O895">
        <v>0.13206178201592828</v>
      </c>
      <c r="P895">
        <v>1.8657114045157939E-2</v>
      </c>
      <c r="Q895">
        <v>8.8565142636796046E-4</v>
      </c>
      <c r="R895">
        <v>1.4955263147854894E-3</v>
      </c>
      <c r="S895">
        <v>0.11431249497438903</v>
      </c>
      <c r="T895">
        <v>1.0703934154011137</v>
      </c>
      <c r="U895">
        <v>0</v>
      </c>
      <c r="V895">
        <v>0.21292941058178955</v>
      </c>
      <c r="W895">
        <v>8.4541019393261349E-2</v>
      </c>
      <c r="X895">
        <v>2.9598334117263928E-2</v>
      </c>
      <c r="Y895">
        <v>4.0703296287289293E-3</v>
      </c>
    </row>
    <row r="896" spans="1:25" x14ac:dyDescent="0.25">
      <c r="A896" s="1095"/>
      <c r="B896" s="1454">
        <v>646</v>
      </c>
      <c r="C896" s="1099">
        <v>0.98172273848373681</v>
      </c>
      <c r="D896" s="1099">
        <v>1.0171407989719576</v>
      </c>
      <c r="E896" s="1099">
        <v>1.0011236520084519</v>
      </c>
      <c r="F896" s="1099">
        <v>1.0268223151958304</v>
      </c>
      <c r="G896" s="1099">
        <v>1.0085841950646823</v>
      </c>
      <c r="H896" s="1099">
        <v>1.0052103651862252</v>
      </c>
      <c r="I896" s="1099">
        <v>0.99863747738998421</v>
      </c>
      <c r="K896">
        <v>1.7761561790967897</v>
      </c>
      <c r="L896">
        <v>0</v>
      </c>
      <c r="M896">
        <v>1.3919201673521168E-3</v>
      </c>
      <c r="N896">
        <v>0.12847640783942588</v>
      </c>
      <c r="O896">
        <v>0.12970018817561055</v>
      </c>
      <c r="P896">
        <v>1.8837923126820227E-2</v>
      </c>
      <c r="Q896">
        <v>9.1038599822883151E-4</v>
      </c>
      <c r="R896">
        <v>1.3883399475277983E-3</v>
      </c>
      <c r="S896">
        <v>0.10910369312546532</v>
      </c>
      <c r="T896">
        <v>1.0586762437149695</v>
      </c>
      <c r="U896">
        <v>0</v>
      </c>
      <c r="V896">
        <v>0.21207158676621882</v>
      </c>
      <c r="W896">
        <v>8.4343944392690176E-2</v>
      </c>
      <c r="X896">
        <v>3.0260782506153223E-2</v>
      </c>
      <c r="Y896">
        <v>3.7786036710299644E-3</v>
      </c>
    </row>
    <row r="897" spans="1:25" x14ac:dyDescent="0.25">
      <c r="A897" s="1095"/>
      <c r="B897" s="1454">
        <v>647</v>
      </c>
      <c r="C897" s="1099">
        <v>1.0308689893457521</v>
      </c>
      <c r="D897" s="1099">
        <v>1.006121244248128</v>
      </c>
      <c r="E897" s="1099">
        <v>0.99876944755011043</v>
      </c>
      <c r="F897" s="1099">
        <v>1.0059712254320938</v>
      </c>
      <c r="G897" s="1099">
        <v>0.99508269732067645</v>
      </c>
      <c r="H897" s="1099">
        <v>1.0052800378088544</v>
      </c>
      <c r="I897" s="1099">
        <v>1.0089367870900932</v>
      </c>
      <c r="K897">
        <v>1.7321188669685978</v>
      </c>
      <c r="L897">
        <v>0</v>
      </c>
      <c r="M897">
        <v>1.3437165568531237E-3</v>
      </c>
      <c r="N897">
        <v>0.1231494977945901</v>
      </c>
      <c r="O897">
        <v>0.12610485760941573</v>
      </c>
      <c r="P897">
        <v>1.8393161539856869E-2</v>
      </c>
      <c r="Q897">
        <v>8.6864668905682835E-4</v>
      </c>
      <c r="R897">
        <v>1.3402753707481359E-3</v>
      </c>
      <c r="S897">
        <v>0.10583662578293963</v>
      </c>
      <c r="T897">
        <v>1.0372487194850517</v>
      </c>
      <c r="U897">
        <v>0</v>
      </c>
      <c r="V897">
        <v>0.20655727210057725</v>
      </c>
      <c r="W897">
        <v>8.0960067568023708E-2</v>
      </c>
      <c r="X897">
        <v>2.9355671847671138E-2</v>
      </c>
      <c r="Y897">
        <v>3.6477877375192007E-3</v>
      </c>
    </row>
    <row r="898" spans="1:25" x14ac:dyDescent="0.25">
      <c r="A898" s="1095"/>
      <c r="B898" s="1454">
        <v>648</v>
      </c>
      <c r="C898" s="1099">
        <v>0.96257658450187467</v>
      </c>
      <c r="D898" s="1099">
        <v>1.0194655067780394</v>
      </c>
      <c r="E898" s="1099">
        <v>0.97607626993378649</v>
      </c>
      <c r="F898" s="1099">
        <v>1.0279979160564487</v>
      </c>
      <c r="G898" s="1099">
        <v>0.97743658336053407</v>
      </c>
      <c r="H898" s="1099">
        <v>0.95436634854385072</v>
      </c>
      <c r="I898" s="1099">
        <v>1.0129649009347201</v>
      </c>
      <c r="K898">
        <v>1.7668589995146509</v>
      </c>
      <c r="L898">
        <v>0</v>
      </c>
      <c r="M898">
        <v>1.4155119653463427E-3</v>
      </c>
      <c r="N898">
        <v>0.1211067918386307</v>
      </c>
      <c r="O898">
        <v>0.13062352620661846</v>
      </c>
      <c r="P898">
        <v>1.8510632480154957E-2</v>
      </c>
      <c r="Q898">
        <v>9.0372292803178155E-4</v>
      </c>
      <c r="R898">
        <v>1.4116696720274055E-3</v>
      </c>
      <c r="S898">
        <v>0.10886402863051482</v>
      </c>
      <c r="T898">
        <v>1.0606624980394381</v>
      </c>
      <c r="U898">
        <v>0</v>
      </c>
      <c r="V898">
        <v>0.2121910001219261</v>
      </c>
      <c r="W898">
        <v>8.0709178163203416E-2</v>
      </c>
      <c r="X898">
        <v>2.9449363908975526E-2</v>
      </c>
      <c r="Y898">
        <v>3.8420994904762818E-3</v>
      </c>
    </row>
    <row r="899" spans="1:25" x14ac:dyDescent="0.25">
      <c r="A899" s="1095"/>
      <c r="B899" s="1454">
        <v>649</v>
      </c>
      <c r="C899" s="1099">
        <v>1.0074540316376401</v>
      </c>
      <c r="D899" s="1099">
        <v>0.97638196567101898</v>
      </c>
      <c r="E899" s="1099">
        <v>1.0217114268284395</v>
      </c>
      <c r="F899" s="1099">
        <v>0.97994315703548063</v>
      </c>
      <c r="G899" s="1099">
        <v>1.0131774796293544</v>
      </c>
      <c r="H899" s="1099">
        <v>0.99233354218453307</v>
      </c>
      <c r="I899" s="1099">
        <v>0.99421292386532534</v>
      </c>
      <c r="K899">
        <v>1.7185158002495327</v>
      </c>
      <c r="L899">
        <v>0</v>
      </c>
      <c r="M899">
        <v>1.3116568170824477E-3</v>
      </c>
      <c r="N899">
        <v>0.12882846489698555</v>
      </c>
      <c r="O899">
        <v>0.1267551018178254</v>
      </c>
      <c r="P899">
        <v>1.8383483898214238E-2</v>
      </c>
      <c r="Q899">
        <v>9.2110233541763825E-4</v>
      </c>
      <c r="R899">
        <v>1.3082590111157073E-3</v>
      </c>
      <c r="S899">
        <v>0.10755490514674249</v>
      </c>
      <c r="T899">
        <v>1.0097499109605941</v>
      </c>
      <c r="U899">
        <v>0</v>
      </c>
      <c r="V899">
        <v>0.20893961099074881</v>
      </c>
      <c r="W899">
        <v>8.3555641662774724E-2</v>
      </c>
      <c r="X899">
        <v>3.0270326585404812E-2</v>
      </c>
      <c r="Y899">
        <v>3.5606497607898473E-3</v>
      </c>
    </row>
    <row r="900" spans="1:25" x14ac:dyDescent="0.25">
      <c r="A900" s="1095"/>
      <c r="B900" s="1454">
        <v>650</v>
      </c>
      <c r="C900" s="1099">
        <v>1.0327279468612292</v>
      </c>
      <c r="D900" s="1099">
        <v>1.0047218804295464</v>
      </c>
      <c r="E900" s="1099">
        <v>0.99120944261732324</v>
      </c>
      <c r="F900" s="1099">
        <v>0.99435622493930365</v>
      </c>
      <c r="G900" s="1099">
        <v>1.007134254894845</v>
      </c>
      <c r="H900" s="1099">
        <v>0.9933205387003069</v>
      </c>
      <c r="I900" s="1099">
        <v>1.0333510503649268</v>
      </c>
      <c r="K900">
        <v>1.7162195991306106</v>
      </c>
      <c r="L900">
        <v>0</v>
      </c>
      <c r="M900">
        <v>1.3462641243217836E-3</v>
      </c>
      <c r="N900">
        <v>0.12059188277160085</v>
      </c>
      <c r="O900">
        <v>0.12517796340661558</v>
      </c>
      <c r="P900">
        <v>1.8149114662662894E-2</v>
      </c>
      <c r="Q900">
        <v>8.6077427805339088E-4</v>
      </c>
      <c r="R900">
        <v>1.3427729408045687E-3</v>
      </c>
      <c r="S900">
        <v>0.10738893436013219</v>
      </c>
      <c r="T900">
        <v>1.0254971765646277</v>
      </c>
      <c r="U900">
        <v>0</v>
      </c>
      <c r="V900">
        <v>0.20641243067441467</v>
      </c>
      <c r="W900">
        <v>7.9637098696008268E-2</v>
      </c>
      <c r="X900">
        <v>2.8853129600124382E-2</v>
      </c>
      <c r="Y900">
        <v>3.6545852998890638E-3</v>
      </c>
    </row>
    <row r="901" spans="1:25" x14ac:dyDescent="0.25">
      <c r="A901" s="1095"/>
      <c r="B901" s="1454">
        <v>651</v>
      </c>
      <c r="C901" s="1099">
        <v>0.99625929801457713</v>
      </c>
      <c r="D901" s="1099">
        <v>1.0101854675032991</v>
      </c>
      <c r="E901" s="1099">
        <v>0.98820723234563645</v>
      </c>
      <c r="F901" s="1099">
        <v>0.97415074421099068</v>
      </c>
      <c r="G901" s="1099">
        <v>0.97091778187907618</v>
      </c>
      <c r="H901" s="1099">
        <v>0.98553685357600163</v>
      </c>
      <c r="I901" s="1099">
        <v>0.97544095992461488</v>
      </c>
      <c r="K901">
        <v>1.6951876081168404</v>
      </c>
      <c r="L901">
        <v>0</v>
      </c>
      <c r="M901">
        <v>1.3822345588789433E-3</v>
      </c>
      <c r="N901">
        <v>0.12269076671824573</v>
      </c>
      <c r="O901">
        <v>0.1252102029670793</v>
      </c>
      <c r="P901">
        <v>1.7780243590984558E-2</v>
      </c>
      <c r="Q901">
        <v>8.8756761221014501E-4</v>
      </c>
      <c r="R901">
        <v>1.3786008984429097E-3</v>
      </c>
      <c r="S901">
        <v>0.10387696731347755</v>
      </c>
      <c r="T901">
        <v>1.004746743247581</v>
      </c>
      <c r="U901">
        <v>0</v>
      </c>
      <c r="V901">
        <v>0.20642207455821612</v>
      </c>
      <c r="W901">
        <v>8.1169056215827928E-2</v>
      </c>
      <c r="X901">
        <v>2.8655522363755556E-2</v>
      </c>
      <c r="Y901">
        <v>3.7520971898975658E-3</v>
      </c>
    </row>
    <row r="902" spans="1:25" x14ac:dyDescent="0.25">
      <c r="A902" s="1095"/>
      <c r="B902" s="1454">
        <v>652</v>
      </c>
      <c r="C902" s="1099">
        <v>0.96737489165269064</v>
      </c>
      <c r="D902" s="1099">
        <v>0.99598357382230995</v>
      </c>
      <c r="E902" s="1099">
        <v>0.99917005811743065</v>
      </c>
      <c r="F902" s="1099">
        <v>0.97162799406685674</v>
      </c>
      <c r="G902" s="1099">
        <v>1.0164927827836658</v>
      </c>
      <c r="H902" s="1099">
        <v>0.98542351250161364</v>
      </c>
      <c r="I902" s="1099">
        <v>0.99806313612012165</v>
      </c>
      <c r="K902">
        <v>1.7157242240226007</v>
      </c>
      <c r="L902">
        <v>0</v>
      </c>
      <c r="M902">
        <v>1.399089652098492E-3</v>
      </c>
      <c r="N902">
        <v>0.12837083324685492</v>
      </c>
      <c r="O902">
        <v>0.12720508582024645</v>
      </c>
      <c r="P902">
        <v>1.8042610013772609E-2</v>
      </c>
      <c r="Q902">
        <v>9.2980435432523333E-4</v>
      </c>
      <c r="R902">
        <v>1.3954107752830625E-3</v>
      </c>
      <c r="S902">
        <v>0.11023411995255504</v>
      </c>
      <c r="T902">
        <v>1.0018261109668589</v>
      </c>
      <c r="U902">
        <v>0</v>
      </c>
      <c r="V902">
        <v>0.21145507866618621</v>
      </c>
      <c r="W902">
        <v>8.4372532884280621E-2</v>
      </c>
      <c r="X902">
        <v>2.949387886105127E-2</v>
      </c>
      <c r="Y902">
        <v>3.7978481332820503E-3</v>
      </c>
    </row>
    <row r="903" spans="1:25" x14ac:dyDescent="0.25">
      <c r="A903" s="1095"/>
      <c r="B903" s="1454">
        <v>653</v>
      </c>
      <c r="C903" s="1099">
        <v>1.0111871808938446</v>
      </c>
      <c r="D903" s="1099">
        <v>1.0353906188105633</v>
      </c>
      <c r="E903" s="1099">
        <v>0.9981838360104559</v>
      </c>
      <c r="F903" s="1099">
        <v>0.95987010541356177</v>
      </c>
      <c r="G903" s="1099">
        <v>1.010093202034352</v>
      </c>
      <c r="H903" s="1099">
        <v>1.0073836969765366</v>
      </c>
      <c r="I903" s="1099">
        <v>0.98169762188594911</v>
      </c>
      <c r="K903">
        <v>1.6750395844107751</v>
      </c>
      <c r="L903">
        <v>0</v>
      </c>
      <c r="M903">
        <v>1.3439024859744854E-3</v>
      </c>
      <c r="N903">
        <v>0.1229459762474856</v>
      </c>
      <c r="O903">
        <v>0.12231831847725608</v>
      </c>
      <c r="P903">
        <v>1.7685498091660298E-2</v>
      </c>
      <c r="Q903">
        <v>8.7492257734176878E-4</v>
      </c>
      <c r="R903">
        <v>1.3404301163605333E-3</v>
      </c>
      <c r="S903">
        <v>0.1029081806048497</v>
      </c>
      <c r="T903">
        <v>0.9897309662490178</v>
      </c>
      <c r="U903">
        <v>0</v>
      </c>
      <c r="V903">
        <v>0.20564027490114076</v>
      </c>
      <c r="W903">
        <v>8.085444066820377E-2</v>
      </c>
      <c r="X903">
        <v>2.8436270059369238E-2</v>
      </c>
      <c r="Y903">
        <v>3.6482089040642701E-3</v>
      </c>
    </row>
    <row r="904" spans="1:25" x14ac:dyDescent="0.25">
      <c r="A904" s="1095"/>
      <c r="B904" s="1454">
        <v>654</v>
      </c>
      <c r="C904" s="1099">
        <v>1.0002329447912899</v>
      </c>
      <c r="D904" s="1099">
        <v>1.0051491379855633</v>
      </c>
      <c r="E904" s="1099">
        <v>1.0135733400047533</v>
      </c>
      <c r="F904" s="1099">
        <v>0.98090111229543775</v>
      </c>
      <c r="G904" s="1099">
        <v>0.98703598078211952</v>
      </c>
      <c r="H904" s="1099">
        <v>1.0275247268061229</v>
      </c>
      <c r="I904" s="1099">
        <v>1.003806791734885</v>
      </c>
      <c r="K904">
        <v>1.7232744061640766</v>
      </c>
      <c r="L904">
        <v>0</v>
      </c>
      <c r="M904">
        <v>1.3670999150608659E-3</v>
      </c>
      <c r="N904">
        <v>0.13102671418531511</v>
      </c>
      <c r="O904">
        <v>0.12585129625578953</v>
      </c>
      <c r="P904">
        <v>1.8301645990909842E-2</v>
      </c>
      <c r="Q904">
        <v>9.0940524336859542E-4</v>
      </c>
      <c r="R904">
        <v>1.36365935236608E-3</v>
      </c>
      <c r="S904">
        <v>0.10984121757011422</v>
      </c>
      <c r="T904">
        <v>1.010970124401914</v>
      </c>
      <c r="U904">
        <v>0</v>
      </c>
      <c r="V904">
        <v>0.2074426127184496</v>
      </c>
      <c r="W904">
        <v>8.5387718072540794E-2</v>
      </c>
      <c r="X904">
        <v>2.983568106141268E-2</v>
      </c>
      <c r="Y904">
        <v>3.7114312269557761E-3</v>
      </c>
    </row>
    <row r="905" spans="1:25" x14ac:dyDescent="0.25">
      <c r="A905" s="1095"/>
      <c r="B905" s="1454">
        <v>655</v>
      </c>
      <c r="C905" s="1099">
        <v>0.99377916178919623</v>
      </c>
      <c r="D905" s="1099">
        <v>0.99568606347781796</v>
      </c>
      <c r="E905" s="1099">
        <v>0.97463361276285942</v>
      </c>
      <c r="F905" s="1099">
        <v>1.0465502070835728</v>
      </c>
      <c r="G905" s="1099">
        <v>1.0311737442971585</v>
      </c>
      <c r="H905" s="1099">
        <v>1.0045495409983349</v>
      </c>
      <c r="I905" s="1099">
        <v>1.0077115642259011</v>
      </c>
      <c r="K905">
        <v>1.797917463698403</v>
      </c>
      <c r="L905">
        <v>0</v>
      </c>
      <c r="M905">
        <v>1.4738302005135606E-3</v>
      </c>
      <c r="N905">
        <v>0.12556677391340515</v>
      </c>
      <c r="O905">
        <v>0.13142796200401025</v>
      </c>
      <c r="P905">
        <v>1.8786597960723982E-2</v>
      </c>
      <c r="Q905">
        <v>8.8231271679514148E-4</v>
      </c>
      <c r="R905">
        <v>1.4700620299891549E-3</v>
      </c>
      <c r="S905">
        <v>0.11029618355261234</v>
      </c>
      <c r="T905">
        <v>1.0798502805219026</v>
      </c>
      <c r="U905">
        <v>0</v>
      </c>
      <c r="V905">
        <v>0.21371591902239676</v>
      </c>
      <c r="W905">
        <v>8.3754639998193298E-2</v>
      </c>
      <c r="X905">
        <v>2.9639537939077309E-2</v>
      </c>
      <c r="Y905">
        <v>4.0010242398125341E-3</v>
      </c>
    </row>
    <row r="906" spans="1:25" x14ac:dyDescent="0.25">
      <c r="A906" s="1095"/>
      <c r="B906" s="1454">
        <v>656</v>
      </c>
      <c r="C906" s="1099">
        <v>1.0151334148250066</v>
      </c>
      <c r="D906" s="1099">
        <v>1.014850221968395</v>
      </c>
      <c r="E906" s="1099">
        <v>0.9995300094030769</v>
      </c>
      <c r="F906" s="1099">
        <v>1.0280752940024653</v>
      </c>
      <c r="G906" s="1099">
        <v>0.96213837958437898</v>
      </c>
      <c r="H906" s="1099">
        <v>1.003562974343442</v>
      </c>
      <c r="I906" s="1099">
        <v>0.96138772314362131</v>
      </c>
      <c r="K906">
        <v>1.7562192169780813</v>
      </c>
      <c r="L906">
        <v>0</v>
      </c>
      <c r="M906">
        <v>1.3538993310310799E-3</v>
      </c>
      <c r="N906">
        <v>0.12436730328564419</v>
      </c>
      <c r="O906">
        <v>0.12814364896785715</v>
      </c>
      <c r="P906">
        <v>1.8666494567506801E-2</v>
      </c>
      <c r="Q906">
        <v>8.7976258390069209E-4</v>
      </c>
      <c r="R906">
        <v>1.3504223462438452E-3</v>
      </c>
      <c r="S906">
        <v>0.10179114037674047</v>
      </c>
      <c r="T906">
        <v>1.060016780452163</v>
      </c>
      <c r="U906">
        <v>0</v>
      </c>
      <c r="V906">
        <v>0.2071181361503264</v>
      </c>
      <c r="W906">
        <v>8.1723693350365112E-2</v>
      </c>
      <c r="X906">
        <v>2.9840329768495263E-2</v>
      </c>
      <c r="Y906">
        <v>3.6754044598689495E-3</v>
      </c>
    </row>
    <row r="907" spans="1:25" x14ac:dyDescent="0.25">
      <c r="A907" s="1095"/>
      <c r="B907" s="1454">
        <v>657</v>
      </c>
      <c r="C907" s="1099">
        <v>1.0370685793957624</v>
      </c>
      <c r="D907" s="1099">
        <v>1.0120747156297893</v>
      </c>
      <c r="E907" s="1099">
        <v>0.9965767645125585</v>
      </c>
      <c r="F907" s="1099">
        <v>0.96543634411589774</v>
      </c>
      <c r="G907" s="1099">
        <v>0.98738637842990462</v>
      </c>
      <c r="H907" s="1099">
        <v>0.99698802942349274</v>
      </c>
      <c r="I907" s="1099">
        <v>1.0240749179647703</v>
      </c>
      <c r="K907">
        <v>1.6772413013567353</v>
      </c>
      <c r="L907">
        <v>0</v>
      </c>
      <c r="M907">
        <v>1.3221101960754302E-3</v>
      </c>
      <c r="N907">
        <v>0.12036527487695706</v>
      </c>
      <c r="O907">
        <v>0.12248527894592798</v>
      </c>
      <c r="P907">
        <v>1.774954119568237E-2</v>
      </c>
      <c r="Q907">
        <v>8.5946010448300367E-4</v>
      </c>
      <c r="R907">
        <v>1.3186820932282325E-3</v>
      </c>
      <c r="S907">
        <v>0.10561506416291455</v>
      </c>
      <c r="T907">
        <v>0.99551660967672262</v>
      </c>
      <c r="U907">
        <v>0</v>
      </c>
      <c r="V907">
        <v>0.20341621385372233</v>
      </c>
      <c r="W907">
        <v>7.9233063324882447E-2</v>
      </c>
      <c r="X907">
        <v>2.8415205363956426E-2</v>
      </c>
      <c r="Y907">
        <v>3.5890179543320443E-3</v>
      </c>
    </row>
    <row r="908" spans="1:25" x14ac:dyDescent="0.25">
      <c r="A908" s="1095"/>
      <c r="B908" s="1454">
        <v>658</v>
      </c>
      <c r="C908" s="1099">
        <v>1.0151349092337107</v>
      </c>
      <c r="D908" s="1099">
        <v>1.0131780930065453</v>
      </c>
      <c r="E908" s="1099">
        <v>1.0026774965257921</v>
      </c>
      <c r="F908" s="1099">
        <v>0.96993929954211189</v>
      </c>
      <c r="G908" s="1099">
        <v>1.0035798638235411</v>
      </c>
      <c r="H908" s="1099">
        <v>0.99965148300500306</v>
      </c>
      <c r="I908" s="1099">
        <v>0.99174997056579584</v>
      </c>
      <c r="K908">
        <v>1.6908204546164101</v>
      </c>
      <c r="L908">
        <v>0</v>
      </c>
      <c r="M908">
        <v>1.3345710461948245E-3</v>
      </c>
      <c r="N908">
        <v>0.12376033128760434</v>
      </c>
      <c r="O908">
        <v>0.12386421220303109</v>
      </c>
      <c r="P908">
        <v>1.7914229760628311E-2</v>
      </c>
      <c r="Q908">
        <v>8.8321762186574742E-4</v>
      </c>
      <c r="R908">
        <v>1.3311144178620731E-3</v>
      </c>
      <c r="S908">
        <v>0.104519089167287</v>
      </c>
      <c r="T908">
        <v>0.99998389437222224</v>
      </c>
      <c r="U908">
        <v>0</v>
      </c>
      <c r="V908">
        <v>0.20616872561065869</v>
      </c>
      <c r="W908">
        <v>8.1172983109464691E-2</v>
      </c>
      <c r="X908">
        <v>2.893437346830911E-2</v>
      </c>
      <c r="Y908">
        <v>3.6228546436706459E-3</v>
      </c>
    </row>
    <row r="909" spans="1:25" x14ac:dyDescent="0.25">
      <c r="A909" s="1095"/>
      <c r="B909" s="1454">
        <v>659</v>
      </c>
      <c r="C909" s="1099">
        <v>0.99228810794086175</v>
      </c>
      <c r="D909" s="1099">
        <v>1.0225191464272472</v>
      </c>
      <c r="E909" s="1099">
        <v>0.96928812278101129</v>
      </c>
      <c r="F909" s="1099">
        <v>1.0277918839603253</v>
      </c>
      <c r="G909" s="1099">
        <v>1.0375815676059734</v>
      </c>
      <c r="H909" s="1099">
        <v>1.015763163499223</v>
      </c>
      <c r="I909" s="1099">
        <v>0.99133386481808128</v>
      </c>
      <c r="K909">
        <v>1.7690981349053823</v>
      </c>
      <c r="L909">
        <v>0</v>
      </c>
      <c r="M909">
        <v>1.4830942276991203E-3</v>
      </c>
      <c r="N909">
        <v>0.12432904515885262</v>
      </c>
      <c r="O909">
        <v>0.12883733225910915</v>
      </c>
      <c r="P909">
        <v>1.8399404622180773E-2</v>
      </c>
      <c r="Q909">
        <v>8.693841226651317E-4</v>
      </c>
      <c r="R909">
        <v>1.4793188774992979E-3</v>
      </c>
      <c r="S909">
        <v>0.10754180727053651</v>
      </c>
      <c r="T909">
        <v>1.0606630122274181</v>
      </c>
      <c r="U909">
        <v>0</v>
      </c>
      <c r="V909">
        <v>0.21235844376404631</v>
      </c>
      <c r="W909">
        <v>8.3198882589041595E-2</v>
      </c>
      <c r="X909">
        <v>2.8878379914513294E-2</v>
      </c>
      <c r="Y909">
        <v>4.0262183272161819E-3</v>
      </c>
    </row>
    <row r="910" spans="1:25" x14ac:dyDescent="0.25">
      <c r="A910" s="1095"/>
      <c r="B910" s="1454">
        <v>660</v>
      </c>
      <c r="C910" s="1099">
        <v>1.0422617251173063</v>
      </c>
      <c r="D910" s="1099">
        <v>1.0094279254639231</v>
      </c>
      <c r="E910" s="1099">
        <v>0.99388702986926292</v>
      </c>
      <c r="F910" s="1099">
        <v>0.99017543112421536</v>
      </c>
      <c r="G910" s="1099">
        <v>0.97485771124659426</v>
      </c>
      <c r="H910" s="1099">
        <v>0.98402941592578042</v>
      </c>
      <c r="I910" s="1099">
        <v>0.98350783292069122</v>
      </c>
      <c r="K910">
        <v>1.6970060092860726</v>
      </c>
      <c r="L910">
        <v>0</v>
      </c>
      <c r="M910">
        <v>1.3110332746239868E-3</v>
      </c>
      <c r="N910">
        <v>0.11838739063933779</v>
      </c>
      <c r="O910">
        <v>0.12419917311078078</v>
      </c>
      <c r="P910">
        <v>1.7994969347973542E-2</v>
      </c>
      <c r="Q910">
        <v>8.5368391826395255E-4</v>
      </c>
      <c r="R910">
        <v>1.3075995875866063E-3</v>
      </c>
      <c r="S910">
        <v>0.10039990051811555</v>
      </c>
      <c r="T910">
        <v>1.0211060468477631</v>
      </c>
      <c r="U910">
        <v>0</v>
      </c>
      <c r="V910">
        <v>0.2037537145340759</v>
      </c>
      <c r="W910">
        <v>7.805623148923424E-2</v>
      </c>
      <c r="X910">
        <v>2.8699477540243077E-2</v>
      </c>
      <c r="Y910">
        <v>3.5588550273225423E-3</v>
      </c>
    </row>
    <row r="911" spans="1:25" x14ac:dyDescent="0.25">
      <c r="A911" s="1095"/>
      <c r="B911" s="1454">
        <v>661</v>
      </c>
      <c r="C911" s="1099">
        <v>1.0074795425297987</v>
      </c>
      <c r="D911" s="1099">
        <v>1.0254348726476861</v>
      </c>
      <c r="E911" s="1099">
        <v>0.97947122623422955</v>
      </c>
      <c r="F911" s="1099">
        <v>1.0090441447060041</v>
      </c>
      <c r="G911" s="1099">
        <v>1.0233219904507018</v>
      </c>
      <c r="H911" s="1099">
        <v>0.99550096964685675</v>
      </c>
      <c r="I911" s="1099">
        <v>1.0095666099239478</v>
      </c>
      <c r="K911">
        <v>1.7362129441949012</v>
      </c>
      <c r="L911">
        <v>0</v>
      </c>
      <c r="M911">
        <v>1.3989833720820708E-3</v>
      </c>
      <c r="N911">
        <v>0.1209425942169457</v>
      </c>
      <c r="O911">
        <v>0.12656450151095566</v>
      </c>
      <c r="P911">
        <v>1.8221741786736322E-2</v>
      </c>
      <c r="Q911">
        <v>8.6450414459735827E-4</v>
      </c>
      <c r="R911">
        <v>1.395346502946423E-3</v>
      </c>
      <c r="S911">
        <v>0.10627426414207013</v>
      </c>
      <c r="T911">
        <v>1.0410023640702637</v>
      </c>
      <c r="U911">
        <v>0</v>
      </c>
      <c r="V911">
        <v>0.20936680076573352</v>
      </c>
      <c r="W911">
        <v>8.0434404085030095E-2</v>
      </c>
      <c r="X911">
        <v>2.8747733136534913E-2</v>
      </c>
      <c r="Y911">
        <v>3.797673205169088E-3</v>
      </c>
    </row>
    <row r="912" spans="1:25" x14ac:dyDescent="0.25">
      <c r="A912" s="1095"/>
      <c r="B912" s="1454">
        <v>662</v>
      </c>
      <c r="C912" s="1099">
        <v>0.99839872450552636</v>
      </c>
      <c r="D912" s="1099">
        <v>0.99901842764235571</v>
      </c>
      <c r="E912" s="1099">
        <v>0.99451995984984554</v>
      </c>
      <c r="F912" s="1099">
        <v>0.98573112731100809</v>
      </c>
      <c r="G912" s="1099">
        <v>0.97591264758075924</v>
      </c>
      <c r="H912" s="1099">
        <v>0.99941138177481759</v>
      </c>
      <c r="I912" s="1099">
        <v>0.99658556646762431</v>
      </c>
      <c r="K912">
        <v>1.7189519648233458</v>
      </c>
      <c r="L912">
        <v>0</v>
      </c>
      <c r="M912">
        <v>1.3912431551154694E-3</v>
      </c>
      <c r="N912">
        <v>0.12587542343037128</v>
      </c>
      <c r="O912">
        <v>0.12651208018158264</v>
      </c>
      <c r="P912">
        <v>1.8090167925593658E-2</v>
      </c>
      <c r="Q912">
        <v>8.9548120623975254E-4</v>
      </c>
      <c r="R912">
        <v>1.3876484394773983E-3</v>
      </c>
      <c r="S912">
        <v>0.10769090072884561</v>
      </c>
      <c r="T912">
        <v>1.0165042597356688</v>
      </c>
      <c r="U912">
        <v>0</v>
      </c>
      <c r="V912">
        <v>0.20743772283249731</v>
      </c>
      <c r="W912">
        <v>8.2961950439284282E-2</v>
      </c>
      <c r="X912">
        <v>2.9210851444827168E-2</v>
      </c>
      <c r="Y912">
        <v>3.7767216140723436E-3</v>
      </c>
    </row>
    <row r="913" spans="1:25" x14ac:dyDescent="0.25">
      <c r="A913" s="1095"/>
      <c r="B913" s="1454">
        <v>663</v>
      </c>
      <c r="C913" s="1099">
        <v>1.0245670757604945</v>
      </c>
      <c r="D913" s="1099">
        <v>1.0123588189016843</v>
      </c>
      <c r="E913" s="1099">
        <v>1.0146752842114855</v>
      </c>
      <c r="F913" s="1099">
        <v>0.99429577372753219</v>
      </c>
      <c r="G913" s="1099">
        <v>0.97843017571839508</v>
      </c>
      <c r="H913" s="1099">
        <v>1.0015468593930159</v>
      </c>
      <c r="I913" s="1099">
        <v>0.98596045460337323</v>
      </c>
      <c r="K913">
        <v>1.717316060919704</v>
      </c>
      <c r="L913">
        <v>0</v>
      </c>
      <c r="M913">
        <v>1.2965254610390982E-3</v>
      </c>
      <c r="N913">
        <v>0.1246690333187989</v>
      </c>
      <c r="O913">
        <v>0.12532130679297765</v>
      </c>
      <c r="P913">
        <v>1.8390135139352698E-2</v>
      </c>
      <c r="Q913">
        <v>8.8627621823567451E-4</v>
      </c>
      <c r="R913">
        <v>1.2931838661727941E-3</v>
      </c>
      <c r="S913">
        <v>0.10334250947786598</v>
      </c>
      <c r="T913">
        <v>1.024743281192706</v>
      </c>
      <c r="U913">
        <v>0</v>
      </c>
      <c r="V913">
        <v>0.2055128758267826</v>
      </c>
      <c r="W913">
        <v>8.1191929827961334E-2</v>
      </c>
      <c r="X913">
        <v>2.9742434534113675E-2</v>
      </c>
      <c r="Y913">
        <v>3.519620185775433E-3</v>
      </c>
    </row>
    <row r="914" spans="1:25" x14ac:dyDescent="0.25">
      <c r="A914" s="1095"/>
      <c r="B914" s="1454">
        <v>664</v>
      </c>
      <c r="C914" s="1099">
        <v>1.0056166540700975</v>
      </c>
      <c r="D914" s="1099">
        <v>0.9893039136585452</v>
      </c>
      <c r="E914" s="1099">
        <v>1.0315709191121945</v>
      </c>
      <c r="F914" s="1099">
        <v>0.97944717823719551</v>
      </c>
      <c r="G914" s="1099">
        <v>0.99561505784573878</v>
      </c>
      <c r="H914" s="1099">
        <v>1.0120714750947779</v>
      </c>
      <c r="I914" s="1099">
        <v>0.98304081605627469</v>
      </c>
      <c r="K914">
        <v>1.7204239415547202</v>
      </c>
      <c r="L914">
        <v>0</v>
      </c>
      <c r="M914">
        <v>1.3025950975293116E-3</v>
      </c>
      <c r="N914">
        <v>0.13180486805438324</v>
      </c>
      <c r="O914">
        <v>0.12625450309141137</v>
      </c>
      <c r="P914">
        <v>1.8482581108943061E-2</v>
      </c>
      <c r="Q914">
        <v>9.2724363563569535E-4</v>
      </c>
      <c r="R914">
        <v>1.299277763143187E-3</v>
      </c>
      <c r="S914">
        <v>0.10703861718863476</v>
      </c>
      <c r="T914">
        <v>1.0089594019669594</v>
      </c>
      <c r="U914">
        <v>0</v>
      </c>
      <c r="V914">
        <v>0.20785306281366084</v>
      </c>
      <c r="W914">
        <v>8.4996937088238786E-2</v>
      </c>
      <c r="X914">
        <v>3.0573838176761424E-2</v>
      </c>
      <c r="Y914">
        <v>3.5362057644762472E-3</v>
      </c>
    </row>
    <row r="915" spans="1:25" x14ac:dyDescent="0.25">
      <c r="A915" s="1095"/>
      <c r="B915" s="1454">
        <v>665</v>
      </c>
      <c r="C915" s="1099">
        <v>0.9974730133345544</v>
      </c>
      <c r="D915" s="1099">
        <v>1.0156967482901442</v>
      </c>
      <c r="E915" s="1099">
        <v>1.0059383332327454</v>
      </c>
      <c r="F915" s="1099">
        <v>1.0049846217200573</v>
      </c>
      <c r="G915" s="1099">
        <v>0.98787713700286828</v>
      </c>
      <c r="H915" s="1099">
        <v>0.98535989542308922</v>
      </c>
      <c r="I915" s="1099">
        <v>1.016418960254208</v>
      </c>
      <c r="K915">
        <v>1.7389173640494691</v>
      </c>
      <c r="L915">
        <v>0</v>
      </c>
      <c r="M915">
        <v>1.3299472893098603E-3</v>
      </c>
      <c r="N915">
        <v>0.12454787430520821</v>
      </c>
      <c r="O915">
        <v>0.12731555385949692</v>
      </c>
      <c r="P915">
        <v>1.8532362749825729E-2</v>
      </c>
      <c r="Q915">
        <v>9.0099824753245273E-4</v>
      </c>
      <c r="R915">
        <v>1.3264566540606018E-3</v>
      </c>
      <c r="S915">
        <v>0.10795908295315508</v>
      </c>
      <c r="T915">
        <v>1.0360177736042855</v>
      </c>
      <c r="U915">
        <v>0</v>
      </c>
      <c r="V915">
        <v>0.20864042880450179</v>
      </c>
      <c r="W915">
        <v>8.1531893657930385E-2</v>
      </c>
      <c r="X915">
        <v>2.9864708756746232E-2</v>
      </c>
      <c r="Y915">
        <v>3.6101777460344642E-3</v>
      </c>
    </row>
    <row r="916" spans="1:25" x14ac:dyDescent="0.25">
      <c r="A916" s="1095"/>
      <c r="B916" s="1454">
        <v>666</v>
      </c>
      <c r="C916" s="1099">
        <v>1.0114671712590699</v>
      </c>
      <c r="D916" s="1099">
        <v>1.0008627684226019</v>
      </c>
      <c r="E916" s="1099">
        <v>1.0163496287034011</v>
      </c>
      <c r="F916" s="1099">
        <v>0.98499865233136319</v>
      </c>
      <c r="G916" s="1099">
        <v>0.97742370969234216</v>
      </c>
      <c r="H916" s="1099">
        <v>0.9672641482553791</v>
      </c>
      <c r="I916" s="1099">
        <v>1.0348642167114663</v>
      </c>
      <c r="K916">
        <v>1.710523904671418</v>
      </c>
      <c r="L916">
        <v>0</v>
      </c>
      <c r="M916">
        <v>1.2701302214604988E-3</v>
      </c>
      <c r="N916">
        <v>0.12273848910522869</v>
      </c>
      <c r="O916">
        <v>0.12579529989549063</v>
      </c>
      <c r="P916">
        <v>1.8357295223625184E-2</v>
      </c>
      <c r="Q916">
        <v>9.0341938291505647E-4</v>
      </c>
      <c r="R916">
        <v>1.2667416673219035E-3</v>
      </c>
      <c r="S916">
        <v>0.10807213387663718</v>
      </c>
      <c r="T916">
        <v>1.0151131947504963</v>
      </c>
      <c r="U916">
        <v>0</v>
      </c>
      <c r="V916">
        <v>0.20638936032810432</v>
      </c>
      <c r="W916">
        <v>7.9856103279057261E-2</v>
      </c>
      <c r="X916">
        <v>2.9854344146827819E-2</v>
      </c>
      <c r="Y916">
        <v>3.4476532371718162E-3</v>
      </c>
    </row>
    <row r="917" spans="1:25" x14ac:dyDescent="0.25">
      <c r="A917" s="1095"/>
      <c r="B917" s="1454">
        <v>667</v>
      </c>
      <c r="C917" s="1099">
        <v>1.0007398080836187</v>
      </c>
      <c r="D917" s="1099">
        <v>1.010264621861227</v>
      </c>
      <c r="E917" s="1099">
        <v>1.0240056834964972</v>
      </c>
      <c r="F917" s="1099">
        <v>1.0214706108678149</v>
      </c>
      <c r="G917" s="1099">
        <v>1.0371138622202658</v>
      </c>
      <c r="H917" s="1099">
        <v>1.0056400210397518</v>
      </c>
      <c r="I917" s="1099">
        <v>0.96181150907632762</v>
      </c>
      <c r="K917">
        <v>1.764388140928514</v>
      </c>
      <c r="L917">
        <v>0</v>
      </c>
      <c r="M917">
        <v>1.309296324905618E-3</v>
      </c>
      <c r="N917">
        <v>0.129492897998437</v>
      </c>
      <c r="O917">
        <v>0.12870818445641971</v>
      </c>
      <c r="P917">
        <v>1.8993278522002784E-2</v>
      </c>
      <c r="Q917">
        <v>9.1686707612839572E-4</v>
      </c>
      <c r="R917">
        <v>1.3059381566596447E-3</v>
      </c>
      <c r="S917">
        <v>0.10365894699258101</v>
      </c>
      <c r="T917">
        <v>1.0524724209426299</v>
      </c>
      <c r="U917">
        <v>0</v>
      </c>
      <c r="V917">
        <v>0.21181584676138193</v>
      </c>
      <c r="W917">
        <v>8.3874176375282272E-2</v>
      </c>
      <c r="X917">
        <v>3.0904546811868668E-2</v>
      </c>
      <c r="Y917">
        <v>3.5543331600299101E-3</v>
      </c>
    </row>
    <row r="918" spans="1:25" x14ac:dyDescent="0.25">
      <c r="A918" s="1095"/>
      <c r="B918" s="1454">
        <v>668</v>
      </c>
      <c r="C918" s="1099">
        <v>1.0025702832827055</v>
      </c>
      <c r="D918" s="1099">
        <v>0.99787911693136067</v>
      </c>
      <c r="E918" s="1099">
        <v>0.9999681789647874</v>
      </c>
      <c r="F918" s="1099">
        <v>1.0331153262688104</v>
      </c>
      <c r="G918" s="1099">
        <v>0.98233598854748128</v>
      </c>
      <c r="H918" s="1099">
        <v>1.0161887862770573</v>
      </c>
      <c r="I918" s="1099">
        <v>1.0016332300056165</v>
      </c>
      <c r="K918">
        <v>1.781670038093726</v>
      </c>
      <c r="L918">
        <v>0</v>
      </c>
      <c r="M918">
        <v>1.3999730801660291E-3</v>
      </c>
      <c r="N918">
        <v>0.12877492322294737</v>
      </c>
      <c r="O918">
        <v>0.12996249692523437</v>
      </c>
      <c r="P918">
        <v>1.8884728846784941E-2</v>
      </c>
      <c r="Q918">
        <v>8.9722365464527782E-4</v>
      </c>
      <c r="R918">
        <v>1.3964319166660918E-3</v>
      </c>
      <c r="S918">
        <v>0.10935532551930632</v>
      </c>
      <c r="T918">
        <v>1.0651999423784337</v>
      </c>
      <c r="U918">
        <v>0</v>
      </c>
      <c r="V918">
        <v>0.20991854781256911</v>
      </c>
      <c r="W918">
        <v>8.4597970531621255E-2</v>
      </c>
      <c r="X918">
        <v>3.0281793022176567E-2</v>
      </c>
      <c r="Y918">
        <v>3.8006273435074907E-3</v>
      </c>
    </row>
    <row r="919" spans="1:25" x14ac:dyDescent="0.25">
      <c r="A919" s="1095"/>
      <c r="B919" s="1454">
        <v>669</v>
      </c>
      <c r="C919" s="1099">
        <v>1.0223819581601681</v>
      </c>
      <c r="D919" s="1099">
        <v>0.97214980905381743</v>
      </c>
      <c r="E919" s="1099">
        <v>0.99144463201880495</v>
      </c>
      <c r="F919" s="1099">
        <v>1.0268373529242789</v>
      </c>
      <c r="G919" s="1099">
        <v>0.96975327223381425</v>
      </c>
      <c r="H919" s="1099">
        <v>0.99753238472533545</v>
      </c>
      <c r="I919" s="1099">
        <v>0.9838426886421292</v>
      </c>
      <c r="K919">
        <v>1.7632218295266702</v>
      </c>
      <c r="L919">
        <v>0</v>
      </c>
      <c r="M919">
        <v>1.3945480394552934E-3</v>
      </c>
      <c r="N919">
        <v>0.12500980187076727</v>
      </c>
      <c r="O919">
        <v>0.12964806484670963</v>
      </c>
      <c r="P919">
        <v>1.8608050301591062E-2</v>
      </c>
      <c r="Q919">
        <v>8.8123855840900177E-4</v>
      </c>
      <c r="R919">
        <v>1.3909764715525164E-3</v>
      </c>
      <c r="S919">
        <v>0.10583056543964352</v>
      </c>
      <c r="T919">
        <v>1.058988297323773</v>
      </c>
      <c r="U919">
        <v>0</v>
      </c>
      <c r="V919">
        <v>0.20810798074076256</v>
      </c>
      <c r="W919">
        <v>8.254300890392921E-2</v>
      </c>
      <c r="X919">
        <v>2.9822613688692511E-2</v>
      </c>
      <c r="Y919">
        <v>3.7857794202953363E-3</v>
      </c>
    </row>
    <row r="920" spans="1:25" x14ac:dyDescent="0.25">
      <c r="A920" s="1095"/>
      <c r="B920" s="1454">
        <v>670</v>
      </c>
      <c r="C920" s="1099">
        <v>1.0016712391103761</v>
      </c>
      <c r="D920" s="1099">
        <v>0.99515919552999743</v>
      </c>
      <c r="E920" s="1099">
        <v>1.0402487593720213</v>
      </c>
      <c r="F920" s="1099">
        <v>1.0066201086898647</v>
      </c>
      <c r="G920" s="1099">
        <v>0.96080026817638509</v>
      </c>
      <c r="H920" s="1099">
        <v>0.99876773459107593</v>
      </c>
      <c r="I920" s="1099">
        <v>1.0168334584783925</v>
      </c>
      <c r="K920">
        <v>1.7533444356953685</v>
      </c>
      <c r="L920">
        <v>0</v>
      </c>
      <c r="M920">
        <v>1.2656166011012072E-3</v>
      </c>
      <c r="N920">
        <v>0.13145184950530472</v>
      </c>
      <c r="O920">
        <v>0.12830093993387393</v>
      </c>
      <c r="P920">
        <v>1.9028587537024393E-2</v>
      </c>
      <c r="Q920">
        <v>9.3693562301862742E-4</v>
      </c>
      <c r="R920">
        <v>1.262353644610342E-3</v>
      </c>
      <c r="S920">
        <v>0.10996724257196988</v>
      </c>
      <c r="T920">
        <v>1.036700703076632</v>
      </c>
      <c r="U920">
        <v>0</v>
      </c>
      <c r="V920">
        <v>0.20777416633934181</v>
      </c>
      <c r="W920">
        <v>8.4345317050263893E-2</v>
      </c>
      <c r="X920">
        <v>3.1406246528565045E-2</v>
      </c>
      <c r="Y920">
        <v>3.4357104858622439E-3</v>
      </c>
    </row>
    <row r="921" spans="1:25" x14ac:dyDescent="0.25">
      <c r="A921" s="1095"/>
      <c r="B921" s="1454">
        <v>671</v>
      </c>
      <c r="C921" s="1099">
        <v>1.0223276557497245</v>
      </c>
      <c r="D921" s="1099">
        <v>0.98361204229013766</v>
      </c>
      <c r="E921" s="1099">
        <v>1.0133518471594305</v>
      </c>
      <c r="F921" s="1099">
        <v>0.99320923386949733</v>
      </c>
      <c r="G921" s="1099">
        <v>0.99179111848962098</v>
      </c>
      <c r="H921" s="1099">
        <v>0.95660927025375564</v>
      </c>
      <c r="I921" s="1099">
        <v>1.0170746445784602</v>
      </c>
      <c r="K921">
        <v>1.7158536046270931</v>
      </c>
      <c r="L921">
        <v>0</v>
      </c>
      <c r="M921">
        <v>1.2654849712355923E-3</v>
      </c>
      <c r="N921">
        <v>0.12118621709430349</v>
      </c>
      <c r="O921">
        <v>0.12665455308837598</v>
      </c>
      <c r="P921">
        <v>1.8410502040221779E-2</v>
      </c>
      <c r="Q921">
        <v>8.9728858804716738E-4</v>
      </c>
      <c r="R921">
        <v>1.2620879118750295E-3</v>
      </c>
      <c r="S921">
        <v>0.10557826836700596</v>
      </c>
      <c r="T921">
        <v>1.0236619966569587</v>
      </c>
      <c r="U921">
        <v>0</v>
      </c>
      <c r="V921">
        <v>0.20713584154989059</v>
      </c>
      <c r="W921">
        <v>7.898513313843715E-2</v>
      </c>
      <c r="X921">
        <v>2.9912213914257541E-2</v>
      </c>
      <c r="Y921">
        <v>3.434987248955496E-3</v>
      </c>
    </row>
    <row r="922" spans="1:25" x14ac:dyDescent="0.25">
      <c r="A922" s="1095"/>
      <c r="B922" s="1454">
        <v>672</v>
      </c>
      <c r="C922" s="1099">
        <v>0.98271453473901926</v>
      </c>
      <c r="D922" s="1099">
        <v>0.98779019673966506</v>
      </c>
      <c r="E922" s="1099">
        <v>0.95891601551938399</v>
      </c>
      <c r="F922" s="1099">
        <v>0.99813370620906283</v>
      </c>
      <c r="G922" s="1099">
        <v>1.0127765655784469</v>
      </c>
      <c r="H922" s="1099">
        <v>0.95497841770480596</v>
      </c>
      <c r="I922" s="1099">
        <v>0.99654422944153898</v>
      </c>
      <c r="K922">
        <v>1.7272855983847006</v>
      </c>
      <c r="L922">
        <v>0</v>
      </c>
      <c r="M922">
        <v>1.4630705238145596E-3</v>
      </c>
      <c r="N922">
        <v>0.11883849469958153</v>
      </c>
      <c r="O922">
        <v>0.12865878508857689</v>
      </c>
      <c r="P922">
        <v>1.7832508416239359E-2</v>
      </c>
      <c r="Q922">
        <v>8.8036716617510477E-4</v>
      </c>
      <c r="R922">
        <v>1.4591217624152337E-3</v>
      </c>
      <c r="S922">
        <v>0.10692700338853627</v>
      </c>
      <c r="T922">
        <v>1.030375169646258</v>
      </c>
      <c r="U922">
        <v>0</v>
      </c>
      <c r="V922">
        <v>0.21146051864833798</v>
      </c>
      <c r="W922">
        <v>8.0030686941434323E-2</v>
      </c>
      <c r="X922">
        <v>2.8314764713023011E-2</v>
      </c>
      <c r="Y922">
        <v>3.9712484379345577E-3</v>
      </c>
    </row>
    <row r="923" spans="1:25" x14ac:dyDescent="0.25">
      <c r="A923" s="1095"/>
      <c r="B923" s="1454">
        <v>673</v>
      </c>
      <c r="C923" s="1099">
        <v>0.99725338187339008</v>
      </c>
      <c r="D923" s="1099">
        <v>1.0411525847461871</v>
      </c>
      <c r="E923" s="1099">
        <v>0.99629609878553604</v>
      </c>
      <c r="F923" s="1099">
        <v>1.0248510625053822</v>
      </c>
      <c r="G923" s="1099">
        <v>0.97583476934831392</v>
      </c>
      <c r="H923" s="1099">
        <v>0.99962943018636741</v>
      </c>
      <c r="I923" s="1099">
        <v>1.0256277591713512</v>
      </c>
      <c r="K923">
        <v>1.7590726626446034</v>
      </c>
      <c r="L923">
        <v>0</v>
      </c>
      <c r="M923">
        <v>1.3589731098708224E-3</v>
      </c>
      <c r="N923">
        <v>0.12361610276888467</v>
      </c>
      <c r="O923">
        <v>0.12763680138822395</v>
      </c>
      <c r="P923">
        <v>1.868410262851752E-2</v>
      </c>
      <c r="Q923">
        <v>8.8344667365468669E-4</v>
      </c>
      <c r="R923">
        <v>1.3554462534548829E-3</v>
      </c>
      <c r="S923">
        <v>0.10840204904363299</v>
      </c>
      <c r="T923">
        <v>1.0567911038165809</v>
      </c>
      <c r="U923">
        <v>0</v>
      </c>
      <c r="V923">
        <v>0.20833596954324604</v>
      </c>
      <c r="W923">
        <v>8.1386604990435554E-2</v>
      </c>
      <c r="X923">
        <v>2.9650930768676718E-2</v>
      </c>
      <c r="Y923">
        <v>3.6890778791668255E-3</v>
      </c>
    </row>
    <row r="924" spans="1:25" x14ac:dyDescent="0.25">
      <c r="A924" s="1095"/>
      <c r="B924" s="1454">
        <v>674</v>
      </c>
      <c r="C924" s="1099">
        <v>1.0233480780132036</v>
      </c>
      <c r="D924" s="1099">
        <v>0.97692325268521474</v>
      </c>
      <c r="E924" s="1099">
        <v>1.0048448506597876</v>
      </c>
      <c r="F924" s="1099">
        <v>0.97865551865605016</v>
      </c>
      <c r="G924" s="1099">
        <v>1.0139495685600293</v>
      </c>
      <c r="H924" s="1099">
        <v>0.99979037167701701</v>
      </c>
      <c r="I924" s="1099">
        <v>1.0053177009130612</v>
      </c>
      <c r="K924">
        <v>1.7102684373172443</v>
      </c>
      <c r="L924">
        <v>0</v>
      </c>
      <c r="M924">
        <v>1.3486193235236084E-3</v>
      </c>
      <c r="N924">
        <v>0.12588721583948867</v>
      </c>
      <c r="O924">
        <v>0.12576597548781593</v>
      </c>
      <c r="P924">
        <v>1.8126306117272707E-2</v>
      </c>
      <c r="Q924">
        <v>8.9098872501075185E-4</v>
      </c>
      <c r="R924">
        <v>1.3451557087095108E-3</v>
      </c>
      <c r="S924">
        <v>0.10760483382967087</v>
      </c>
      <c r="T924">
        <v>1.0089072885850812</v>
      </c>
      <c r="U924">
        <v>0</v>
      </c>
      <c r="V924">
        <v>0.20753995830834393</v>
      </c>
      <c r="W924">
        <v>8.2462005117911644E-2</v>
      </c>
      <c r="X924">
        <v>2.9426258512815828E-2</v>
      </c>
      <c r="Y924">
        <v>3.6610704086470869E-3</v>
      </c>
    </row>
    <row r="925" spans="1:25" x14ac:dyDescent="0.25">
      <c r="A925" s="1095"/>
      <c r="B925" s="1454">
        <v>675</v>
      </c>
      <c r="C925" s="1099">
        <v>0.99546925911385098</v>
      </c>
      <c r="D925" s="1099">
        <v>1.0167041761338622</v>
      </c>
      <c r="E925" s="1099">
        <v>1.007527736625226</v>
      </c>
      <c r="F925" s="1099">
        <v>0.98894561062556752</v>
      </c>
      <c r="G925" s="1099">
        <v>1.0214586590641443</v>
      </c>
      <c r="H925" s="1099">
        <v>0.99795849350236643</v>
      </c>
      <c r="I925" s="1099">
        <v>0.99246359979887078</v>
      </c>
      <c r="K925">
        <v>1.7229582244152488</v>
      </c>
      <c r="L925">
        <v>0</v>
      </c>
      <c r="M925">
        <v>1.3423589186116055E-3</v>
      </c>
      <c r="N925">
        <v>0.12631863934057289</v>
      </c>
      <c r="O925">
        <v>0.12616749052856521</v>
      </c>
      <c r="P925">
        <v>1.8317247747409303E-2</v>
      </c>
      <c r="Q925">
        <v>9.0393695894405853E-4</v>
      </c>
      <c r="R925">
        <v>1.3388741637400351E-3</v>
      </c>
      <c r="S925">
        <v>0.1063281200047442</v>
      </c>
      <c r="T925">
        <v>1.0194370790385541</v>
      </c>
      <c r="U925">
        <v>0</v>
      </c>
      <c r="V925">
        <v>0.20957517221610947</v>
      </c>
      <c r="W925">
        <v>8.2613412895256311E-2</v>
      </c>
      <c r="X925">
        <v>2.9656636326012963E-2</v>
      </c>
      <c r="Y925">
        <v>3.6439741139509172E-3</v>
      </c>
    </row>
    <row r="926" spans="1:25" x14ac:dyDescent="0.25">
      <c r="A926" s="1095"/>
      <c r="B926" s="1454">
        <v>676</v>
      </c>
      <c r="C926" s="1099">
        <v>1.0162088068373154</v>
      </c>
      <c r="D926" s="1099">
        <v>1.0219232633031712</v>
      </c>
      <c r="E926" s="1099">
        <v>1.0044228170599523</v>
      </c>
      <c r="F926" s="1099">
        <v>1.008403107400776</v>
      </c>
      <c r="G926" s="1099">
        <v>0.98217573318569806</v>
      </c>
      <c r="H926" s="1099">
        <v>0.99783059003820895</v>
      </c>
      <c r="I926" s="1099">
        <v>0.9773908147494198</v>
      </c>
      <c r="K926">
        <v>1.7319603924348745</v>
      </c>
      <c r="L926">
        <v>0</v>
      </c>
      <c r="M926">
        <v>1.3236926666458763E-3</v>
      </c>
      <c r="N926">
        <v>0.12340031971869721</v>
      </c>
      <c r="O926">
        <v>0.12633042937252276</v>
      </c>
      <c r="P926">
        <v>1.8459801303863984E-2</v>
      </c>
      <c r="Q926">
        <v>8.8084588993703325E-4</v>
      </c>
      <c r="R926">
        <v>1.3202639835793928E-3</v>
      </c>
      <c r="S926">
        <v>0.10245816131498242</v>
      </c>
      <c r="T926">
        <v>1.0395870142777039</v>
      </c>
      <c r="U926">
        <v>0</v>
      </c>
      <c r="V926">
        <v>0.20679678166224919</v>
      </c>
      <c r="W926">
        <v>8.0853176173566924E-2</v>
      </c>
      <c r="X926">
        <v>2.9603968066018636E-2</v>
      </c>
      <c r="Y926">
        <v>3.5933233383978907E-3</v>
      </c>
    </row>
    <row r="927" spans="1:25" x14ac:dyDescent="0.25">
      <c r="A927" s="1095"/>
      <c r="B927" s="1454">
        <v>677</v>
      </c>
      <c r="C927" s="1099">
        <v>0.99457568542409602</v>
      </c>
      <c r="D927" s="1099">
        <v>0.98740465883057971</v>
      </c>
      <c r="E927" s="1099">
        <v>0.98618842007095764</v>
      </c>
      <c r="F927" s="1099">
        <v>0.98557063794024358</v>
      </c>
      <c r="G927" s="1099">
        <v>1.0183793474915568</v>
      </c>
      <c r="H927" s="1099">
        <v>1.016041931902387</v>
      </c>
      <c r="I927" s="1099">
        <v>1.0031282717319638</v>
      </c>
      <c r="K927">
        <v>1.7298762726327963</v>
      </c>
      <c r="L927">
        <v>0</v>
      </c>
      <c r="M927">
        <v>1.4540036543756454E-3</v>
      </c>
      <c r="N927">
        <v>0.12828749372162779</v>
      </c>
      <c r="O927">
        <v>0.1271988952172739</v>
      </c>
      <c r="P927">
        <v>1.8055860552904753E-2</v>
      </c>
      <c r="Q927">
        <v>8.9532995272581658E-4</v>
      </c>
      <c r="R927">
        <v>1.4503150991367192E-3</v>
      </c>
      <c r="S927">
        <v>0.11074199364161806</v>
      </c>
      <c r="T927">
        <v>1.0165852181024115</v>
      </c>
      <c r="U927">
        <v>0</v>
      </c>
      <c r="V927">
        <v>0.21013645553022303</v>
      </c>
      <c r="W927">
        <v>8.4974640217473835E-2</v>
      </c>
      <c r="X927">
        <v>2.9056794648170289E-2</v>
      </c>
      <c r="Y927">
        <v>3.9472796036062116E-3</v>
      </c>
    </row>
    <row r="928" spans="1:25" x14ac:dyDescent="0.25">
      <c r="A928" s="1095"/>
      <c r="B928" s="1454">
        <v>678</v>
      </c>
      <c r="C928" s="1099">
        <v>0.99327067468316421</v>
      </c>
      <c r="D928" s="1099">
        <v>1.0122985692095394</v>
      </c>
      <c r="E928" s="1099">
        <v>0.98770816762405989</v>
      </c>
      <c r="F928" s="1099">
        <v>1.0076788742763851</v>
      </c>
      <c r="G928" s="1099">
        <v>0.99754575820511615</v>
      </c>
      <c r="H928" s="1099">
        <v>0.99674233824304359</v>
      </c>
      <c r="I928" s="1099">
        <v>0.99201078188330405</v>
      </c>
      <c r="K928">
        <v>1.7429453374587862</v>
      </c>
      <c r="L928">
        <v>0</v>
      </c>
      <c r="M928">
        <v>1.4056552952486753E-3</v>
      </c>
      <c r="N928">
        <v>0.12458593844631352</v>
      </c>
      <c r="O928">
        <v>0.12781962121625484</v>
      </c>
      <c r="P928">
        <v>1.8324063655946667E-2</v>
      </c>
      <c r="Q928">
        <v>8.8903129884795092E-4</v>
      </c>
      <c r="R928">
        <v>1.4020099820136992E-3</v>
      </c>
      <c r="S928">
        <v>0.10678139510467712</v>
      </c>
      <c r="T928">
        <v>1.0393430505568877</v>
      </c>
      <c r="U928">
        <v>0</v>
      </c>
      <c r="V928">
        <v>0.20965505129726317</v>
      </c>
      <c r="W928">
        <v>8.2447538614896398E-2</v>
      </c>
      <c r="X928">
        <v>2.9287483582357166E-2</v>
      </c>
      <c r="Y928">
        <v>3.8158089985749302E-3</v>
      </c>
    </row>
    <row r="929" spans="1:25" x14ac:dyDescent="0.25">
      <c r="A929" s="1095"/>
      <c r="B929" s="1454">
        <v>679</v>
      </c>
      <c r="C929" s="1099">
        <v>0.99783571446975772</v>
      </c>
      <c r="D929" s="1099">
        <v>0.98858296183863414</v>
      </c>
      <c r="E929" s="1099">
        <v>1.0028989671737023</v>
      </c>
      <c r="F929" s="1099">
        <v>1.0064507613526978</v>
      </c>
      <c r="G929" s="1099">
        <v>1.0110926604040664</v>
      </c>
      <c r="H929" s="1099">
        <v>0.9554527806680938</v>
      </c>
      <c r="I929" s="1099">
        <v>0.97483816111091126</v>
      </c>
      <c r="K929">
        <v>1.7355307285668398</v>
      </c>
      <c r="L929">
        <v>0</v>
      </c>
      <c r="M929">
        <v>1.3183152693368872E-3</v>
      </c>
      <c r="N929">
        <v>0.12232210400136527</v>
      </c>
      <c r="O929">
        <v>0.12863731681134896</v>
      </c>
      <c r="P929">
        <v>1.8474345111486358E-2</v>
      </c>
      <c r="Q929">
        <v>9.0761379383634978E-4</v>
      </c>
      <c r="R929">
        <v>1.3147656083954788E-3</v>
      </c>
      <c r="S929">
        <v>0.10319987554614439</v>
      </c>
      <c r="T929">
        <v>1.0376197183806888</v>
      </c>
      <c r="U929">
        <v>0</v>
      </c>
      <c r="V929">
        <v>0.21061320730774136</v>
      </c>
      <c r="W929">
        <v>8.0219129587184745E-2</v>
      </c>
      <c r="X929">
        <v>2.9962609114299855E-2</v>
      </c>
      <c r="Y929">
        <v>3.5783585736861669E-3</v>
      </c>
    </row>
    <row r="930" spans="1:25" x14ac:dyDescent="0.25">
      <c r="A930" s="1095"/>
      <c r="B930" s="1454">
        <v>680</v>
      </c>
      <c r="C930" s="1099">
        <v>0.95894891154898354</v>
      </c>
      <c r="D930" s="1099">
        <v>1.024197078409802</v>
      </c>
      <c r="E930" s="1099">
        <v>0.97649300145028994</v>
      </c>
      <c r="F930" s="1099">
        <v>1.020429343849226</v>
      </c>
      <c r="G930" s="1099">
        <v>1.0018479820257351</v>
      </c>
      <c r="H930" s="1099">
        <v>0.9852862244966597</v>
      </c>
      <c r="I930" s="1099">
        <v>1.0167033904514462</v>
      </c>
      <c r="K930">
        <v>1.7687318629435309</v>
      </c>
      <c r="L930">
        <v>0</v>
      </c>
      <c r="M930">
        <v>1.4602705230808296E-3</v>
      </c>
      <c r="N930">
        <v>0.12510395275979269</v>
      </c>
      <c r="O930">
        <v>0.13003326962580555</v>
      </c>
      <c r="P930">
        <v>1.8460830922439619E-2</v>
      </c>
      <c r="Q930">
        <v>9.0585933343730485E-4</v>
      </c>
      <c r="R930">
        <v>1.4564241454041538E-3</v>
      </c>
      <c r="S930">
        <v>0.11155442887315199</v>
      </c>
      <c r="T930">
        <v>1.0528404924634032</v>
      </c>
      <c r="U930">
        <v>0</v>
      </c>
      <c r="V930">
        <v>0.21316489970322894</v>
      </c>
      <c r="W930">
        <v>8.3351966842110659E-2</v>
      </c>
      <c r="X930">
        <v>2.9356102384135854E-2</v>
      </c>
      <c r="Y930">
        <v>3.9639064136996081E-3</v>
      </c>
    </row>
    <row r="931" spans="1:25" x14ac:dyDescent="0.25">
      <c r="A931" s="1095"/>
      <c r="B931" s="1454">
        <v>681</v>
      </c>
      <c r="C931" s="1099">
        <v>1.0173997253924558</v>
      </c>
      <c r="D931" s="1099">
        <v>1.0154686210201744</v>
      </c>
      <c r="E931" s="1099">
        <v>0.96667831220164169</v>
      </c>
      <c r="F931" s="1099">
        <v>0.99233861205572227</v>
      </c>
      <c r="G931" s="1099">
        <v>1.0281702621117135</v>
      </c>
      <c r="H931" s="1099">
        <v>1.0198077022627821</v>
      </c>
      <c r="I931" s="1099">
        <v>1.0028383157634442</v>
      </c>
      <c r="K931">
        <v>1.7183607733475954</v>
      </c>
      <c r="L931">
        <v>0</v>
      </c>
      <c r="M931">
        <v>1.4646945360826001E-3</v>
      </c>
      <c r="N931">
        <v>0.12182132920254365</v>
      </c>
      <c r="O931">
        <v>0.1252040943249137</v>
      </c>
      <c r="P931">
        <v>1.7811037828147771E-2</v>
      </c>
      <c r="Q931">
        <v>8.4793859706464904E-4</v>
      </c>
      <c r="R931">
        <v>1.4609822234733722E-3</v>
      </c>
      <c r="S931">
        <v>0.10676622160607907</v>
      </c>
      <c r="T931">
        <v>1.0241553298457822</v>
      </c>
      <c r="U931">
        <v>0</v>
      </c>
      <c r="V931">
        <v>0.20817318383560349</v>
      </c>
      <c r="W931">
        <v>8.1650561588177711E-2</v>
      </c>
      <c r="X931">
        <v>2.7958476832256971E-2</v>
      </c>
      <c r="Y931">
        <v>3.9763119996339864E-3</v>
      </c>
    </row>
    <row r="932" spans="1:25" x14ac:dyDescent="0.25">
      <c r="A932" s="1095"/>
      <c r="B932" s="1454">
        <v>682</v>
      </c>
      <c r="C932" s="1099">
        <v>1.0150147888524261</v>
      </c>
      <c r="D932" s="1099">
        <v>1.0045635141633029</v>
      </c>
      <c r="E932" s="1099">
        <v>0.97682085772015048</v>
      </c>
      <c r="F932" s="1099">
        <v>0.98756556990169364</v>
      </c>
      <c r="G932" s="1099">
        <v>0.97526179054195794</v>
      </c>
      <c r="H932" s="1099">
        <v>0.98581019570551498</v>
      </c>
      <c r="I932" s="1099">
        <v>1.0195488473792518</v>
      </c>
      <c r="K932">
        <v>1.708032577196787</v>
      </c>
      <c r="L932">
        <v>0</v>
      </c>
      <c r="M932">
        <v>1.3978137465402599E-3</v>
      </c>
      <c r="N932">
        <v>0.11987395913155503</v>
      </c>
      <c r="O932">
        <v>0.12549362303890924</v>
      </c>
      <c r="P932">
        <v>1.7854158148781833E-2</v>
      </c>
      <c r="Q932">
        <v>8.6277151226701746E-4</v>
      </c>
      <c r="R932">
        <v>1.3941540657000135E-3</v>
      </c>
      <c r="S932">
        <v>0.10712445194534732</v>
      </c>
      <c r="T932">
        <v>1.0189230399278797</v>
      </c>
      <c r="U932">
        <v>0</v>
      </c>
      <c r="V932">
        <v>0.2059098415849622</v>
      </c>
      <c r="W932">
        <v>7.985157109288761E-2</v>
      </c>
      <c r="X932">
        <v>2.8348392710965713E-2</v>
      </c>
      <c r="Y932">
        <v>3.7944277840711946E-3</v>
      </c>
    </row>
    <row r="933" spans="1:25" x14ac:dyDescent="0.25">
      <c r="A933" s="1095"/>
      <c r="B933" s="1454">
        <v>683</v>
      </c>
      <c r="C933" s="1099">
        <v>0.96732120755867457</v>
      </c>
      <c r="D933" s="1099">
        <v>1.0344125620106774</v>
      </c>
      <c r="E933" s="1099">
        <v>0.99949446850446655</v>
      </c>
      <c r="F933" s="1099">
        <v>1.0153851017983766</v>
      </c>
      <c r="G933" s="1099">
        <v>0.9725772174038444</v>
      </c>
      <c r="H933" s="1099">
        <v>0.99191343505183993</v>
      </c>
      <c r="I933" s="1099">
        <v>1.0206394334040816</v>
      </c>
      <c r="K933">
        <v>1.7607647117831513</v>
      </c>
      <c r="L933">
        <v>0</v>
      </c>
      <c r="M933">
        <v>1.3819077793511916E-3</v>
      </c>
      <c r="N933">
        <v>0.12691981982432932</v>
      </c>
      <c r="O933">
        <v>0.1288276041433721</v>
      </c>
      <c r="P933">
        <v>1.8657677724501373E-2</v>
      </c>
      <c r="Q933">
        <v>9.1618918375888092E-4</v>
      </c>
      <c r="R933">
        <v>1.3782864294789071E-3</v>
      </c>
      <c r="S933">
        <v>0.11087872226342031</v>
      </c>
      <c r="T933">
        <v>1.0469333873112077</v>
      </c>
      <c r="U933">
        <v>0</v>
      </c>
      <c r="V933">
        <v>0.21049632647730407</v>
      </c>
      <c r="W933">
        <v>8.340275417422785E-2</v>
      </c>
      <c r="X933">
        <v>2.9984610721860552E-2</v>
      </c>
      <c r="Y933">
        <v>3.7512413090422174E-3</v>
      </c>
    </row>
    <row r="934" spans="1:25" x14ac:dyDescent="0.25">
      <c r="A934" s="1095"/>
      <c r="B934" s="1454">
        <v>684</v>
      </c>
      <c r="C934" s="1099">
        <v>1.0139769798084479</v>
      </c>
      <c r="D934" s="1099">
        <v>1.0180395915835103</v>
      </c>
      <c r="E934" s="1099">
        <v>0.99715772108494316</v>
      </c>
      <c r="F934" s="1099">
        <v>1.0066402589049759</v>
      </c>
      <c r="G934" s="1099">
        <v>0.97595203749594217</v>
      </c>
      <c r="H934" s="1099">
        <v>1.0035154303999445</v>
      </c>
      <c r="I934" s="1099">
        <v>1.0041481034540631</v>
      </c>
      <c r="K934">
        <v>1.7347485799992863</v>
      </c>
      <c r="L934">
        <v>0</v>
      </c>
      <c r="M934">
        <v>1.3570472377073697E-3</v>
      </c>
      <c r="N934">
        <v>0.12376532279939306</v>
      </c>
      <c r="O934">
        <v>0.12645809454452117</v>
      </c>
      <c r="P934">
        <v>1.8386338283917114E-2</v>
      </c>
      <c r="Q934">
        <v>8.7749832304189347E-4</v>
      </c>
      <c r="R934">
        <v>1.3535535081731804E-3</v>
      </c>
      <c r="S934">
        <v>0.10609957423380513</v>
      </c>
      <c r="T934">
        <v>1.0379868826175855</v>
      </c>
      <c r="U934">
        <v>0</v>
      </c>
      <c r="V934">
        <v>0.20668132724772248</v>
      </c>
      <c r="W934">
        <v>8.1443023010298987E-2</v>
      </c>
      <c r="X934">
        <v>2.937008621808207E-2</v>
      </c>
      <c r="Y934">
        <v>3.6839264504533466E-3</v>
      </c>
    </row>
    <row r="935" spans="1:25" x14ac:dyDescent="0.25">
      <c r="A935" s="1095"/>
      <c r="B935" s="1454">
        <v>685</v>
      </c>
      <c r="C935" s="1099">
        <v>0.97180380843717806</v>
      </c>
      <c r="D935" s="1099">
        <v>0.96559286735363525</v>
      </c>
      <c r="E935" s="1099">
        <v>1.0251528437473771</v>
      </c>
      <c r="F935" s="1099">
        <v>1.0157670224147026</v>
      </c>
      <c r="G935" s="1099">
        <v>1.01472162266499</v>
      </c>
      <c r="H935" s="1099">
        <v>1.0343329484509975</v>
      </c>
      <c r="I935" s="1099">
        <v>1.0259288708669345</v>
      </c>
      <c r="K935">
        <v>1.7991691593991757</v>
      </c>
      <c r="L935">
        <v>0</v>
      </c>
      <c r="M935">
        <v>1.4165797805257157E-3</v>
      </c>
      <c r="N935">
        <v>0.14060104027827286</v>
      </c>
      <c r="O935">
        <v>0.13193759837099212</v>
      </c>
      <c r="P935">
        <v>1.9175815265765426E-2</v>
      </c>
      <c r="Q935">
        <v>9.6253213906742022E-4</v>
      </c>
      <c r="R935">
        <v>1.4130668937109949E-3</v>
      </c>
      <c r="S935">
        <v>0.11902444296822901</v>
      </c>
      <c r="T935">
        <v>1.0465619374855302</v>
      </c>
      <c r="U935">
        <v>0</v>
      </c>
      <c r="V935">
        <v>0.21434321897846978</v>
      </c>
      <c r="W935">
        <v>9.1008178604286713E-2</v>
      </c>
      <c r="X935">
        <v>3.17120059280733E-2</v>
      </c>
      <c r="Y935">
        <v>3.845902267305008E-3</v>
      </c>
    </row>
    <row r="936" spans="1:25" x14ac:dyDescent="0.25">
      <c r="A936" s="1095"/>
      <c r="B936" s="1454">
        <v>686</v>
      </c>
      <c r="C936" s="1099">
        <v>1.0207775850416343</v>
      </c>
      <c r="D936" s="1099">
        <v>0.98891642462202156</v>
      </c>
      <c r="E936" s="1099">
        <v>1.0308144884701433</v>
      </c>
      <c r="F936" s="1099">
        <v>1.004909174587316</v>
      </c>
      <c r="G936" s="1099">
        <v>1.0253899845220094</v>
      </c>
      <c r="H936" s="1099">
        <v>1.0202896559835279</v>
      </c>
      <c r="I936" s="1099">
        <v>1.0091862105632619</v>
      </c>
      <c r="K936">
        <v>1.7513725328790986</v>
      </c>
      <c r="L936">
        <v>0</v>
      </c>
      <c r="M936">
        <v>1.3005544436138861E-3</v>
      </c>
      <c r="N936">
        <v>0.13130255095859905</v>
      </c>
      <c r="O936">
        <v>0.12744568412337184</v>
      </c>
      <c r="P936">
        <v>1.888885954678492E-2</v>
      </c>
      <c r="Q936">
        <v>9.1291056503039418E-4</v>
      </c>
      <c r="R936">
        <v>1.2972807102166635E-3</v>
      </c>
      <c r="S936">
        <v>0.1090978274049397</v>
      </c>
      <c r="T936">
        <v>1.0352105012807797</v>
      </c>
      <c r="U936">
        <v>0</v>
      </c>
      <c r="V936">
        <v>0.2093879993825557</v>
      </c>
      <c r="W936">
        <v>8.4710160532360398E-2</v>
      </c>
      <c r="X936">
        <v>3.088854237333526E-2</v>
      </c>
      <c r="Y936">
        <v>3.5307704447385684E-3</v>
      </c>
    </row>
    <row r="937" spans="1:25" x14ac:dyDescent="0.25">
      <c r="A937" s="1095"/>
      <c r="B937" s="1454">
        <v>687</v>
      </c>
      <c r="C937" s="1099">
        <v>0.96830501509258604</v>
      </c>
      <c r="D937" s="1099">
        <v>0.98998090752441403</v>
      </c>
      <c r="E937" s="1099">
        <v>1.0129666426607289</v>
      </c>
      <c r="F937" s="1099">
        <v>1.0108238500075997</v>
      </c>
      <c r="G937" s="1099">
        <v>1.0113962143214603</v>
      </c>
      <c r="H937" s="1099">
        <v>0.99739205472405801</v>
      </c>
      <c r="I937" s="1099">
        <v>1.0072235083410295</v>
      </c>
      <c r="K937">
        <v>1.7716764656407351</v>
      </c>
      <c r="L937">
        <v>0</v>
      </c>
      <c r="M937">
        <v>1.3846568999951285E-3</v>
      </c>
      <c r="N937">
        <v>0.1324574779675281</v>
      </c>
      <c r="O937">
        <v>0.13052111083376872</v>
      </c>
      <c r="P937">
        <v>1.8840367853134893E-2</v>
      </c>
      <c r="Q937">
        <v>9.4453192162935722E-4</v>
      </c>
      <c r="R937">
        <v>1.3810766975131119E-3</v>
      </c>
      <c r="S937">
        <v>0.11271247994496476</v>
      </c>
      <c r="T937">
        <v>1.0418281167964196</v>
      </c>
      <c r="U937">
        <v>0</v>
      </c>
      <c r="V937">
        <v>0.21342345699669119</v>
      </c>
      <c r="W937">
        <v>8.6350928225922718E-2</v>
      </c>
      <c r="X937">
        <v>3.0842739804336949E-2</v>
      </c>
      <c r="Y937">
        <v>3.758835498819712E-3</v>
      </c>
    </row>
    <row r="938" spans="1:25" x14ac:dyDescent="0.25">
      <c r="A938" s="1095"/>
      <c r="B938" s="1454">
        <v>688</v>
      </c>
      <c r="C938" s="1099">
        <v>1.0181437926011914</v>
      </c>
      <c r="D938" s="1099">
        <v>1.0355836476840032</v>
      </c>
      <c r="E938" s="1099">
        <v>0.997934370217197</v>
      </c>
      <c r="F938" s="1099">
        <v>0.99223930522688142</v>
      </c>
      <c r="G938" s="1099">
        <v>1.0089144532871377</v>
      </c>
      <c r="H938" s="1099">
        <v>1.0041506780877114</v>
      </c>
      <c r="I938" s="1099">
        <v>0.99709823819091792</v>
      </c>
      <c r="K938">
        <v>1.7119885320057717</v>
      </c>
      <c r="L938">
        <v>0</v>
      </c>
      <c r="M938">
        <v>1.3354352719573024E-3</v>
      </c>
      <c r="N938">
        <v>0.12207933075799285</v>
      </c>
      <c r="O938">
        <v>0.12440160478368602</v>
      </c>
      <c r="P938">
        <v>1.8163345969613089E-2</v>
      </c>
      <c r="Q938">
        <v>8.6865481721574761E-4</v>
      </c>
      <c r="R938">
        <v>1.3319851005857701E-3</v>
      </c>
      <c r="S938">
        <v>0.10380467894352619</v>
      </c>
      <c r="T938">
        <v>1.0231145209266961</v>
      </c>
      <c r="U938">
        <v>0</v>
      </c>
      <c r="V938">
        <v>0.20669091941965825</v>
      </c>
      <c r="W938">
        <v>8.0296421003834204E-2</v>
      </c>
      <c r="X938">
        <v>2.8947281199896608E-2</v>
      </c>
      <c r="Y938">
        <v>3.6252243550240651E-3</v>
      </c>
    </row>
    <row r="939" spans="1:25" x14ac:dyDescent="0.25">
      <c r="A939" s="1095"/>
      <c r="B939" s="1454">
        <v>689</v>
      </c>
      <c r="C939" s="1099">
        <v>1.000066542477805</v>
      </c>
      <c r="D939" s="1099">
        <v>1.0179456333866688</v>
      </c>
      <c r="E939" s="1099">
        <v>1.0177767143317344</v>
      </c>
      <c r="F939" s="1099">
        <v>0.98660075990507412</v>
      </c>
      <c r="G939" s="1099">
        <v>1.0119693789982775</v>
      </c>
      <c r="H939" s="1099">
        <v>0.98572972500988232</v>
      </c>
      <c r="I939" s="1099">
        <v>0.99325945746174427</v>
      </c>
      <c r="K939">
        <v>1.7156239445967958</v>
      </c>
      <c r="L939">
        <v>0</v>
      </c>
      <c r="M939">
        <v>1.2912999065114736E-3</v>
      </c>
      <c r="N939">
        <v>0.12532767763380634</v>
      </c>
      <c r="O939">
        <v>0.12574037585480016</v>
      </c>
      <c r="P939">
        <v>1.8387366218829675E-2</v>
      </c>
      <c r="Q939">
        <v>9.0888526451874221E-4</v>
      </c>
      <c r="R939">
        <v>1.2879059339196727E-3</v>
      </c>
      <c r="S939">
        <v>0.10503501629022031</v>
      </c>
      <c r="T939">
        <v>1.0167231425115859</v>
      </c>
      <c r="U939">
        <v>0</v>
      </c>
      <c r="V939">
        <v>0.20859964912236559</v>
      </c>
      <c r="W939">
        <v>8.1472471945677874E-2</v>
      </c>
      <c r="X939">
        <v>2.9927498333529038E-2</v>
      </c>
      <c r="Y939">
        <v>3.5052553940523347E-3</v>
      </c>
    </row>
    <row r="940" spans="1:25" x14ac:dyDescent="0.25">
      <c r="A940" s="1095"/>
      <c r="B940" s="1454">
        <v>690</v>
      </c>
      <c r="C940" s="1099">
        <v>0.98016183464613282</v>
      </c>
      <c r="D940" s="1099">
        <v>1.0112706964208751</v>
      </c>
      <c r="E940" s="1099">
        <v>0.96312932957938835</v>
      </c>
      <c r="F940" s="1099">
        <v>1.0014356860851619</v>
      </c>
      <c r="G940" s="1099">
        <v>0.96853543887881099</v>
      </c>
      <c r="H940" s="1099">
        <v>1.0078770015683156</v>
      </c>
      <c r="I940" s="1099">
        <v>0.99149190941682086</v>
      </c>
      <c r="K940">
        <v>1.7389922999885916</v>
      </c>
      <c r="L940">
        <v>0</v>
      </c>
      <c r="M940">
        <v>1.5138291808167461E-3</v>
      </c>
      <c r="N940">
        <v>0.12455746429003227</v>
      </c>
      <c r="O940">
        <v>0.12797769030639639</v>
      </c>
      <c r="P940">
        <v>1.7927134978071479E-2</v>
      </c>
      <c r="Q940">
        <v>8.7831344194392973E-4</v>
      </c>
      <c r="R940">
        <v>1.5099410816705524E-3</v>
      </c>
      <c r="S940">
        <v>0.10884356207908798</v>
      </c>
      <c r="T940">
        <v>1.0336534596915974</v>
      </c>
      <c r="U940">
        <v>0</v>
      </c>
      <c r="V940">
        <v>0.20901491599012473</v>
      </c>
      <c r="W940">
        <v>8.3665709063890384E-2</v>
      </c>
      <c r="X940">
        <v>2.8368376374227806E-2</v>
      </c>
      <c r="Y940">
        <v>4.1095618723634448E-3</v>
      </c>
    </row>
    <row r="941" spans="1:25" x14ac:dyDescent="0.25">
      <c r="A941" s="1095"/>
      <c r="B941" s="1454">
        <v>691</v>
      </c>
      <c r="C941" s="1099">
        <v>0.99121989941554001</v>
      </c>
      <c r="D941" s="1099">
        <v>0.97274884077342805</v>
      </c>
      <c r="E941" s="1099">
        <v>1.0297273836831222</v>
      </c>
      <c r="F941" s="1099">
        <v>1.0314240355534596</v>
      </c>
      <c r="G941" s="1099">
        <v>0.99868561361478214</v>
      </c>
      <c r="H941" s="1099">
        <v>1.0290642387743056</v>
      </c>
      <c r="I941" s="1099">
        <v>1.008168603493401</v>
      </c>
      <c r="K941">
        <v>1.803020605248872</v>
      </c>
      <c r="L941">
        <v>0</v>
      </c>
      <c r="M941">
        <v>1.3669007003131888E-3</v>
      </c>
      <c r="N941">
        <v>0.13755326855742506</v>
      </c>
      <c r="O941">
        <v>0.1317579241394948</v>
      </c>
      <c r="P941">
        <v>1.9366568093749731E-2</v>
      </c>
      <c r="Q941">
        <v>9.4530333837892307E-4</v>
      </c>
      <c r="R941">
        <v>1.3634993464995133E-3</v>
      </c>
      <c r="S941">
        <v>0.11400748305627971</v>
      </c>
      <c r="T941">
        <v>1.0625571992094032</v>
      </c>
      <c r="U941">
        <v>0</v>
      </c>
      <c r="V941">
        <v>0.21246337004426341</v>
      </c>
      <c r="W941">
        <v>8.879883206151698E-2</v>
      </c>
      <c r="X941">
        <v>3.1863062358440677E-2</v>
      </c>
      <c r="Y941">
        <v>3.710995743732902E-3</v>
      </c>
    </row>
    <row r="942" spans="1:25" x14ac:dyDescent="0.25">
      <c r="A942" s="1095"/>
      <c r="B942" s="1454">
        <v>692</v>
      </c>
      <c r="C942" s="1099">
        <v>0.97239350078390796</v>
      </c>
      <c r="D942" s="1099">
        <v>1.0240806496662822</v>
      </c>
      <c r="E942" s="1099">
        <v>0.973599219706756</v>
      </c>
      <c r="F942" s="1099">
        <v>1.0325340452861111</v>
      </c>
      <c r="G942" s="1099">
        <v>0.98865861731399829</v>
      </c>
      <c r="H942" s="1099">
        <v>0.98394197776966896</v>
      </c>
      <c r="I942" s="1099">
        <v>1.0176594293291861</v>
      </c>
      <c r="K942">
        <v>1.775752835921018</v>
      </c>
      <c r="L942">
        <v>0</v>
      </c>
      <c r="M942">
        <v>1.4499381198882172E-3</v>
      </c>
      <c r="N942">
        <v>0.12313576148771832</v>
      </c>
      <c r="O942">
        <v>0.13020681152221122</v>
      </c>
      <c r="P942">
        <v>1.8553482090760416E-2</v>
      </c>
      <c r="Q942">
        <v>8.9066303713399573E-4</v>
      </c>
      <c r="R942">
        <v>1.4461220024479511E-3</v>
      </c>
      <c r="S942">
        <v>0.11017314486605527</v>
      </c>
      <c r="T942">
        <v>1.0654207153757378</v>
      </c>
      <c r="U942">
        <v>0</v>
      </c>
      <c r="V942">
        <v>0.21194285487682785</v>
      </c>
      <c r="W942">
        <v>8.2184679395539431E-2</v>
      </c>
      <c r="X942">
        <v>2.9312672009800027E-2</v>
      </c>
      <c r="Y942">
        <v>3.9358673766733358E-3</v>
      </c>
    </row>
    <row r="943" spans="1:25" x14ac:dyDescent="0.25">
      <c r="A943" s="1095"/>
      <c r="B943" s="1454">
        <v>693</v>
      </c>
      <c r="C943" s="1099">
        <v>0.95318095271275916</v>
      </c>
      <c r="D943" s="1099">
        <v>0.98829160054332821</v>
      </c>
      <c r="E943" s="1099">
        <v>0.99305364677930086</v>
      </c>
      <c r="F943" s="1099">
        <v>0.97018643971868157</v>
      </c>
      <c r="G943" s="1099">
        <v>1.0073532725766041</v>
      </c>
      <c r="H943" s="1099">
        <v>0.95874080908173576</v>
      </c>
      <c r="I943" s="1099">
        <v>1.0110435627727621</v>
      </c>
      <c r="K943">
        <v>1.7148472636043077</v>
      </c>
      <c r="L943">
        <v>0</v>
      </c>
      <c r="M943">
        <v>1.4034217035229814E-3</v>
      </c>
      <c r="N943">
        <v>0.12640070465086306</v>
      </c>
      <c r="O943">
        <v>0.12818179882940151</v>
      </c>
      <c r="P943">
        <v>1.7976687529894137E-2</v>
      </c>
      <c r="Q943">
        <v>9.4058501475012503E-4</v>
      </c>
      <c r="R943">
        <v>1.3996286565165906E-3</v>
      </c>
      <c r="S943">
        <v>0.11177810693522608</v>
      </c>
      <c r="T943">
        <v>1.0005168416947983</v>
      </c>
      <c r="U943">
        <v>0</v>
      </c>
      <c r="V943">
        <v>0.2124346905390731</v>
      </c>
      <c r="W943">
        <v>8.3381144619503855E-2</v>
      </c>
      <c r="X943">
        <v>2.9431169022227137E-2</v>
      </c>
      <c r="Y943">
        <v>3.8093278155755389E-3</v>
      </c>
    </row>
    <row r="944" spans="1:25" x14ac:dyDescent="0.25">
      <c r="A944" s="1095"/>
      <c r="B944" s="1454">
        <v>694</v>
      </c>
      <c r="C944" s="1099">
        <v>0.96393284008895919</v>
      </c>
      <c r="D944" s="1099">
        <v>0.98940991962284597</v>
      </c>
      <c r="E944" s="1099">
        <v>0.97658334396540314</v>
      </c>
      <c r="F944" s="1099">
        <v>0.97362041610141081</v>
      </c>
      <c r="G944" s="1099">
        <v>0.98225490388990733</v>
      </c>
      <c r="H944" s="1099">
        <v>1.0223607350193049</v>
      </c>
      <c r="I944" s="1099">
        <v>1.0251775860183134</v>
      </c>
      <c r="K944">
        <v>1.7299202516333803</v>
      </c>
      <c r="L944">
        <v>0</v>
      </c>
      <c r="M944">
        <v>1.532163532295224E-3</v>
      </c>
      <c r="N944">
        <v>0.13131251373575428</v>
      </c>
      <c r="O944">
        <v>0.12775245658331782</v>
      </c>
      <c r="P944">
        <v>1.7847320922137741E-2</v>
      </c>
      <c r="Q944">
        <v>9.1380506116718683E-4</v>
      </c>
      <c r="R944">
        <v>1.5282845085026989E-3</v>
      </c>
      <c r="S944">
        <v>0.11679146166986144</v>
      </c>
      <c r="T944">
        <v>1.0045421307038171</v>
      </c>
      <c r="U944">
        <v>0</v>
      </c>
      <c r="V944">
        <v>0.2103460304255623</v>
      </c>
      <c r="W944">
        <v>8.748370739921292E-2</v>
      </c>
      <c r="X944">
        <v>2.877521752305031E-2</v>
      </c>
      <c r="Y944">
        <v>4.1594866332915169E-3</v>
      </c>
    </row>
    <row r="945" spans="1:25" x14ac:dyDescent="0.25">
      <c r="A945" s="1095"/>
      <c r="B945" s="1454">
        <v>695</v>
      </c>
      <c r="C945" s="1099">
        <v>0.98593651060152399</v>
      </c>
      <c r="D945" s="1099">
        <v>0.97639769993597303</v>
      </c>
      <c r="E945" s="1099">
        <v>1.0337409173863656</v>
      </c>
      <c r="F945" s="1099">
        <v>0.99355045310122514</v>
      </c>
      <c r="G945" s="1099">
        <v>0.98016628319279842</v>
      </c>
      <c r="H945" s="1099">
        <v>0.98274149583709081</v>
      </c>
      <c r="I945" s="1099">
        <v>0.96740060112392245</v>
      </c>
      <c r="K945">
        <v>1.7395917546627622</v>
      </c>
      <c r="L945">
        <v>0</v>
      </c>
      <c r="M945">
        <v>1.29366161223771E-3</v>
      </c>
      <c r="N945">
        <v>0.13175052759881276</v>
      </c>
      <c r="O945">
        <v>0.1289718227339906</v>
      </c>
      <c r="P945">
        <v>1.873191156592275E-2</v>
      </c>
      <c r="Q945">
        <v>9.5283760158774967E-4</v>
      </c>
      <c r="R945">
        <v>1.2902755932917497E-3</v>
      </c>
      <c r="S945">
        <v>0.1062490770821071</v>
      </c>
      <c r="T945">
        <v>1.0234256231068088</v>
      </c>
      <c r="U945">
        <v>0</v>
      </c>
      <c r="V945">
        <v>0.20992819769051252</v>
      </c>
      <c r="W945">
        <v>8.4855163751044488E-2</v>
      </c>
      <c r="X945">
        <v>3.1218274725215194E-2</v>
      </c>
      <c r="Y945">
        <v>3.5117048257051258E-3</v>
      </c>
    </row>
    <row r="946" spans="1:25" x14ac:dyDescent="0.25">
      <c r="A946" s="1095"/>
      <c r="B946" s="1454">
        <v>696</v>
      </c>
      <c r="C946" s="1099">
        <v>1.0251180857890143</v>
      </c>
      <c r="D946" s="1099">
        <v>1.0145330022193402</v>
      </c>
      <c r="E946" s="1099">
        <v>1.0308015591384487</v>
      </c>
      <c r="F946" s="1099">
        <v>0.96653599174577465</v>
      </c>
      <c r="G946" s="1099">
        <v>0.98441845739952216</v>
      </c>
      <c r="H946" s="1099">
        <v>1.0180121142773499</v>
      </c>
      <c r="I946" s="1099">
        <v>1.0012345858327731</v>
      </c>
      <c r="K946">
        <v>1.692061506284666</v>
      </c>
      <c r="L946">
        <v>0</v>
      </c>
      <c r="M946">
        <v>1.2690368583193105E-3</v>
      </c>
      <c r="N946">
        <v>0.12811229923634421</v>
      </c>
      <c r="O946">
        <v>0.1231676949150218</v>
      </c>
      <c r="P946">
        <v>1.8219109165880973E-2</v>
      </c>
      <c r="Q946">
        <v>8.997815824839209E-4</v>
      </c>
      <c r="R946">
        <v>1.2658100764749889E-3</v>
      </c>
      <c r="S946">
        <v>0.10572858171024553</v>
      </c>
      <c r="T946">
        <v>0.99568060047261586</v>
      </c>
      <c r="U946">
        <v>0</v>
      </c>
      <c r="V946">
        <v>0.20429922290259445</v>
      </c>
      <c r="W946">
        <v>8.2652581789605384E-2</v>
      </c>
      <c r="X946">
        <v>2.9859743537733425E-2</v>
      </c>
      <c r="Y946">
        <v>3.4451177539853535E-3</v>
      </c>
    </row>
    <row r="947" spans="1:25" x14ac:dyDescent="0.25">
      <c r="A947" s="1095"/>
      <c r="B947" s="1454">
        <v>697</v>
      </c>
      <c r="C947" s="1099">
        <v>1.0066617711538564</v>
      </c>
      <c r="D947" s="1099">
        <v>0.97001872528575461</v>
      </c>
      <c r="E947" s="1099">
        <v>1.0160292587342701</v>
      </c>
      <c r="F947" s="1099">
        <v>1.0085230306918191</v>
      </c>
      <c r="G947" s="1099">
        <v>0.99719035536625744</v>
      </c>
      <c r="H947" s="1099">
        <v>1.006304465346711</v>
      </c>
      <c r="I947" s="1099">
        <v>0.96797215864444586</v>
      </c>
      <c r="K947">
        <v>1.7549163231476901</v>
      </c>
      <c r="L947">
        <v>0</v>
      </c>
      <c r="M947">
        <v>1.3555661575012203E-3</v>
      </c>
      <c r="N947">
        <v>0.13088409845016721</v>
      </c>
      <c r="O947">
        <v>0.1292692448313611</v>
      </c>
      <c r="P947">
        <v>1.871252625646452E-2</v>
      </c>
      <c r="Q947">
        <v>9.1886639009339927E-4</v>
      </c>
      <c r="R947">
        <v>1.3521162318430777E-3</v>
      </c>
      <c r="S947">
        <v>0.10633955232987428</v>
      </c>
      <c r="T947">
        <v>1.0393662376970461</v>
      </c>
      <c r="U947">
        <v>0</v>
      </c>
      <c r="V947">
        <v>0.20991919485152438</v>
      </c>
      <c r="W947">
        <v>8.5171809262402073E-2</v>
      </c>
      <c r="X947">
        <v>3.0658228346331792E-2</v>
      </c>
      <c r="Y947">
        <v>3.6800146580808213E-3</v>
      </c>
    </row>
    <row r="948" spans="1:25" x14ac:dyDescent="0.25">
      <c r="A948" s="1095"/>
      <c r="B948" s="1454">
        <v>698</v>
      </c>
      <c r="C948" s="1099">
        <v>0.98273400008076617</v>
      </c>
      <c r="D948" s="1099">
        <v>1.0029846668169926</v>
      </c>
      <c r="E948" s="1099">
        <v>1.0266707910496213</v>
      </c>
      <c r="F948" s="1099">
        <v>1.0144121383844724</v>
      </c>
      <c r="G948" s="1099">
        <v>0.9976966836173079</v>
      </c>
      <c r="H948" s="1099">
        <v>1.0220820408183247</v>
      </c>
      <c r="I948" s="1099">
        <v>0.99077362623513987</v>
      </c>
      <c r="K948">
        <v>1.772693509268118</v>
      </c>
      <c r="L948">
        <v>0</v>
      </c>
      <c r="M948">
        <v>1.3505319061178451E-3</v>
      </c>
      <c r="N948">
        <v>0.13465436019866669</v>
      </c>
      <c r="O948">
        <v>0.12947005394988664</v>
      </c>
      <c r="P948">
        <v>1.9012572094032922E-2</v>
      </c>
      <c r="Q948">
        <v>9.3892719519684436E-4</v>
      </c>
      <c r="R948">
        <v>1.3471212824001108E-3</v>
      </c>
      <c r="S948">
        <v>0.11023784059924079</v>
      </c>
      <c r="T948">
        <v>1.0451213859803927</v>
      </c>
      <c r="U948">
        <v>0</v>
      </c>
      <c r="V948">
        <v>0.21131474043226939</v>
      </c>
      <c r="W948">
        <v>8.7082002808381381E-2</v>
      </c>
      <c r="X948">
        <v>3.1198616581486979E-2</v>
      </c>
      <c r="Y948">
        <v>3.6664200522817077E-3</v>
      </c>
    </row>
    <row r="949" spans="1:25" x14ac:dyDescent="0.25">
      <c r="A949" s="1095"/>
      <c r="B949" s="1454">
        <v>699</v>
      </c>
      <c r="C949" s="1099">
        <v>1.0409694389579469</v>
      </c>
      <c r="D949" s="1099">
        <v>1.0156372499519968</v>
      </c>
      <c r="E949" s="1099">
        <v>0.96793161268285544</v>
      </c>
      <c r="F949" s="1099">
        <v>1.0348101909667602</v>
      </c>
      <c r="G949" s="1099">
        <v>1.0007848567903379</v>
      </c>
      <c r="H949" s="1099">
        <v>0.99963365734401066</v>
      </c>
      <c r="I949" s="1099">
        <v>1.0263029017746299</v>
      </c>
      <c r="K949">
        <v>1.7556783012009816</v>
      </c>
      <c r="L949">
        <v>0</v>
      </c>
      <c r="M949">
        <v>1.4067911431120104E-3</v>
      </c>
      <c r="N949">
        <v>0.11744590435078806</v>
      </c>
      <c r="O949">
        <v>0.12717435196409596</v>
      </c>
      <c r="P949">
        <v>1.838400661694517E-2</v>
      </c>
      <c r="Q949">
        <v>8.2978100766239115E-4</v>
      </c>
      <c r="R949">
        <v>1.4031724968331151E-3</v>
      </c>
      <c r="S949">
        <v>0.1057621848112089</v>
      </c>
      <c r="T949">
        <v>1.0679488264084331</v>
      </c>
      <c r="U949">
        <v>0</v>
      </c>
      <c r="V949">
        <v>0.20713801254777103</v>
      </c>
      <c r="W949">
        <v>7.8657787928427828E-2</v>
      </c>
      <c r="X949">
        <v>2.8522091231237643E-2</v>
      </c>
      <c r="Y949">
        <v>3.8189729806904732E-3</v>
      </c>
    </row>
    <row r="950" spans="1:25" x14ac:dyDescent="0.25">
      <c r="A950" s="1095"/>
      <c r="B950" s="1454">
        <v>700</v>
      </c>
      <c r="C950" s="1099">
        <v>0.97739149190072883</v>
      </c>
      <c r="D950" s="1099">
        <v>1.0160714867719232</v>
      </c>
      <c r="E950" s="1099">
        <v>1.0343891990595895</v>
      </c>
      <c r="F950" s="1099">
        <v>0.98469936764820154</v>
      </c>
      <c r="G950" s="1099">
        <v>0.98370796725375609</v>
      </c>
      <c r="H950" s="1099">
        <v>0.99925382864446466</v>
      </c>
      <c r="I950" s="1099">
        <v>1.0013331842038238</v>
      </c>
      <c r="K950">
        <v>1.7304471337298712</v>
      </c>
      <c r="L950">
        <v>0</v>
      </c>
      <c r="M950">
        <v>1.2925435858544779E-3</v>
      </c>
      <c r="N950">
        <v>0.13189675534216225</v>
      </c>
      <c r="O950">
        <v>0.12691469806191463</v>
      </c>
      <c r="P950">
        <v>1.8645204681879964E-2</v>
      </c>
      <c r="Q950">
        <v>9.4660099751652318E-4</v>
      </c>
      <c r="R950">
        <v>1.2891864900077155E-3</v>
      </c>
      <c r="S950">
        <v>0.1093087950709047</v>
      </c>
      <c r="T950">
        <v>1.0142900606207614</v>
      </c>
      <c r="U950">
        <v>0</v>
      </c>
      <c r="V950">
        <v>0.20917562883088384</v>
      </c>
      <c r="W950">
        <v>8.4917483403251712E-2</v>
      </c>
      <c r="X950">
        <v>3.0846523170853537E-2</v>
      </c>
      <c r="Y950">
        <v>3.5087406455887853E-3</v>
      </c>
    </row>
    <row r="951" spans="1:25" x14ac:dyDescent="0.25">
      <c r="A951" s="1095"/>
      <c r="B951" s="1454">
        <v>701</v>
      </c>
      <c r="C951" s="1099">
        <v>1.0040570124068229</v>
      </c>
      <c r="D951" s="1099">
        <v>0.99114810598006475</v>
      </c>
      <c r="E951" s="1099">
        <v>0.95814381222697342</v>
      </c>
      <c r="F951" s="1099">
        <v>0.97024616896902371</v>
      </c>
      <c r="G951" s="1099">
        <v>0.96581513132990404</v>
      </c>
      <c r="H951" s="1099">
        <v>1.0100460110209868</v>
      </c>
      <c r="I951" s="1099">
        <v>1.021296361478127</v>
      </c>
      <c r="K951">
        <v>1.6987294347392632</v>
      </c>
      <c r="L951">
        <v>0</v>
      </c>
      <c r="M951">
        <v>1.5128973305694481E-3</v>
      </c>
      <c r="N951">
        <v>0.12261614004852578</v>
      </c>
      <c r="O951">
        <v>0.1252512750870797</v>
      </c>
      <c r="P951">
        <v>1.741946261624791E-2</v>
      </c>
      <c r="Q951">
        <v>8.5978088814665169E-4</v>
      </c>
      <c r="R951">
        <v>1.5090316015169678E-3</v>
      </c>
      <c r="S951">
        <v>0.1109033049035606</v>
      </c>
      <c r="T951">
        <v>1.0016100183978665</v>
      </c>
      <c r="U951">
        <v>0</v>
      </c>
      <c r="V951">
        <v>0.205793459945838</v>
      </c>
      <c r="W951">
        <v>8.26138813219051E-2</v>
      </c>
      <c r="X951">
        <v>2.7558890691948078E-2</v>
      </c>
      <c r="Y951">
        <v>4.1070865671954393E-3</v>
      </c>
    </row>
    <row r="952" spans="1:25" x14ac:dyDescent="0.25">
      <c r="A952" s="1095"/>
      <c r="B952" s="1454">
        <v>702</v>
      </c>
      <c r="C952" s="1099">
        <v>1.0030757551594884</v>
      </c>
      <c r="D952" s="1099">
        <v>1.0131469978575207</v>
      </c>
      <c r="E952" s="1099">
        <v>0.9787662064469006</v>
      </c>
      <c r="F952" s="1099">
        <v>1.0087648543051322</v>
      </c>
      <c r="G952" s="1099">
        <v>0.98153690685505068</v>
      </c>
      <c r="H952" s="1099">
        <v>0.98861363838340111</v>
      </c>
      <c r="I952" s="1099">
        <v>0.99689312599874169</v>
      </c>
      <c r="K952">
        <v>1.7356331371106908</v>
      </c>
      <c r="L952">
        <v>0</v>
      </c>
      <c r="M952">
        <v>1.4069017716774402E-3</v>
      </c>
      <c r="N952">
        <v>0.12136636252441146</v>
      </c>
      <c r="O952">
        <v>0.12731935331944874</v>
      </c>
      <c r="P952">
        <v>1.8182944636978938E-2</v>
      </c>
      <c r="Q952">
        <v>8.7185209226601406E-4</v>
      </c>
      <c r="R952">
        <v>1.4032259243624081E-3</v>
      </c>
      <c r="S952">
        <v>0.10568853138683344</v>
      </c>
      <c r="T952">
        <v>1.0407358130922759</v>
      </c>
      <c r="U952">
        <v>0</v>
      </c>
      <c r="V952">
        <v>0.20805695297746243</v>
      </c>
      <c r="W952">
        <v>8.0750629404930441E-2</v>
      </c>
      <c r="X952">
        <v>2.884525513058353E-2</v>
      </c>
      <c r="Y952">
        <v>3.8191183928128285E-3</v>
      </c>
    </row>
    <row r="953" spans="1:25" x14ac:dyDescent="0.25">
      <c r="A953" s="1095"/>
      <c r="B953" s="1454">
        <v>703</v>
      </c>
      <c r="C953" s="1099">
        <v>0.9787389775870281</v>
      </c>
      <c r="D953" s="1099">
        <v>1.0001706643718471</v>
      </c>
      <c r="E953" s="1099">
        <v>0.98441704559870236</v>
      </c>
      <c r="F953" s="1099">
        <v>1.0172898775608625</v>
      </c>
      <c r="G953" s="1099">
        <v>0.99033055016548532</v>
      </c>
      <c r="H953" s="1099">
        <v>0.96345757217426287</v>
      </c>
      <c r="I953" s="1099">
        <v>0.96786558268539979</v>
      </c>
      <c r="K953">
        <v>1.7514300191027101</v>
      </c>
      <c r="L953">
        <v>0</v>
      </c>
      <c r="M953">
        <v>1.3976350930977087E-3</v>
      </c>
      <c r="N953">
        <v>0.12263783237140775</v>
      </c>
      <c r="O953">
        <v>0.12985750693156245</v>
      </c>
      <c r="P953">
        <v>1.8402372873351978E-2</v>
      </c>
      <c r="Q953">
        <v>9.0348011135621615E-4</v>
      </c>
      <c r="R953">
        <v>1.3938923695019296E-3</v>
      </c>
      <c r="S953">
        <v>0.10418761949005338</v>
      </c>
      <c r="T953">
        <v>1.0493569772763509</v>
      </c>
      <c r="U953">
        <v>0</v>
      </c>
      <c r="V953">
        <v>0.21141986440930685</v>
      </c>
      <c r="W953">
        <v>8.1319004321969715E-2</v>
      </c>
      <c r="X953">
        <v>2.9555388507657671E-2</v>
      </c>
      <c r="Y953">
        <v>3.7937155332881381E-3</v>
      </c>
    </row>
    <row r="954" spans="1:25" x14ac:dyDescent="0.25">
      <c r="A954" s="1095"/>
      <c r="B954" s="1454">
        <v>704</v>
      </c>
      <c r="C954" s="1099">
        <v>1.0073363495235723</v>
      </c>
      <c r="D954" s="1099">
        <v>0.97638429770014123</v>
      </c>
      <c r="E954" s="1099">
        <v>0.98171560867946484</v>
      </c>
      <c r="F954" s="1099">
        <v>1.0159728354663105</v>
      </c>
      <c r="G954" s="1099">
        <v>1.0130631506200893</v>
      </c>
      <c r="H954" s="1099">
        <v>1.0180891303522395</v>
      </c>
      <c r="I954" s="1099">
        <v>1.0160714482485029</v>
      </c>
      <c r="K954">
        <v>1.7653158127584858</v>
      </c>
      <c r="L954">
        <v>0</v>
      </c>
      <c r="M954">
        <v>1.4669798628342695E-3</v>
      </c>
      <c r="N954">
        <v>0.12769560958041687</v>
      </c>
      <c r="O954">
        <v>0.12936002230487631</v>
      </c>
      <c r="P954">
        <v>1.8442460376555263E-2</v>
      </c>
      <c r="Q954">
        <v>8.8382210031213407E-4</v>
      </c>
      <c r="R954">
        <v>1.4632876339556345E-3</v>
      </c>
      <c r="S954">
        <v>0.11193177551134881</v>
      </c>
      <c r="T954">
        <v>1.0480813938936477</v>
      </c>
      <c r="U954">
        <v>0</v>
      </c>
      <c r="V954">
        <v>0.21072331681439174</v>
      </c>
      <c r="W954">
        <v>8.4810622416410394E-2</v>
      </c>
      <c r="X954">
        <v>2.9407895422417129E-2</v>
      </c>
      <c r="Y954">
        <v>3.9825865669883441E-3</v>
      </c>
    </row>
    <row r="955" spans="1:25" x14ac:dyDescent="0.25">
      <c r="A955" s="1095"/>
      <c r="B955" s="1454">
        <v>705</v>
      </c>
      <c r="C955" s="1099">
        <v>0.97166333936436511</v>
      </c>
      <c r="D955" s="1099">
        <v>0.99189695354791063</v>
      </c>
      <c r="E955" s="1099">
        <v>1.0265347105275402</v>
      </c>
      <c r="F955" s="1099">
        <v>1.0080470168846942</v>
      </c>
      <c r="G955" s="1099">
        <v>1.0222979119723818</v>
      </c>
      <c r="H955" s="1099">
        <v>1.0029013058464571</v>
      </c>
      <c r="I955" s="1099">
        <v>1.01969445613818</v>
      </c>
      <c r="K955">
        <v>1.7722015757960274</v>
      </c>
      <c r="L955">
        <v>0</v>
      </c>
      <c r="M955">
        <v>1.3474163574230503E-3</v>
      </c>
      <c r="N955">
        <v>0.13428230901733226</v>
      </c>
      <c r="O955">
        <v>0.130093496474388</v>
      </c>
      <c r="P955">
        <v>1.9002279964102219E-2</v>
      </c>
      <c r="Q955">
        <v>9.5372411238682855E-4</v>
      </c>
      <c r="R955">
        <v>1.3439505202582954E-3</v>
      </c>
      <c r="S955">
        <v>0.11401242715602468</v>
      </c>
      <c r="T955">
        <v>1.0385675431308876</v>
      </c>
      <c r="U955">
        <v>0</v>
      </c>
      <c r="V955">
        <v>0.21348630496916363</v>
      </c>
      <c r="W955">
        <v>8.6848272783796865E-2</v>
      </c>
      <c r="X955">
        <v>3.130089374213485E-2</v>
      </c>
      <c r="Y955">
        <v>3.6577902829731455E-3</v>
      </c>
    </row>
    <row r="956" spans="1:25" x14ac:dyDescent="0.25">
      <c r="A956" s="1095"/>
      <c r="B956" s="1454">
        <v>706</v>
      </c>
      <c r="C956" s="1099">
        <v>0.99420960199848318</v>
      </c>
      <c r="D956" s="1099">
        <v>0.9992922908025248</v>
      </c>
      <c r="E956" s="1099">
        <v>1.0354052887769789</v>
      </c>
      <c r="F956" s="1099">
        <v>0.99835259408118548</v>
      </c>
      <c r="G956" s="1099">
        <v>0.96199491708913687</v>
      </c>
      <c r="H956" s="1099">
        <v>1.0268537366104331</v>
      </c>
      <c r="I956" s="1099">
        <v>1.0307067823171925</v>
      </c>
      <c r="K956">
        <v>1.7545387095447236</v>
      </c>
      <c r="L956">
        <v>0</v>
      </c>
      <c r="M956">
        <v>1.3192809859273031E-3</v>
      </c>
      <c r="N956">
        <v>0.13504941937610973</v>
      </c>
      <c r="O956">
        <v>0.12784378877755131</v>
      </c>
      <c r="P956">
        <v>1.8902313809074485E-2</v>
      </c>
      <c r="Q956">
        <v>9.3777658710618103E-4</v>
      </c>
      <c r="R956">
        <v>1.3159656554150554E-3</v>
      </c>
      <c r="S956">
        <v>0.11394582758531693</v>
      </c>
      <c r="T956">
        <v>1.0283244654260268</v>
      </c>
      <c r="U956">
        <v>0</v>
      </c>
      <c r="V956">
        <v>0.20789029118759256</v>
      </c>
      <c r="W956">
        <v>8.6896153514867472E-2</v>
      </c>
      <c r="X956">
        <v>3.1170363905510555E-2</v>
      </c>
      <c r="Y956">
        <v>3.581624706078063E-3</v>
      </c>
    </row>
    <row r="957" spans="1:25" x14ac:dyDescent="0.25">
      <c r="A957" s="1095"/>
      <c r="B957" s="1454">
        <v>707</v>
      </c>
      <c r="C957" s="1099">
        <v>1.0024824908403536</v>
      </c>
      <c r="D957" s="1099">
        <v>0.96681165334454089</v>
      </c>
      <c r="E957" s="1099">
        <v>1.0353812550117201</v>
      </c>
      <c r="F957" s="1099">
        <v>1.006494065566625</v>
      </c>
      <c r="G957" s="1099">
        <v>1.0139901786964716</v>
      </c>
      <c r="H957" s="1099">
        <v>0.96674663617761947</v>
      </c>
      <c r="I957" s="1099">
        <v>0.97270743940124871</v>
      </c>
      <c r="K957">
        <v>1.7484568426898026</v>
      </c>
      <c r="L957">
        <v>0</v>
      </c>
      <c r="M957">
        <v>1.2578382765048596E-3</v>
      </c>
      <c r="N957">
        <v>0.12873291152494962</v>
      </c>
      <c r="O957">
        <v>0.1295659768233843</v>
      </c>
      <c r="P957">
        <v>1.8936500048466448E-2</v>
      </c>
      <c r="Q957">
        <v>9.4238895273147981E-4</v>
      </c>
      <c r="R957">
        <v>1.2545063913823754E-3</v>
      </c>
      <c r="S957">
        <v>0.10478232665430635</v>
      </c>
      <c r="T957">
        <v>1.0367110484540982</v>
      </c>
      <c r="U957">
        <v>0</v>
      </c>
      <c r="V957">
        <v>0.21113635384084861</v>
      </c>
      <c r="W957">
        <v>8.2833012521987021E-2</v>
      </c>
      <c r="X957">
        <v>3.1405302904730641E-2</v>
      </c>
      <c r="Y957">
        <v>3.414352849422049E-3</v>
      </c>
    </row>
    <row r="958" spans="1:25" x14ac:dyDescent="0.25">
      <c r="A958" s="1095"/>
      <c r="B958" s="1454">
        <v>708</v>
      </c>
      <c r="C958" s="1099">
        <v>1.0211113687694622</v>
      </c>
      <c r="D958" s="1099">
        <v>0.95767922691433072</v>
      </c>
      <c r="E958" s="1099">
        <v>0.98211865977960022</v>
      </c>
      <c r="F958" s="1099">
        <v>1.0014591097822843</v>
      </c>
      <c r="G958" s="1099">
        <v>1.019808990392006</v>
      </c>
      <c r="H958" s="1099">
        <v>1.0041429611214849</v>
      </c>
      <c r="I958" s="1099">
        <v>1.0027045528829213</v>
      </c>
      <c r="K958">
        <v>1.7418934405225572</v>
      </c>
      <c r="L958">
        <v>0</v>
      </c>
      <c r="M958">
        <v>1.4423669729308124E-3</v>
      </c>
      <c r="N958">
        <v>0.12570305918578606</v>
      </c>
      <c r="O958">
        <v>0.12844201943159639</v>
      </c>
      <c r="P958">
        <v>1.8197596117852797E-2</v>
      </c>
      <c r="Q958">
        <v>8.790423228702361E-4</v>
      </c>
      <c r="R958">
        <v>1.4386993199737685E-3</v>
      </c>
      <c r="S958">
        <v>0.10928934317163061</v>
      </c>
      <c r="T958">
        <v>1.0330967632180803</v>
      </c>
      <c r="U958">
        <v>0</v>
      </c>
      <c r="V958">
        <v>0.20973718807441896</v>
      </c>
      <c r="W958">
        <v>8.3466960246756081E-2</v>
      </c>
      <c r="X958">
        <v>2.9169471124657075E-2</v>
      </c>
      <c r="Y958">
        <v>3.9156652818652313E-3</v>
      </c>
    </row>
    <row r="959" spans="1:25" x14ac:dyDescent="0.25">
      <c r="A959" s="1095"/>
      <c r="B959" s="1454">
        <v>709</v>
      </c>
      <c r="C959" s="1099">
        <v>1.01243621780661</v>
      </c>
      <c r="D959" s="1099">
        <v>1.0085604387612095</v>
      </c>
      <c r="E959" s="1099">
        <v>0.99678741809863203</v>
      </c>
      <c r="F959" s="1099">
        <v>0.98811886100651225</v>
      </c>
      <c r="G959" s="1099">
        <v>0.97615210685977982</v>
      </c>
      <c r="H959" s="1099">
        <v>1.0171817329272963</v>
      </c>
      <c r="I959" s="1099">
        <v>0.96032780932887851</v>
      </c>
      <c r="K959">
        <v>1.7144842916901148</v>
      </c>
      <c r="L959">
        <v>0</v>
      </c>
      <c r="M959">
        <v>1.3839584621218579E-3</v>
      </c>
      <c r="N959">
        <v>0.12608291361973681</v>
      </c>
      <c r="O959">
        <v>0.12556412554862109</v>
      </c>
      <c r="P959">
        <v>1.8071885166462846E-2</v>
      </c>
      <c r="Q959">
        <v>8.8178925969238057E-4</v>
      </c>
      <c r="R959">
        <v>1.3804436004851905E-3</v>
      </c>
      <c r="S959">
        <v>0.10300153147838002</v>
      </c>
      <c r="T959">
        <v>1.0188996413854341</v>
      </c>
      <c r="U959">
        <v>0</v>
      </c>
      <c r="V959">
        <v>0.20613196514406004</v>
      </c>
      <c r="W959">
        <v>8.2986405645819425E-2</v>
      </c>
      <c r="X959">
        <v>2.9110436886134426E-2</v>
      </c>
      <c r="Y959">
        <v>3.75711241741009E-3</v>
      </c>
    </row>
    <row r="960" spans="1:25" x14ac:dyDescent="0.25">
      <c r="A960" s="1095"/>
      <c r="B960" s="1454">
        <v>710</v>
      </c>
      <c r="C960" s="1099">
        <v>1.0417850571806548</v>
      </c>
      <c r="D960" s="1099">
        <v>1.0382203560928867</v>
      </c>
      <c r="E960" s="1099">
        <v>0.99956675523086747</v>
      </c>
      <c r="F960" s="1099">
        <v>0.98650311390640344</v>
      </c>
      <c r="G960" s="1099">
        <v>0.99982924042118648</v>
      </c>
      <c r="H960" s="1099">
        <v>0.99507683396809798</v>
      </c>
      <c r="I960" s="1099">
        <v>0.96654206032268741</v>
      </c>
      <c r="K960">
        <v>1.6886993321259058</v>
      </c>
      <c r="L960">
        <v>0</v>
      </c>
      <c r="M960">
        <v>1.2887244866781754E-3</v>
      </c>
      <c r="N960">
        <v>0.11838920542593644</v>
      </c>
      <c r="O960">
        <v>0.12271616097799877</v>
      </c>
      <c r="P960">
        <v>1.7984303781047446E-2</v>
      </c>
      <c r="Q960">
        <v>8.4951685825600319E-4</v>
      </c>
      <c r="R960">
        <v>1.2853674224199969E-3</v>
      </c>
      <c r="S960">
        <v>9.7695438717372865E-2</v>
      </c>
      <c r="T960">
        <v>1.0171519075084414</v>
      </c>
      <c r="U960">
        <v>0</v>
      </c>
      <c r="V960">
        <v>0.20401132512904502</v>
      </c>
      <c r="W960">
        <v>7.779369245748867E-2</v>
      </c>
      <c r="X960">
        <v>2.8612791932004517E-2</v>
      </c>
      <c r="Y960">
        <v>3.4983464025703081E-3</v>
      </c>
    </row>
    <row r="961" spans="1:25" x14ac:dyDescent="0.25">
      <c r="A961" s="1095"/>
      <c r="B961" s="1454">
        <v>711</v>
      </c>
      <c r="C961" s="1099">
        <v>1.0486819399205902</v>
      </c>
      <c r="D961" s="1099">
        <v>0.967798104175005</v>
      </c>
      <c r="E961" s="1099">
        <v>0.99053097167108517</v>
      </c>
      <c r="F961" s="1099">
        <v>0.98014065204036771</v>
      </c>
      <c r="G961" s="1099">
        <v>1.0197935893442909</v>
      </c>
      <c r="H961" s="1099">
        <v>1.0235550888113532</v>
      </c>
      <c r="I961" s="1099">
        <v>1.0291543936676268</v>
      </c>
      <c r="K961">
        <v>1.7109544073059364</v>
      </c>
      <c r="L961">
        <v>0</v>
      </c>
      <c r="M961">
        <v>1.3986946282868969E-3</v>
      </c>
      <c r="N961">
        <v>0.12504348630398993</v>
      </c>
      <c r="O961">
        <v>0.12500776297166902</v>
      </c>
      <c r="P961">
        <v>1.797201080237322E-2</v>
      </c>
      <c r="Q961">
        <v>8.5986221796694319E-4</v>
      </c>
      <c r="R961">
        <v>1.3951997698178689E-3</v>
      </c>
      <c r="S961">
        <v>0.1099150895067256</v>
      </c>
      <c r="T961">
        <v>1.0108563538324125</v>
      </c>
      <c r="U961">
        <v>0</v>
      </c>
      <c r="V961">
        <v>0.20613184057266329</v>
      </c>
      <c r="W961">
        <v>8.2610418640794728E-2</v>
      </c>
      <c r="X961">
        <v>2.8763803469847988E-2</v>
      </c>
      <c r="Y961">
        <v>3.7972738459637265E-3</v>
      </c>
    </row>
    <row r="962" spans="1:25" x14ac:dyDescent="0.25">
      <c r="A962" s="1095"/>
      <c r="B962" s="1454">
        <v>712</v>
      </c>
      <c r="C962" s="1099">
        <v>1.0017159597701433</v>
      </c>
      <c r="D962" s="1099">
        <v>0.99064524794288866</v>
      </c>
      <c r="E962" s="1099">
        <v>0.99174818842657486</v>
      </c>
      <c r="F962" s="1099">
        <v>0.96757423256061503</v>
      </c>
      <c r="G962" s="1099">
        <v>1.0074070120991383</v>
      </c>
      <c r="H962" s="1099">
        <v>0.97435106690812168</v>
      </c>
      <c r="I962" s="1099">
        <v>0.98637653092481803</v>
      </c>
      <c r="K962">
        <v>1.6904973519554245</v>
      </c>
      <c r="L962">
        <v>0</v>
      </c>
      <c r="M962">
        <v>1.3645223968909467E-3</v>
      </c>
      <c r="N962">
        <v>0.12241967084650177</v>
      </c>
      <c r="O962">
        <v>0.1253205125514717</v>
      </c>
      <c r="P962">
        <v>1.777004858186355E-2</v>
      </c>
      <c r="Q962">
        <v>8.9294639428070296E-4</v>
      </c>
      <c r="R962">
        <v>1.3609067966576362E-3</v>
      </c>
      <c r="S962">
        <v>0.1049599482453258</v>
      </c>
      <c r="T962">
        <v>0.99786080543233069</v>
      </c>
      <c r="U962">
        <v>0</v>
      </c>
      <c r="V962">
        <v>0.20797063354117762</v>
      </c>
      <c r="W962">
        <v>8.081808589113805E-2</v>
      </c>
      <c r="X962">
        <v>2.8784376393871523E-2</v>
      </c>
      <c r="Y962">
        <v>3.7039396776971378E-3</v>
      </c>
    </row>
    <row r="963" spans="1:25" x14ac:dyDescent="0.25">
      <c r="A963" s="1095"/>
      <c r="B963" s="1454">
        <v>713</v>
      </c>
      <c r="C963" s="1099">
        <v>0.98834878838906015</v>
      </c>
      <c r="D963" s="1099">
        <v>1.0299529873977695</v>
      </c>
      <c r="E963" s="1099">
        <v>0.98378323257479583</v>
      </c>
      <c r="F963" s="1099">
        <v>1.02664264089445</v>
      </c>
      <c r="G963" s="1099">
        <v>1.0287169998657808</v>
      </c>
      <c r="H963" s="1099">
        <v>0.99026701653849281</v>
      </c>
      <c r="I963" s="1099">
        <v>1.0100619949595293</v>
      </c>
      <c r="K963">
        <v>1.7643921445883972</v>
      </c>
      <c r="L963">
        <v>0</v>
      </c>
      <c r="M963">
        <v>1.4021979621509496E-3</v>
      </c>
      <c r="N963">
        <v>0.12281019950263226</v>
      </c>
      <c r="O963">
        <v>0.12868289060470978</v>
      </c>
      <c r="P963">
        <v>1.8579733847962791E-2</v>
      </c>
      <c r="Q963">
        <v>8.8366998812636861E-4</v>
      </c>
      <c r="R963">
        <v>1.3985300692789164E-3</v>
      </c>
      <c r="S963">
        <v>0.107723633464581</v>
      </c>
      <c r="T963">
        <v>1.0590242111265913</v>
      </c>
      <c r="U963">
        <v>0</v>
      </c>
      <c r="V963">
        <v>0.21203276892072728</v>
      </c>
      <c r="W963">
        <v>8.146436822958654E-2</v>
      </c>
      <c r="X963">
        <v>2.9387998973085371E-2</v>
      </c>
      <c r="Y963">
        <v>3.8063378232637765E-3</v>
      </c>
    </row>
    <row r="964" spans="1:25" x14ac:dyDescent="0.25">
      <c r="A964" s="1095"/>
      <c r="B964" s="1454">
        <v>714</v>
      </c>
      <c r="C964" s="1099">
        <v>0.99587249423917101</v>
      </c>
      <c r="D964" s="1099">
        <v>0.97046351224749505</v>
      </c>
      <c r="E964" s="1099">
        <v>1.0047767206597691</v>
      </c>
      <c r="F964" s="1099">
        <v>0.99915707913263241</v>
      </c>
      <c r="G964" s="1099">
        <v>1.0000886288993853</v>
      </c>
      <c r="H964" s="1099">
        <v>1.000542689265755</v>
      </c>
      <c r="I964" s="1099">
        <v>0.99117524021941028</v>
      </c>
      <c r="K964">
        <v>1.747320712724296</v>
      </c>
      <c r="L964">
        <v>0</v>
      </c>
      <c r="M964">
        <v>1.3918140416985119E-3</v>
      </c>
      <c r="N964">
        <v>0.12989301464554254</v>
      </c>
      <c r="O964">
        <v>0.12904539997120179</v>
      </c>
      <c r="P964">
        <v>1.8480084843548836E-2</v>
      </c>
      <c r="Q964">
        <v>9.1793883600133107E-4</v>
      </c>
      <c r="R964">
        <v>1.3882449053047193E-3</v>
      </c>
      <c r="S964">
        <v>0.10948450546890132</v>
      </c>
      <c r="T964">
        <v>1.0300445981521391</v>
      </c>
      <c r="U964">
        <v>0</v>
      </c>
      <c r="V964">
        <v>0.21043402922845103</v>
      </c>
      <c r="W964">
        <v>8.508942278021718E-2</v>
      </c>
      <c r="X964">
        <v>3.015694293725818E-2</v>
      </c>
      <c r="Y964">
        <v>3.7783449974294028E-3</v>
      </c>
    </row>
    <row r="965" spans="1:25" x14ac:dyDescent="0.25">
      <c r="A965" s="1095"/>
      <c r="B965" s="1454">
        <v>715</v>
      </c>
      <c r="C965" s="1099">
        <v>1.0052688244052168</v>
      </c>
      <c r="D965" s="1099">
        <v>1.0108508618252174</v>
      </c>
      <c r="E965" s="1099">
        <v>0.96848595174651397</v>
      </c>
      <c r="F965" s="1099">
        <v>0.99356339726981746</v>
      </c>
      <c r="G965" s="1099">
        <v>0.98347757138849545</v>
      </c>
      <c r="H965" s="1099">
        <v>1.007383923501751</v>
      </c>
      <c r="I965" s="1099">
        <v>0.97603542802551113</v>
      </c>
      <c r="K965">
        <v>1.7181237097963631</v>
      </c>
      <c r="L965">
        <v>0</v>
      </c>
      <c r="M965">
        <v>1.4615027363840969E-3</v>
      </c>
      <c r="N965">
        <v>0.12221928582548555</v>
      </c>
      <c r="O965">
        <v>0.12611871482212644</v>
      </c>
      <c r="P965">
        <v>1.7809814777325409E-2</v>
      </c>
      <c r="Q965">
        <v>8.6137796691618154E-4</v>
      </c>
      <c r="R965">
        <v>1.4577527849358239E-3</v>
      </c>
      <c r="S965">
        <v>0.10456906690976819</v>
      </c>
      <c r="T965">
        <v>1.0253642542690147</v>
      </c>
      <c r="U965">
        <v>0</v>
      </c>
      <c r="V965">
        <v>0.20721272698788823</v>
      </c>
      <c r="W965">
        <v>8.1827043338194877E-2</v>
      </c>
      <c r="X965">
        <v>2.8177652318572975E-2</v>
      </c>
      <c r="Y965">
        <v>3.9675225325189077E-3</v>
      </c>
    </row>
    <row r="966" spans="1:25" x14ac:dyDescent="0.25">
      <c r="A966" s="1095"/>
      <c r="B966" s="1454">
        <v>716</v>
      </c>
      <c r="C966" s="1099">
        <v>0.99877289868799035</v>
      </c>
      <c r="D966" s="1099">
        <v>1.0429935621457802</v>
      </c>
      <c r="E966" s="1099">
        <v>1.0365800872864332</v>
      </c>
      <c r="F966" s="1099">
        <v>0.99784549360091512</v>
      </c>
      <c r="G966" s="1099">
        <v>0.99968076215156565</v>
      </c>
      <c r="H966" s="1099">
        <v>1.0177722171890742</v>
      </c>
      <c r="I966" s="1099">
        <v>0.98347719525226385</v>
      </c>
      <c r="K966">
        <v>1.7338683581499195</v>
      </c>
      <c r="L966">
        <v>0</v>
      </c>
      <c r="M966">
        <v>1.2665629061310074E-3</v>
      </c>
      <c r="N966">
        <v>0.13010716725419397</v>
      </c>
      <c r="O966">
        <v>0.12563038841411808</v>
      </c>
      <c r="P966">
        <v>1.8784716876122494E-2</v>
      </c>
      <c r="Q966">
        <v>9.187427868853884E-4</v>
      </c>
      <c r="R966">
        <v>1.2633266842299018E-3</v>
      </c>
      <c r="S966">
        <v>0.10482185708356621</v>
      </c>
      <c r="T966">
        <v>1.0277685418019351</v>
      </c>
      <c r="U966">
        <v>0</v>
      </c>
      <c r="V966">
        <v>0.20803581720042849</v>
      </c>
      <c r="W966">
        <v>8.3659309851586233E-2</v>
      </c>
      <c r="X966">
        <v>3.0706694324038393E-2</v>
      </c>
      <c r="Y966">
        <v>3.4383587789442605E-3</v>
      </c>
    </row>
    <row r="967" spans="1:25" x14ac:dyDescent="0.25">
      <c r="A967" s="1095"/>
      <c r="B967" s="1454">
        <v>717</v>
      </c>
      <c r="C967" s="1099">
        <v>0.98682104387490954</v>
      </c>
      <c r="D967" s="1099">
        <v>1.0167393521268899</v>
      </c>
      <c r="E967" s="1099">
        <v>1.0152956214622444</v>
      </c>
      <c r="F967" s="1099">
        <v>0.98721766805181299</v>
      </c>
      <c r="G967" s="1099">
        <v>1.0427421315590497</v>
      </c>
      <c r="H967" s="1099">
        <v>0.98971248993946892</v>
      </c>
      <c r="I967" s="1099">
        <v>1.0100642195254323</v>
      </c>
      <c r="K967">
        <v>1.726699290260495</v>
      </c>
      <c r="L967">
        <v>0</v>
      </c>
      <c r="M967">
        <v>1.3202467144812261E-3</v>
      </c>
      <c r="N967">
        <v>0.1271824366173033</v>
      </c>
      <c r="O967">
        <v>0.12651145942682457</v>
      </c>
      <c r="P967">
        <v>1.8448746814496077E-2</v>
      </c>
      <c r="Q967">
        <v>9.1917484901932536E-4</v>
      </c>
      <c r="R967">
        <v>1.3167877540057899E-3</v>
      </c>
      <c r="S967">
        <v>0.10852879218686813</v>
      </c>
      <c r="T967">
        <v>1.0174304959519243</v>
      </c>
      <c r="U967">
        <v>0</v>
      </c>
      <c r="V967">
        <v>0.21127351923847265</v>
      </c>
      <c r="W967">
        <v>8.2798633958951692E-2</v>
      </c>
      <c r="X967">
        <v>3.0025627989672728E-2</v>
      </c>
      <c r="Y967">
        <v>3.5838621874373137E-3</v>
      </c>
    </row>
    <row r="968" spans="1:25" x14ac:dyDescent="0.25">
      <c r="A968" s="1095"/>
      <c r="B968" s="1454">
        <v>718</v>
      </c>
      <c r="C968" s="1099">
        <v>0.99333821897735375</v>
      </c>
      <c r="D968" s="1099">
        <v>1.0118190924658268</v>
      </c>
      <c r="E968" s="1099">
        <v>1.005087977116325</v>
      </c>
      <c r="F968" s="1099">
        <v>0.99864253648491952</v>
      </c>
      <c r="G968" s="1099">
        <v>1.0124765998752128</v>
      </c>
      <c r="H968" s="1099">
        <v>1.0158130705677457</v>
      </c>
      <c r="I968" s="1099">
        <v>1.0075832528367017</v>
      </c>
      <c r="K968">
        <v>1.742963909432466</v>
      </c>
      <c r="L968">
        <v>0</v>
      </c>
      <c r="M968">
        <v>1.3810775961440203E-3</v>
      </c>
      <c r="N968">
        <v>0.12901456844088874</v>
      </c>
      <c r="O968">
        <v>0.12722063410280005</v>
      </c>
      <c r="P968">
        <v>1.8474830429488488E-2</v>
      </c>
      <c r="Q968">
        <v>9.0533780793790027E-4</v>
      </c>
      <c r="R968">
        <v>1.3775608610052136E-3</v>
      </c>
      <c r="S968">
        <v>0.10979972768068731</v>
      </c>
      <c r="T968">
        <v>1.0295049546046298</v>
      </c>
      <c r="U968">
        <v>0</v>
      </c>
      <c r="V968">
        <v>0.20996273585543967</v>
      </c>
      <c r="W968">
        <v>8.4498403888449466E-2</v>
      </c>
      <c r="X968">
        <v>2.9836966806443859E-2</v>
      </c>
      <c r="Y968">
        <v>3.7492665508404069E-3</v>
      </c>
    </row>
    <row r="969" spans="1:25" x14ac:dyDescent="0.25">
      <c r="A969" s="1095"/>
      <c r="B969" s="1454">
        <v>719</v>
      </c>
      <c r="C969" s="1099">
        <v>0.99038624405473386</v>
      </c>
      <c r="D969" s="1099">
        <v>1.0093455925632895</v>
      </c>
      <c r="E969" s="1099">
        <v>1.0046019824247259</v>
      </c>
      <c r="F969" s="1099">
        <v>0.99730487778210819</v>
      </c>
      <c r="G969" s="1099">
        <v>1.0206452955484233</v>
      </c>
      <c r="H969" s="1099">
        <v>0.99297658856544491</v>
      </c>
      <c r="I969" s="1099">
        <v>0.97079202347629612</v>
      </c>
      <c r="K969">
        <v>1.7330760218774608</v>
      </c>
      <c r="L969">
        <v>0</v>
      </c>
      <c r="M969">
        <v>1.3568809152746655E-3</v>
      </c>
      <c r="N969">
        <v>0.12656090598065123</v>
      </c>
      <c r="O969">
        <v>0.12738270103189905</v>
      </c>
      <c r="P969">
        <v>1.8388360608803493E-2</v>
      </c>
      <c r="Q969">
        <v>9.0846902777570791E-4</v>
      </c>
      <c r="R969">
        <v>1.35334667932945E-3</v>
      </c>
      <c r="S969">
        <v>0.10468625386536778</v>
      </c>
      <c r="T969">
        <v>1.0281402947619322</v>
      </c>
      <c r="U969">
        <v>0</v>
      </c>
      <c r="V969">
        <v>0.21061242264731417</v>
      </c>
      <c r="W969">
        <v>8.2915226847707094E-2</v>
      </c>
      <c r="X969">
        <v>2.9801557811433892E-2</v>
      </c>
      <c r="Y969">
        <v>3.6833635305218225E-3</v>
      </c>
    </row>
    <row r="970" spans="1:25" x14ac:dyDescent="0.25">
      <c r="A970" s="1095"/>
      <c r="B970" s="1454">
        <v>720</v>
      </c>
      <c r="C970" s="1099">
        <v>0.99293069787727573</v>
      </c>
      <c r="D970" s="1099">
        <v>1.0264094745672592</v>
      </c>
      <c r="E970" s="1099">
        <v>0.97538156418300281</v>
      </c>
      <c r="F970" s="1099">
        <v>1.0230171055309003</v>
      </c>
      <c r="G970" s="1099">
        <v>1.0328421397176</v>
      </c>
      <c r="H970" s="1099">
        <v>1.0068247660231739</v>
      </c>
      <c r="I970" s="1099">
        <v>1.035229244763423</v>
      </c>
      <c r="K970">
        <v>1.7650877371399074</v>
      </c>
      <c r="L970">
        <v>0</v>
      </c>
      <c r="M970">
        <v>1.4469859595327181E-3</v>
      </c>
      <c r="N970">
        <v>0.12355735804246398</v>
      </c>
      <c r="O970">
        <v>0.12829958005936512</v>
      </c>
      <c r="P970">
        <v>1.845898547491277E-2</v>
      </c>
      <c r="Q970">
        <v>8.7308296304528833E-4</v>
      </c>
      <c r="R970">
        <v>1.4432658899546655E-3</v>
      </c>
      <c r="S970">
        <v>0.11131245877052348</v>
      </c>
      <c r="T970">
        <v>1.0555450644295459</v>
      </c>
      <c r="U970">
        <v>0</v>
      </c>
      <c r="V970">
        <v>0.21173354100210567</v>
      </c>
      <c r="W970">
        <v>8.2376973965002862E-2</v>
      </c>
      <c r="X970">
        <v>2.9006318522536236E-2</v>
      </c>
      <c r="Y970">
        <v>3.9280939799838438E-3</v>
      </c>
    </row>
    <row r="971" spans="1:25" x14ac:dyDescent="0.25">
      <c r="A971" s="1095"/>
      <c r="B971" s="1454">
        <v>721</v>
      </c>
      <c r="C971" s="1099">
        <v>0.99004192044298689</v>
      </c>
      <c r="D971" s="1099">
        <v>1.0237894559548895</v>
      </c>
      <c r="E971" s="1099">
        <v>1.0419943129125362</v>
      </c>
      <c r="F971" s="1099">
        <v>1.0312844737633711</v>
      </c>
      <c r="G971" s="1099">
        <v>0.99993664111965019</v>
      </c>
      <c r="H971" s="1099">
        <v>1.0228395692342069</v>
      </c>
      <c r="I971" s="1099">
        <v>0.98458289279932276</v>
      </c>
      <c r="K971">
        <v>1.7862844961112019</v>
      </c>
      <c r="L971">
        <v>0</v>
      </c>
      <c r="M971">
        <v>1.2863007557454866E-3</v>
      </c>
      <c r="N971">
        <v>0.13431119208871334</v>
      </c>
      <c r="O971">
        <v>0.12945908777374715</v>
      </c>
      <c r="P971">
        <v>1.9422175908681175E-2</v>
      </c>
      <c r="Q971">
        <v>9.3890831272436096E-4</v>
      </c>
      <c r="R971">
        <v>1.2830485845921195E-3</v>
      </c>
      <c r="S971">
        <v>0.10758860918016705</v>
      </c>
      <c r="T971">
        <v>1.062050783065182</v>
      </c>
      <c r="U971">
        <v>0</v>
      </c>
      <c r="V971">
        <v>0.21108623955010053</v>
      </c>
      <c r="W971">
        <v>8.6093476926892745E-2</v>
      </c>
      <c r="X971">
        <v>3.1845240185738879E-2</v>
      </c>
      <c r="Y971">
        <v>3.4920352904075106E-3</v>
      </c>
    </row>
    <row r="972" spans="1:25" x14ac:dyDescent="0.25">
      <c r="A972" s="1095"/>
      <c r="B972" s="1454">
        <v>722</v>
      </c>
      <c r="C972" s="1099">
        <v>0.97341474292633701</v>
      </c>
      <c r="D972" s="1099">
        <v>1.0034329253152945</v>
      </c>
      <c r="E972" s="1099">
        <v>1.0400547332573407</v>
      </c>
      <c r="F972" s="1099">
        <v>0.98456032997921594</v>
      </c>
      <c r="G972" s="1099">
        <v>1.0317731991245789</v>
      </c>
      <c r="H972" s="1099">
        <v>1.0207023548116148</v>
      </c>
      <c r="I972" s="1099">
        <v>1.0130037820111133</v>
      </c>
      <c r="K972">
        <v>1.7468593711296656</v>
      </c>
      <c r="L972">
        <v>0</v>
      </c>
      <c r="M972">
        <v>1.3192696198638752E-3</v>
      </c>
      <c r="N972">
        <v>0.1369499493951874</v>
      </c>
      <c r="O972">
        <v>0.12770954857702518</v>
      </c>
      <c r="P972">
        <v>1.8818278416221027E-2</v>
      </c>
      <c r="Q972">
        <v>9.6075619665907011E-4</v>
      </c>
      <c r="R972">
        <v>1.3159216919041079E-3</v>
      </c>
      <c r="S972">
        <v>0.11342961209788791</v>
      </c>
      <c r="T972">
        <v>1.0139871690574418</v>
      </c>
      <c r="U972">
        <v>0</v>
      </c>
      <c r="V972">
        <v>0.21223691875563902</v>
      </c>
      <c r="W972">
        <v>8.7882960001130994E-2</v>
      </c>
      <c r="X972">
        <v>3.1306021508539228E-2</v>
      </c>
      <c r="Y972">
        <v>3.58150505189383E-3</v>
      </c>
    </row>
    <row r="973" spans="1:25" x14ac:dyDescent="0.25">
      <c r="A973" s="1095"/>
      <c r="B973" s="1454">
        <v>723</v>
      </c>
      <c r="C973" s="1099">
        <v>0.98775464919466305</v>
      </c>
      <c r="D973" s="1099">
        <v>1.0096849226440878</v>
      </c>
      <c r="E973" s="1099">
        <v>0.98305450936646499</v>
      </c>
      <c r="F973" s="1099">
        <v>0.96691732410265885</v>
      </c>
      <c r="G973" s="1099">
        <v>0.96237379014861235</v>
      </c>
      <c r="H973" s="1099">
        <v>1.0302794638737875</v>
      </c>
      <c r="I973" s="1099">
        <v>0.99950067697893208</v>
      </c>
      <c r="K973">
        <v>1.7042961666335861</v>
      </c>
      <c r="L973">
        <v>0</v>
      </c>
      <c r="M973">
        <v>1.4714489756662682E-3</v>
      </c>
      <c r="N973">
        <v>0.12860433884842221</v>
      </c>
      <c r="O973">
        <v>0.12509333342199858</v>
      </c>
      <c r="P973">
        <v>1.7699873720194288E-2</v>
      </c>
      <c r="Q973">
        <v>8.9057976405341435E-4</v>
      </c>
      <c r="R973">
        <v>1.4677440015619817E-3</v>
      </c>
      <c r="S973">
        <v>0.11041631004170355</v>
      </c>
      <c r="T973">
        <v>0.99743637903214022</v>
      </c>
      <c r="U973">
        <v>0</v>
      </c>
      <c r="V973">
        <v>0.20635220491651649</v>
      </c>
      <c r="W973">
        <v>8.5345270520462077E-2</v>
      </c>
      <c r="X973">
        <v>2.846686601162669E-2</v>
      </c>
      <c r="Y973">
        <v>3.9947153305716345E-3</v>
      </c>
    </row>
    <row r="974" spans="1:25" x14ac:dyDescent="0.25">
      <c r="A974" s="1095"/>
      <c r="B974" s="1454">
        <v>724</v>
      </c>
      <c r="C974" s="1099">
        <v>1.020626182133646</v>
      </c>
      <c r="D974" s="1099">
        <v>0.99968515987686224</v>
      </c>
      <c r="E974" s="1099">
        <v>0.98823737544702417</v>
      </c>
      <c r="F974" s="1099">
        <v>0.98173828736560653</v>
      </c>
      <c r="G974" s="1099">
        <v>1.024564857164582</v>
      </c>
      <c r="H974" s="1099">
        <v>1.000115028017051</v>
      </c>
      <c r="I974" s="1099">
        <v>1.0294697815093732</v>
      </c>
      <c r="K974">
        <v>1.7092585787938392</v>
      </c>
      <c r="L974">
        <v>0</v>
      </c>
      <c r="M974">
        <v>1.3812648412761294E-3</v>
      </c>
      <c r="N974">
        <v>0.12262205966711566</v>
      </c>
      <c r="O974">
        <v>0.12503717823068425</v>
      </c>
      <c r="P974">
        <v>1.7972078141383654E-2</v>
      </c>
      <c r="Q974">
        <v>8.7003342097343578E-4</v>
      </c>
      <c r="R974">
        <v>1.3777032993053E-3</v>
      </c>
      <c r="S974">
        <v>0.10892065586932059</v>
      </c>
      <c r="T974">
        <v>1.0125717048759877</v>
      </c>
      <c r="U974">
        <v>0</v>
      </c>
      <c r="V974">
        <v>0.20770991468007494</v>
      </c>
      <c r="W974">
        <v>8.1122134455423475E-2</v>
      </c>
      <c r="X974">
        <v>2.8686726773908756E-2</v>
      </c>
      <c r="Y974">
        <v>3.74965422093847E-3</v>
      </c>
    </row>
    <row r="975" spans="1:25" x14ac:dyDescent="0.25">
      <c r="A975" s="1095"/>
      <c r="B975" s="1454">
        <v>725</v>
      </c>
      <c r="C975" s="1099">
        <v>0.98070142429131457</v>
      </c>
      <c r="D975" s="1099">
        <v>1.0347877960879512</v>
      </c>
      <c r="E975" s="1099">
        <v>0.99420697809277281</v>
      </c>
      <c r="F975" s="1099">
        <v>0.98022031000670551</v>
      </c>
      <c r="G975" s="1099">
        <v>0.98432919555287091</v>
      </c>
      <c r="H975" s="1099">
        <v>0.96961706765456968</v>
      </c>
      <c r="I975" s="1099">
        <v>1.0155767588267735</v>
      </c>
      <c r="K975">
        <v>1.7044596750038554</v>
      </c>
      <c r="L975">
        <v>0</v>
      </c>
      <c r="M975">
        <v>1.3442732674134703E-3</v>
      </c>
      <c r="N975">
        <v>0.1214982757021327</v>
      </c>
      <c r="O975">
        <v>0.12541766311042774</v>
      </c>
      <c r="P975">
        <v>1.8008622241547895E-2</v>
      </c>
      <c r="Q975">
        <v>8.9860993192873305E-4</v>
      </c>
      <c r="R975">
        <v>1.3406624765238226E-3</v>
      </c>
      <c r="S975">
        <v>0.10708155755673422</v>
      </c>
      <c r="T975">
        <v>1.0108305739656116</v>
      </c>
      <c r="U975">
        <v>0</v>
      </c>
      <c r="V975">
        <v>0.20802848000690036</v>
      </c>
      <c r="W975">
        <v>8.0092024477959559E-2</v>
      </c>
      <c r="X975">
        <v>2.8958637489669977E-2</v>
      </c>
      <c r="Y975">
        <v>3.6488413118312356E-3</v>
      </c>
    </row>
    <row r="976" spans="1:25" x14ac:dyDescent="0.25">
      <c r="A976" s="1095"/>
      <c r="B976" s="1454">
        <v>726</v>
      </c>
      <c r="C976" s="1099">
        <v>0.99063365430791028</v>
      </c>
      <c r="D976" s="1099">
        <v>1.0427060602249321</v>
      </c>
      <c r="E976" s="1099">
        <v>0.97371802428055865</v>
      </c>
      <c r="F976" s="1099">
        <v>1.0039794301201577</v>
      </c>
      <c r="G976" s="1099">
        <v>0.99920520079835207</v>
      </c>
      <c r="H976" s="1099">
        <v>0.97168132496282555</v>
      </c>
      <c r="I976" s="1099">
        <v>1.03265973180047</v>
      </c>
      <c r="K976">
        <v>1.7266035192246612</v>
      </c>
      <c r="L976">
        <v>0</v>
      </c>
      <c r="M976">
        <v>1.3891085467788958E-3</v>
      </c>
      <c r="N976">
        <v>0.11800697073161215</v>
      </c>
      <c r="O976">
        <v>0.12626910139452682</v>
      </c>
      <c r="P976">
        <v>1.8085189233660773E-2</v>
      </c>
      <c r="Q976">
        <v>8.6809160767335367E-4</v>
      </c>
      <c r="R976">
        <v>1.3853905156230107E-3</v>
      </c>
      <c r="S976">
        <v>0.10759182017475863</v>
      </c>
      <c r="T976">
        <v>1.0359529833724439</v>
      </c>
      <c r="U976">
        <v>0</v>
      </c>
      <c r="V976">
        <v>0.20884615388770883</v>
      </c>
      <c r="W976">
        <v>7.8755884761942146E-2</v>
      </c>
      <c r="X976">
        <v>2.8460465801824375E-2</v>
      </c>
      <c r="Y976">
        <v>3.7705762896650982E-3</v>
      </c>
    </row>
    <row r="977" spans="1:25" x14ac:dyDescent="0.25">
      <c r="A977" s="1095"/>
      <c r="B977" s="1454">
        <v>727</v>
      </c>
      <c r="C977" s="1099">
        <v>0.98008042470397061</v>
      </c>
      <c r="D977" s="1099">
        <v>1.004547858821393</v>
      </c>
      <c r="E977" s="1099">
        <v>1.0149680974591642</v>
      </c>
      <c r="F977" s="1099">
        <v>1.0090864994704025</v>
      </c>
      <c r="G977" s="1099">
        <v>0.99970525144828859</v>
      </c>
      <c r="H977" s="1099">
        <v>0.98015083193979857</v>
      </c>
      <c r="I977" s="1099">
        <v>0.96568491655496458</v>
      </c>
      <c r="K977">
        <v>1.7499303609977124</v>
      </c>
      <c r="L977">
        <v>0</v>
      </c>
      <c r="M977">
        <v>1.3285167777136112E-3</v>
      </c>
      <c r="N977">
        <v>0.12785061589537122</v>
      </c>
      <c r="O977">
        <v>0.12908390255249139</v>
      </c>
      <c r="P977">
        <v>1.8702389457471054E-2</v>
      </c>
      <c r="Q977">
        <v>9.2965995568437126E-4</v>
      </c>
      <c r="R977">
        <v>1.3250147979969966E-3</v>
      </c>
      <c r="S977">
        <v>0.10468823190094724</v>
      </c>
      <c r="T977">
        <v>1.0399782777568805</v>
      </c>
      <c r="U977">
        <v>0</v>
      </c>
      <c r="V977">
        <v>0.21128252579755555</v>
      </c>
      <c r="W977">
        <v>8.3249645610860498E-2</v>
      </c>
      <c r="X977">
        <v>3.0562360561029046E-2</v>
      </c>
      <c r="Y977">
        <v>3.6062534891370562E-3</v>
      </c>
    </row>
    <row r="978" spans="1:25" x14ac:dyDescent="0.25">
      <c r="A978" s="1095"/>
      <c r="B978" s="1454">
        <v>728</v>
      </c>
      <c r="C978" s="1099">
        <v>0.983309496471236</v>
      </c>
      <c r="D978" s="1099">
        <v>0.96890854770668255</v>
      </c>
      <c r="E978" s="1099">
        <v>0.96547891927448126</v>
      </c>
      <c r="F978" s="1099">
        <v>0.98721311279289914</v>
      </c>
      <c r="G978" s="1099">
        <v>0.99800481686688525</v>
      </c>
      <c r="H978" s="1099">
        <v>0.98505664957156891</v>
      </c>
      <c r="I978" s="1099">
        <v>1.0170945552047252</v>
      </c>
      <c r="K978">
        <v>1.7303309372201965</v>
      </c>
      <c r="L978">
        <v>0</v>
      </c>
      <c r="M978">
        <v>1.5034685188395E-3</v>
      </c>
      <c r="N978">
        <v>0.12458342285951311</v>
      </c>
      <c r="O978">
        <v>0.12869236826101693</v>
      </c>
      <c r="P978">
        <v>1.7835219797548499E-2</v>
      </c>
      <c r="Q978">
        <v>8.9283112070110554E-4</v>
      </c>
      <c r="R978">
        <v>1.4995450149815443E-3</v>
      </c>
      <c r="S978">
        <v>0.1125255553649266</v>
      </c>
      <c r="T978">
        <v>1.0189018943292836</v>
      </c>
      <c r="U978">
        <v>0</v>
      </c>
      <c r="V978">
        <v>0.21071835021894253</v>
      </c>
      <c r="W978">
        <v>8.3563018832896935E-2</v>
      </c>
      <c r="X978">
        <v>2.8540932733324895E-2</v>
      </c>
      <c r="Y978">
        <v>4.0812672058984263E-3</v>
      </c>
    </row>
    <row r="979" spans="1:25" x14ac:dyDescent="0.25">
      <c r="A979" s="1095"/>
      <c r="B979" s="1454">
        <v>729</v>
      </c>
      <c r="C979" s="1099">
        <v>1.0074585536098442</v>
      </c>
      <c r="D979" s="1099">
        <v>1.0046829298139055</v>
      </c>
      <c r="E979" s="1099">
        <v>0.99058991739396784</v>
      </c>
      <c r="F979" s="1099">
        <v>0.95881728377556874</v>
      </c>
      <c r="G979" s="1099">
        <v>0.97933758183714859</v>
      </c>
      <c r="H979" s="1099">
        <v>1.0053099234891387</v>
      </c>
      <c r="I979" s="1099">
        <v>0.98349916684540784</v>
      </c>
      <c r="K979">
        <v>1.6803196236954214</v>
      </c>
      <c r="L979">
        <v>0</v>
      </c>
      <c r="M979">
        <v>1.3912519611107722E-3</v>
      </c>
      <c r="N979">
        <v>0.12439067441891777</v>
      </c>
      <c r="O979">
        <v>0.12372506990110836</v>
      </c>
      <c r="P979">
        <v>1.7599659086068663E-2</v>
      </c>
      <c r="Q979">
        <v>8.8180882396220346E-4</v>
      </c>
      <c r="R979">
        <v>1.3876685596448445E-3</v>
      </c>
      <c r="S979">
        <v>0.10523463158027138</v>
      </c>
      <c r="T979">
        <v>0.98886305666655383</v>
      </c>
      <c r="U979">
        <v>0</v>
      </c>
      <c r="V979">
        <v>0.20525594717392817</v>
      </c>
      <c r="W979">
        <v>8.2176235596563993E-2</v>
      </c>
      <c r="X979">
        <v>2.841934747497778E-2</v>
      </c>
      <c r="Y979">
        <v>3.776776374535521E-3</v>
      </c>
    </row>
    <row r="980" spans="1:25" x14ac:dyDescent="0.25">
      <c r="A980" s="1095"/>
      <c r="B980" s="1454">
        <v>730</v>
      </c>
      <c r="C980" s="1099">
        <v>0.97264616838338491</v>
      </c>
      <c r="D980" s="1099">
        <v>1.0066770007353931</v>
      </c>
      <c r="E980" s="1099">
        <v>1.0116976739244536</v>
      </c>
      <c r="F980" s="1099">
        <v>0.99037889524006206</v>
      </c>
      <c r="G980" s="1099">
        <v>0.99536974740435258</v>
      </c>
      <c r="H980" s="1099">
        <v>0.98522764056365064</v>
      </c>
      <c r="I980" s="1099">
        <v>1.0114047662075376</v>
      </c>
      <c r="K980">
        <v>1.7357524658786303</v>
      </c>
      <c r="L980">
        <v>0</v>
      </c>
      <c r="M980">
        <v>1.3500151812907938E-3</v>
      </c>
      <c r="N980">
        <v>0.12864424715021644</v>
      </c>
      <c r="O980">
        <v>0.12793758683956016</v>
      </c>
      <c r="P980">
        <v>1.8465515147014316E-2</v>
      </c>
      <c r="Q980">
        <v>9.3282667365393221E-4</v>
      </c>
      <c r="R980">
        <v>1.3464653730534785E-3</v>
      </c>
      <c r="S980">
        <v>0.11053732521129701</v>
      </c>
      <c r="T980">
        <v>1.0207929679983641</v>
      </c>
      <c r="U980">
        <v>0</v>
      </c>
      <c r="V980">
        <v>0.21067151841734855</v>
      </c>
      <c r="W980">
        <v>8.3927691200426979E-2</v>
      </c>
      <c r="X980">
        <v>3.0181702165726448E-2</v>
      </c>
      <c r="Y980">
        <v>3.6646348832606325E-3</v>
      </c>
    </row>
    <row r="981" spans="1:25" x14ac:dyDescent="0.25">
      <c r="A981" s="1095"/>
      <c r="B981" s="1454">
        <v>731</v>
      </c>
      <c r="C981" s="1099">
        <v>1.0170355099834836</v>
      </c>
      <c r="D981" s="1099">
        <v>1.0079055975447024</v>
      </c>
      <c r="E981" s="1099">
        <v>0.96823514721249848</v>
      </c>
      <c r="F981" s="1099">
        <v>0.98457469335897807</v>
      </c>
      <c r="G981" s="1099">
        <v>1.0242616729086671</v>
      </c>
      <c r="H981" s="1099">
        <v>0.99441914492409056</v>
      </c>
      <c r="I981" s="1099">
        <v>1.0146523585344158</v>
      </c>
      <c r="K981">
        <v>1.7054784594263137</v>
      </c>
      <c r="L981">
        <v>0</v>
      </c>
      <c r="M981">
        <v>1.429451295349152E-3</v>
      </c>
      <c r="N981">
        <v>0.11944442560757662</v>
      </c>
      <c r="O981">
        <v>0.12498010969043881</v>
      </c>
      <c r="P981">
        <v>1.7720390851094087E-2</v>
      </c>
      <c r="Q981">
        <v>8.52181080220929E-4</v>
      </c>
      <c r="R981">
        <v>1.4257384792234586E-3</v>
      </c>
      <c r="S981">
        <v>0.10675546933998045</v>
      </c>
      <c r="T981">
        <v>1.0160954242477847</v>
      </c>
      <c r="U981">
        <v>0</v>
      </c>
      <c r="V981">
        <v>0.20783501638422283</v>
      </c>
      <c r="W981">
        <v>7.9981470447877789E-2</v>
      </c>
      <c r="X981">
        <v>2.7937294447361483E-2</v>
      </c>
      <c r="Y981">
        <v>3.8803901458828922E-3</v>
      </c>
    </row>
    <row r="982" spans="1:25" x14ac:dyDescent="0.25">
      <c r="A982" s="1095"/>
      <c r="B982" s="1454">
        <v>732</v>
      </c>
      <c r="C982" s="1099">
        <v>1.0025272285255076</v>
      </c>
      <c r="D982" s="1099">
        <v>1.0130293812997546</v>
      </c>
      <c r="E982" s="1099">
        <v>1.0217105597970955</v>
      </c>
      <c r="F982" s="1099">
        <v>1.0266556423606181</v>
      </c>
      <c r="G982" s="1099">
        <v>1.0058786153899566</v>
      </c>
      <c r="H982" s="1099">
        <v>0.96417861629006441</v>
      </c>
      <c r="I982" s="1099">
        <v>1.0266389256785149</v>
      </c>
      <c r="K982">
        <v>1.7622661662371806</v>
      </c>
      <c r="L982">
        <v>0</v>
      </c>
      <c r="M982">
        <v>1.2577524290748414E-3</v>
      </c>
      <c r="N982">
        <v>0.12352327812798795</v>
      </c>
      <c r="O982">
        <v>0.12886265029019489</v>
      </c>
      <c r="P982">
        <v>1.906694693521456E-2</v>
      </c>
      <c r="Q982">
        <v>9.1208569184775094E-4</v>
      </c>
      <c r="R982">
        <v>1.2543878750693363E-3</v>
      </c>
      <c r="S982">
        <v>0.10734561246703204</v>
      </c>
      <c r="T982">
        <v>1.0578832673985841</v>
      </c>
      <c r="U982">
        <v>0</v>
      </c>
      <c r="V982">
        <v>0.21032943341979471</v>
      </c>
      <c r="W982">
        <v>8.0114841086928318E-2</v>
      </c>
      <c r="X982">
        <v>3.0817385086514857E-2</v>
      </c>
      <c r="Y982">
        <v>3.4140302870868497E-3</v>
      </c>
    </row>
    <row r="983" spans="1:25" x14ac:dyDescent="0.25">
      <c r="A983" s="1095"/>
      <c r="B983" s="1454">
        <v>733</v>
      </c>
      <c r="C983" s="1099">
        <v>0.99420064181135592</v>
      </c>
      <c r="D983" s="1099">
        <v>0.99408524673619725</v>
      </c>
      <c r="E983" s="1099">
        <v>1.0147491775224189</v>
      </c>
      <c r="F983" s="1099">
        <v>1.0012715496837625</v>
      </c>
      <c r="G983" s="1099">
        <v>0.99317066496253614</v>
      </c>
      <c r="H983" s="1099">
        <v>1.0154698438150684</v>
      </c>
      <c r="I983" s="1099">
        <v>1.0095415174636653</v>
      </c>
      <c r="K983">
        <v>1.7516801371017894</v>
      </c>
      <c r="L983">
        <v>0</v>
      </c>
      <c r="M983">
        <v>1.3665493510949722E-3</v>
      </c>
      <c r="N983">
        <v>0.13143675926119242</v>
      </c>
      <c r="O983">
        <v>0.12822606460884423</v>
      </c>
      <c r="P983">
        <v>1.8654902295218767E-2</v>
      </c>
      <c r="Q983">
        <v>9.2009527962506269E-4</v>
      </c>
      <c r="R983">
        <v>1.36308104219449E-3</v>
      </c>
      <c r="S983">
        <v>0.11113828011957157</v>
      </c>
      <c r="T983">
        <v>1.0319305035465507</v>
      </c>
      <c r="U983">
        <v>0</v>
      </c>
      <c r="V983">
        <v>0.20965215744730811</v>
      </c>
      <c r="W983">
        <v>8.5595761738182424E-2</v>
      </c>
      <c r="X983">
        <v>3.0419223856887959E-2</v>
      </c>
      <c r="Y983">
        <v>3.709857257308605E-3</v>
      </c>
    </row>
    <row r="984" spans="1:25" x14ac:dyDescent="0.25">
      <c r="A984" s="1095"/>
      <c r="B984" s="1454">
        <v>734</v>
      </c>
      <c r="C984" s="1099">
        <v>1.0105456153807324</v>
      </c>
      <c r="D984" s="1099">
        <v>0.99195795762391936</v>
      </c>
      <c r="E984" s="1099">
        <v>1.0078096758828383</v>
      </c>
      <c r="F984" s="1099">
        <v>0.97589828998959127</v>
      </c>
      <c r="G984" s="1099">
        <v>0.97552111534006836</v>
      </c>
      <c r="H984" s="1099">
        <v>1.0094568867942992</v>
      </c>
      <c r="I984" s="1099">
        <v>0.98312834701912355</v>
      </c>
      <c r="K984">
        <v>1.707208095428804</v>
      </c>
      <c r="L984">
        <v>0</v>
      </c>
      <c r="M984">
        <v>1.3564044004727195E-3</v>
      </c>
      <c r="N984">
        <v>0.12775438921158103</v>
      </c>
      <c r="O984">
        <v>0.12551510250525505</v>
      </c>
      <c r="P984">
        <v>1.8086634384795287E-2</v>
      </c>
      <c r="Q984">
        <v>8.995328864299019E-4</v>
      </c>
      <c r="R984">
        <v>1.352939662362042E-3</v>
      </c>
      <c r="S984">
        <v>0.1061372849129813</v>
      </c>
      <c r="T984">
        <v>1.0059793630231764</v>
      </c>
      <c r="U984">
        <v>0</v>
      </c>
      <c r="V984">
        <v>0.20613608550149326</v>
      </c>
      <c r="W984">
        <v>8.3538489725234255E-2</v>
      </c>
      <c r="X984">
        <v>2.9482422251458858E-2</v>
      </c>
      <c r="Y984">
        <v>3.6822557645096459E-3</v>
      </c>
    </row>
    <row r="985" spans="1:25" x14ac:dyDescent="0.25">
      <c r="A985" s="1095"/>
      <c r="B985" s="1454">
        <v>735</v>
      </c>
      <c r="C985" s="1099">
        <v>1.0055829024434462</v>
      </c>
      <c r="D985" s="1099">
        <v>0.99639539279557743</v>
      </c>
      <c r="E985" s="1099">
        <v>1.0192468553288661</v>
      </c>
      <c r="F985" s="1099">
        <v>0.98641278306617819</v>
      </c>
      <c r="G985" s="1099">
        <v>1.0163015043264363</v>
      </c>
      <c r="H985" s="1099">
        <v>1.0243137275860679</v>
      </c>
      <c r="I985" s="1099">
        <v>0.96854738218819003</v>
      </c>
      <c r="K985">
        <v>1.7276520501892934</v>
      </c>
      <c r="L985">
        <v>0</v>
      </c>
      <c r="M985">
        <v>1.347844547955107E-3</v>
      </c>
      <c r="N985">
        <v>0.13141170130407681</v>
      </c>
      <c r="O985">
        <v>0.12641886158559038</v>
      </c>
      <c r="P985">
        <v>1.842040160187465E-2</v>
      </c>
      <c r="Q985">
        <v>9.1304613401527429E-4</v>
      </c>
      <c r="R985">
        <v>1.3444505752408971E-3</v>
      </c>
      <c r="S985">
        <v>0.10584733775420571</v>
      </c>
      <c r="T985">
        <v>1.0164871141328826</v>
      </c>
      <c r="U985">
        <v>0</v>
      </c>
      <c r="V985">
        <v>0.20897611179738601</v>
      </c>
      <c r="W985">
        <v>8.5354016094779328E-2</v>
      </c>
      <c r="X985">
        <v>3.0167702489404345E-2</v>
      </c>
      <c r="Y985">
        <v>3.6591512677927049E-3</v>
      </c>
    </row>
    <row r="986" spans="1:25" x14ac:dyDescent="0.25">
      <c r="A986" s="1095"/>
      <c r="B986" s="1454">
        <v>736</v>
      </c>
      <c r="C986" s="1099">
        <v>1.0001402691196846</v>
      </c>
      <c r="D986" s="1099">
        <v>1.0400085501966498</v>
      </c>
      <c r="E986" s="1099">
        <v>1.0358144339043647</v>
      </c>
      <c r="F986" s="1099">
        <v>0.99049739579248608</v>
      </c>
      <c r="G986" s="1099">
        <v>1.0096907522813021</v>
      </c>
      <c r="H986" s="1099">
        <v>1.0025706124255764</v>
      </c>
      <c r="I986" s="1099">
        <v>0.98119820615000763</v>
      </c>
      <c r="K986">
        <v>1.720913845355335</v>
      </c>
      <c r="L986">
        <v>0</v>
      </c>
      <c r="M986">
        <v>1.2493998245185415E-3</v>
      </c>
      <c r="N986">
        <v>0.12804337543732464</v>
      </c>
      <c r="O986">
        <v>0.12513068070522287</v>
      </c>
      <c r="P986">
        <v>1.865202099292948E-2</v>
      </c>
      <c r="Q986">
        <v>9.1782410618865403E-4</v>
      </c>
      <c r="R986">
        <v>1.2461591490055242E-3</v>
      </c>
      <c r="S986">
        <v>0.10356671164906468</v>
      </c>
      <c r="T986">
        <v>1.0202218236766507</v>
      </c>
      <c r="U986">
        <v>0</v>
      </c>
      <c r="V986">
        <v>0.20810355605216643</v>
      </c>
      <c r="W986">
        <v>8.2368708031689594E-2</v>
      </c>
      <c r="X986">
        <v>3.0520750972270444E-2</v>
      </c>
      <c r="Y986">
        <v>3.3916344073399709E-3</v>
      </c>
    </row>
    <row r="987" spans="1:25" x14ac:dyDescent="0.25">
      <c r="A987" s="1095"/>
      <c r="B987" s="1454">
        <v>737</v>
      </c>
      <c r="C987" s="1099">
        <v>0.96286609336991758</v>
      </c>
      <c r="D987" s="1099">
        <v>0.96015122025220279</v>
      </c>
      <c r="E987" s="1099">
        <v>0.98135286382360398</v>
      </c>
      <c r="F987" s="1099">
        <v>1.0257001112606814</v>
      </c>
      <c r="G987" s="1099">
        <v>0.99420252204095061</v>
      </c>
      <c r="H987" s="1099">
        <v>0.96581152639311385</v>
      </c>
      <c r="I987" s="1099">
        <v>0.97596555618823744</v>
      </c>
      <c r="K987">
        <v>1.7816936606933613</v>
      </c>
      <c r="L987">
        <v>0</v>
      </c>
      <c r="M987">
        <v>1.467015658852036E-3</v>
      </c>
      <c r="N987">
        <v>0.12754128623526345</v>
      </c>
      <c r="O987">
        <v>0.13328388391729931</v>
      </c>
      <c r="P987">
        <v>1.8595586624064214E-2</v>
      </c>
      <c r="Q987">
        <v>9.3050984682879615E-4</v>
      </c>
      <c r="R987">
        <v>1.4631239932041554E-3</v>
      </c>
      <c r="S987">
        <v>0.10963832095387695</v>
      </c>
      <c r="T987">
        <v>1.0581273535771956</v>
      </c>
      <c r="U987">
        <v>0</v>
      </c>
      <c r="V987">
        <v>0.21473277017673745</v>
      </c>
      <c r="W987">
        <v>8.4726660078699598E-2</v>
      </c>
      <c r="X987">
        <v>3.0139039758236116E-2</v>
      </c>
      <c r="Y987">
        <v>3.9821411908069777E-3</v>
      </c>
    </row>
    <row r="988" spans="1:25" x14ac:dyDescent="0.25">
      <c r="A988" s="1095"/>
      <c r="B988" s="1454">
        <v>738</v>
      </c>
      <c r="C988" s="1099">
        <v>0.99516985306681149</v>
      </c>
      <c r="D988" s="1099">
        <v>1.012937226385132</v>
      </c>
      <c r="E988" s="1099">
        <v>0.99468333370237538</v>
      </c>
      <c r="F988" s="1099">
        <v>1.0054072301008672</v>
      </c>
      <c r="G988" s="1099">
        <v>0.99621236405708413</v>
      </c>
      <c r="H988" s="1099">
        <v>1.005943603381219</v>
      </c>
      <c r="I988" s="1099">
        <v>0.98749574306924337</v>
      </c>
      <c r="K988">
        <v>1.7423996048996206</v>
      </c>
      <c r="L988">
        <v>0</v>
      </c>
      <c r="M988">
        <v>1.3950400220780184E-3</v>
      </c>
      <c r="N988">
        <v>0.12628304103898094</v>
      </c>
      <c r="O988">
        <v>0.12754634322090708</v>
      </c>
      <c r="P988">
        <v>1.8379851606019688E-2</v>
      </c>
      <c r="Q988">
        <v>8.9358000917047161E-4</v>
      </c>
      <c r="R988">
        <v>1.3914547618722535E-3</v>
      </c>
      <c r="S988">
        <v>0.10669355321973256</v>
      </c>
      <c r="T988">
        <v>1.0367897133685666</v>
      </c>
      <c r="U988">
        <v>0</v>
      </c>
      <c r="V988">
        <v>0.20931026354947399</v>
      </c>
      <c r="W988">
        <v>8.3222487105224091E-2</v>
      </c>
      <c r="X988">
        <v>2.949727587287379E-2</v>
      </c>
      <c r="Y988">
        <v>3.7870811688772996E-3</v>
      </c>
    </row>
    <row r="989" spans="1:25" x14ac:dyDescent="0.25">
      <c r="A989" s="1095"/>
      <c r="B989" s="1454">
        <v>739</v>
      </c>
      <c r="C989" s="1099">
        <v>1.0180192725651644</v>
      </c>
      <c r="D989" s="1099">
        <v>1.0133226632114964</v>
      </c>
      <c r="E989" s="1099">
        <v>1.030530725431791</v>
      </c>
      <c r="F989" s="1099">
        <v>0.9694174496296688</v>
      </c>
      <c r="G989" s="1099">
        <v>1.0286064865205413</v>
      </c>
      <c r="H989" s="1099">
        <v>0.97264399361083254</v>
      </c>
      <c r="I989" s="1099">
        <v>1.0093303465491714</v>
      </c>
      <c r="K989">
        <v>1.6891254153375816</v>
      </c>
      <c r="L989">
        <v>0</v>
      </c>
      <c r="M989">
        <v>1.2221020242853375E-3</v>
      </c>
      <c r="N989">
        <v>0.1232587465887974</v>
      </c>
      <c r="O989">
        <v>0.12379072722907383</v>
      </c>
      <c r="P989">
        <v>1.8277077220265274E-2</v>
      </c>
      <c r="Q989">
        <v>9.0623823549107029E-4</v>
      </c>
      <c r="R989">
        <v>1.21884935437995E-3</v>
      </c>
      <c r="S989">
        <v>0.10426721110869962</v>
      </c>
      <c r="T989">
        <v>0.99865651125424348</v>
      </c>
      <c r="U989">
        <v>0</v>
      </c>
      <c r="V989">
        <v>0.2071965852130962</v>
      </c>
      <c r="W989">
        <v>7.9533773170421845E-2</v>
      </c>
      <c r="X989">
        <v>2.9924491838358325E-2</v>
      </c>
      <c r="Y989">
        <v>3.3173061490405385E-3</v>
      </c>
    </row>
    <row r="990" spans="1:25" x14ac:dyDescent="0.25">
      <c r="A990" s="1095"/>
      <c r="B990" s="1454">
        <v>740</v>
      </c>
      <c r="C990" s="1099">
        <v>1.0098942020729804</v>
      </c>
      <c r="D990" s="1099">
        <v>1.0210143155851041</v>
      </c>
      <c r="E990" s="1099">
        <v>1.008080465604253</v>
      </c>
      <c r="F990" s="1099">
        <v>0.99891625271635942</v>
      </c>
      <c r="G990" s="1099">
        <v>0.99210202039268058</v>
      </c>
      <c r="H990" s="1099">
        <v>0.98006090708835425</v>
      </c>
      <c r="I990" s="1099">
        <v>0.96136261469721518</v>
      </c>
      <c r="K990">
        <v>1.7178560018928839</v>
      </c>
      <c r="L990">
        <v>0</v>
      </c>
      <c r="M990">
        <v>1.2973593975565754E-3</v>
      </c>
      <c r="N990">
        <v>0.12228260296808915</v>
      </c>
      <c r="O990">
        <v>0.12599222450582495</v>
      </c>
      <c r="P990">
        <v>1.8350978452637459E-2</v>
      </c>
      <c r="Q990">
        <v>8.9002678924825478E-4</v>
      </c>
      <c r="R990">
        <v>1.2939341592902826E-3</v>
      </c>
      <c r="S990">
        <v>0.10021674603095697</v>
      </c>
      <c r="T990">
        <v>1.0296988539167724</v>
      </c>
      <c r="U990">
        <v>0</v>
      </c>
      <c r="V990">
        <v>0.20734105797109167</v>
      </c>
      <c r="W990">
        <v>7.9947705593458054E-2</v>
      </c>
      <c r="X990">
        <v>2.9617568666763464E-2</v>
      </c>
      <c r="Y990">
        <v>3.5216622363071757E-3</v>
      </c>
    </row>
    <row r="991" spans="1:25" x14ac:dyDescent="0.25">
      <c r="A991" s="1095"/>
      <c r="B991" s="1454">
        <v>741</v>
      </c>
      <c r="C991" s="1099">
        <v>0.9636615936827283</v>
      </c>
      <c r="D991" s="1099">
        <v>1.0342328579573909</v>
      </c>
      <c r="E991" s="1099">
        <v>1.0259256250342503</v>
      </c>
      <c r="F991" s="1099">
        <v>1.0010610281477306</v>
      </c>
      <c r="G991" s="1099">
        <v>1.0080765662473965</v>
      </c>
      <c r="H991" s="1099">
        <v>0.97842671141137405</v>
      </c>
      <c r="I991" s="1099">
        <v>0.96555966862221154</v>
      </c>
      <c r="K991">
        <v>1.7414691471665298</v>
      </c>
      <c r="L991">
        <v>0</v>
      </c>
      <c r="M991">
        <v>1.2933161420620063E-3</v>
      </c>
      <c r="N991">
        <v>0.12864281598328925</v>
      </c>
      <c r="O991">
        <v>0.12805533840235386</v>
      </c>
      <c r="P991">
        <v>1.873686539227391E-2</v>
      </c>
      <c r="Q991">
        <v>9.4511107735629574E-4</v>
      </c>
      <c r="R991">
        <v>1.289875102957846E-3</v>
      </c>
      <c r="S991">
        <v>0.10432270684573994</v>
      </c>
      <c r="T991">
        <v>1.031387691815751</v>
      </c>
      <c r="U991">
        <v>0</v>
      </c>
      <c r="V991">
        <v>0.21187719325713458</v>
      </c>
      <c r="W991">
        <v>8.3230389565914178E-2</v>
      </c>
      <c r="X991">
        <v>3.0763861042780949E-2</v>
      </c>
      <c r="Y991">
        <v>3.5106148230378445E-3</v>
      </c>
    </row>
    <row r="992" spans="1:25" x14ac:dyDescent="0.25">
      <c r="A992" s="1095"/>
      <c r="B992" s="1454">
        <v>742</v>
      </c>
      <c r="C992" s="1099">
        <v>0.99138938408510657</v>
      </c>
      <c r="D992" s="1099">
        <v>0.9977358203603216</v>
      </c>
      <c r="E992" s="1099">
        <v>0.98582914367962804</v>
      </c>
      <c r="F992" s="1099">
        <v>0.99049239828717228</v>
      </c>
      <c r="G992" s="1099">
        <v>0.9662036336131743</v>
      </c>
      <c r="H992" s="1099">
        <v>0.9800131654330585</v>
      </c>
      <c r="I992" s="1099">
        <v>1.0073937817113088</v>
      </c>
      <c r="K992">
        <v>1.7219284656632408</v>
      </c>
      <c r="L992">
        <v>0</v>
      </c>
      <c r="M992">
        <v>1.3996630129678494E-3</v>
      </c>
      <c r="N992">
        <v>0.12334676844179496</v>
      </c>
      <c r="O992">
        <v>0.12726680943227062</v>
      </c>
      <c r="P992">
        <v>1.8055670033266531E-2</v>
      </c>
      <c r="Q992">
        <v>8.9414004020287475E-4</v>
      </c>
      <c r="R992">
        <v>1.3959752359200871E-3</v>
      </c>
      <c r="S992">
        <v>0.10831171012498921</v>
      </c>
      <c r="T992">
        <v>1.021672586729413</v>
      </c>
      <c r="U992">
        <v>0</v>
      </c>
      <c r="V992">
        <v>0.20783095105134647</v>
      </c>
      <c r="W992">
        <v>8.1719661293186585E-2</v>
      </c>
      <c r="X992">
        <v>2.903447188475379E-2</v>
      </c>
      <c r="Y992">
        <v>3.7993844090616325E-3</v>
      </c>
    </row>
    <row r="993" spans="1:25" x14ac:dyDescent="0.25">
      <c r="A993" s="1095"/>
      <c r="B993" s="1454">
        <v>743</v>
      </c>
      <c r="C993" s="1099">
        <v>0.97663453147212897</v>
      </c>
      <c r="D993" s="1099">
        <v>1.0034023680158906</v>
      </c>
      <c r="E993" s="1099">
        <v>0.98662375230821475</v>
      </c>
      <c r="F993" s="1099">
        <v>0.99264466439374144</v>
      </c>
      <c r="G993" s="1099">
        <v>0.9913873326139554</v>
      </c>
      <c r="H993" s="1099">
        <v>1.0263315295041047</v>
      </c>
      <c r="I993" s="1099">
        <v>0.99052247841134422</v>
      </c>
      <c r="K993">
        <v>1.7425403205612802</v>
      </c>
      <c r="L993">
        <v>0</v>
      </c>
      <c r="M993">
        <v>1.4789898209421257E-3</v>
      </c>
      <c r="N993">
        <v>0.13066599042651214</v>
      </c>
      <c r="O993">
        <v>0.12794804038421412</v>
      </c>
      <c r="P993">
        <v>1.8164426982123495E-2</v>
      </c>
      <c r="Q993">
        <v>9.0634667134169473E-4</v>
      </c>
      <c r="R993">
        <v>1.4752609381293222E-3</v>
      </c>
      <c r="S993">
        <v>0.11092286930805444</v>
      </c>
      <c r="T993">
        <v>1.023868833569852</v>
      </c>
      <c r="U993">
        <v>0</v>
      </c>
      <c r="V993">
        <v>0.2102723786932098</v>
      </c>
      <c r="W993">
        <v>8.6527468125196613E-2</v>
      </c>
      <c r="X993">
        <v>2.9252521329636006E-2</v>
      </c>
      <c r="Y993">
        <v>4.0151739539504615E-3</v>
      </c>
    </row>
    <row r="994" spans="1:25" x14ac:dyDescent="0.25">
      <c r="A994" s="1095"/>
      <c r="B994" s="1454">
        <v>744</v>
      </c>
      <c r="C994" s="1099">
        <v>1.0307166762450575</v>
      </c>
      <c r="D994" s="1099">
        <v>1.0040175629043466</v>
      </c>
      <c r="E994" s="1099">
        <v>0.98637050400552206</v>
      </c>
      <c r="F994" s="1099">
        <v>1.0269395655277489</v>
      </c>
      <c r="G994" s="1099">
        <v>0.98842362917612692</v>
      </c>
      <c r="H994" s="1099">
        <v>1.0059976149427552</v>
      </c>
      <c r="I994" s="1099">
        <v>0.99399671566514058</v>
      </c>
      <c r="K994">
        <v>1.7543571067035115</v>
      </c>
      <c r="L994">
        <v>0</v>
      </c>
      <c r="M994">
        <v>1.3839290990802376E-3</v>
      </c>
      <c r="N994">
        <v>0.12216996426691756</v>
      </c>
      <c r="O994">
        <v>0.1277145077107002</v>
      </c>
      <c r="P994">
        <v>1.8513227845901571E-2</v>
      </c>
      <c r="Q994">
        <v>8.5835271443714296E-4</v>
      </c>
      <c r="R994">
        <v>1.3803948863088458E-3</v>
      </c>
      <c r="S994">
        <v>0.10456290610490264</v>
      </c>
      <c r="T994">
        <v>1.0592503349887898</v>
      </c>
      <c r="U994">
        <v>0</v>
      </c>
      <c r="V994">
        <v>0.20735067495049234</v>
      </c>
      <c r="W994">
        <v>8.0913679035546068E-2</v>
      </c>
      <c r="X994">
        <v>2.927001346511527E-2</v>
      </c>
      <c r="Y994">
        <v>3.756979833480703E-3</v>
      </c>
    </row>
    <row r="995" spans="1:25" x14ac:dyDescent="0.25">
      <c r="A995" s="1095"/>
      <c r="B995" s="1454">
        <v>745</v>
      </c>
      <c r="C995" s="1099">
        <v>0.964095782737726</v>
      </c>
      <c r="D995" s="1099">
        <v>1.011236116386903</v>
      </c>
      <c r="E995" s="1099">
        <v>1.0063843576036335</v>
      </c>
      <c r="F995" s="1099">
        <v>0.99282594130837087</v>
      </c>
      <c r="G995" s="1099">
        <v>0.98856289824930321</v>
      </c>
      <c r="H995" s="1099">
        <v>0.98073549049500941</v>
      </c>
      <c r="I995" s="1099">
        <v>0.99824012163804632</v>
      </c>
      <c r="K995">
        <v>1.7374130882232697</v>
      </c>
      <c r="L995">
        <v>0</v>
      </c>
      <c r="M995">
        <v>1.3664734393278096E-3</v>
      </c>
      <c r="N995">
        <v>0.12813835011167982</v>
      </c>
      <c r="O995">
        <v>0.12835242430878083</v>
      </c>
      <c r="P995">
        <v>1.8419644267198748E-2</v>
      </c>
      <c r="Q995">
        <v>9.3426416542221735E-4</v>
      </c>
      <c r="R995">
        <v>1.362858942487975E-3</v>
      </c>
      <c r="S995">
        <v>0.10939145679593962</v>
      </c>
      <c r="T995">
        <v>1.0234705598032614</v>
      </c>
      <c r="U995">
        <v>0</v>
      </c>
      <c r="V995">
        <v>0.2110801664265417</v>
      </c>
      <c r="W995">
        <v>8.3860175618195323E-2</v>
      </c>
      <c r="X995">
        <v>3.0060408447967868E-2</v>
      </c>
      <c r="Y995">
        <v>3.7092527751226207E-3</v>
      </c>
    </row>
    <row r="996" spans="1:25" x14ac:dyDescent="0.25">
      <c r="A996" s="1095"/>
      <c r="B996" s="1454">
        <v>746</v>
      </c>
      <c r="C996" s="1099">
        <v>0.99334039758703696</v>
      </c>
      <c r="D996" s="1099">
        <v>1.0445471396511321</v>
      </c>
      <c r="E996" s="1099">
        <v>1.0288448157431695</v>
      </c>
      <c r="F996" s="1099">
        <v>0.99141365944343884</v>
      </c>
      <c r="G996" s="1099">
        <v>1.0171767554141975</v>
      </c>
      <c r="H996" s="1099">
        <v>0.99003963476123036</v>
      </c>
      <c r="I996" s="1099">
        <v>1.0008491642783288</v>
      </c>
      <c r="K996">
        <v>1.7215738169565511</v>
      </c>
      <c r="L996">
        <v>0</v>
      </c>
      <c r="M996">
        <v>1.2565946064698361E-3</v>
      </c>
      <c r="N996">
        <v>0.1260990869920468</v>
      </c>
      <c r="O996">
        <v>0.12532431519326001</v>
      </c>
      <c r="P996">
        <v>1.8608018490886551E-2</v>
      </c>
      <c r="Q996">
        <v>9.1596926916447617E-4</v>
      </c>
      <c r="R996">
        <v>1.2532897590612786E-3</v>
      </c>
      <c r="S996">
        <v>0.10517531830774003</v>
      </c>
      <c r="T996">
        <v>1.0213643759069639</v>
      </c>
      <c r="U996">
        <v>0</v>
      </c>
      <c r="V996">
        <v>0.20893941051342757</v>
      </c>
      <c r="W996">
        <v>8.1446213601147219E-2</v>
      </c>
      <c r="X996">
        <v>3.0293371952017898E-2</v>
      </c>
      <c r="Y996">
        <v>3.4110415773067615E-3</v>
      </c>
    </row>
    <row r="997" spans="1:25" x14ac:dyDescent="0.25">
      <c r="A997" s="1095"/>
      <c r="B997" s="1454">
        <v>747</v>
      </c>
      <c r="C997" s="1099">
        <v>0.96951101971548337</v>
      </c>
      <c r="D997" s="1099">
        <v>1.0318149211251333</v>
      </c>
      <c r="E997" s="1099">
        <v>0.99195321500562461</v>
      </c>
      <c r="F997" s="1099">
        <v>1.00509663993843</v>
      </c>
      <c r="G997" s="1099">
        <v>0.9858524727835225</v>
      </c>
      <c r="H997" s="1099">
        <v>1.0089204882650789</v>
      </c>
      <c r="I997" s="1099">
        <v>0.99755691204827257</v>
      </c>
      <c r="K997">
        <v>1.7496102427414084</v>
      </c>
      <c r="L997">
        <v>0</v>
      </c>
      <c r="M997">
        <v>1.4256497212700864E-3</v>
      </c>
      <c r="N997">
        <v>0.12799241861669436</v>
      </c>
      <c r="O997">
        <v>0.12801513484819016</v>
      </c>
      <c r="P997">
        <v>1.8391731462968061E-2</v>
      </c>
      <c r="Q997">
        <v>9.078968206520068E-4</v>
      </c>
      <c r="R997">
        <v>1.4219759312803604E-3</v>
      </c>
      <c r="S997">
        <v>0.10943072319545136</v>
      </c>
      <c r="T997">
        <v>1.0365515463974855</v>
      </c>
      <c r="U997">
        <v>0</v>
      </c>
      <c r="V997">
        <v>0.21046007099601796</v>
      </c>
      <c r="W997">
        <v>8.4486697669278382E-2</v>
      </c>
      <c r="X997">
        <v>2.9507546793955491E-2</v>
      </c>
      <c r="Y997">
        <v>3.8701497307053758E-3</v>
      </c>
    </row>
    <row r="998" spans="1:25" x14ac:dyDescent="0.25">
      <c r="A998" s="1095"/>
      <c r="B998" s="1454">
        <v>748</v>
      </c>
      <c r="C998" s="1099">
        <v>0.99954270472277784</v>
      </c>
      <c r="D998" s="1099">
        <v>0.97597219836547533</v>
      </c>
      <c r="E998" s="1099">
        <v>0.99978449285986004</v>
      </c>
      <c r="F998" s="1099">
        <v>1.0171445488009707</v>
      </c>
      <c r="G998" s="1099">
        <v>0.99478285779038045</v>
      </c>
      <c r="H998" s="1099">
        <v>1.0343083583370525</v>
      </c>
      <c r="I998" s="1099">
        <v>1.0262275280372262</v>
      </c>
      <c r="K998">
        <v>1.7786211667061702</v>
      </c>
      <c r="L998">
        <v>0</v>
      </c>
      <c r="M998">
        <v>1.4463561188039116E-3</v>
      </c>
      <c r="N998">
        <v>0.13297438090786992</v>
      </c>
      <c r="O998">
        <v>0.12994848032436937</v>
      </c>
      <c r="P998">
        <v>1.8746146778366096E-2</v>
      </c>
      <c r="Q998">
        <v>9.0779475372426992E-4</v>
      </c>
      <c r="R998">
        <v>1.4427711851683058E-3</v>
      </c>
      <c r="S998">
        <v>0.1151358717170412</v>
      </c>
      <c r="T998">
        <v>1.0487387282898133</v>
      </c>
      <c r="U998">
        <v>0</v>
      </c>
      <c r="V998">
        <v>0.21062281033139688</v>
      </c>
      <c r="W998">
        <v>8.7366319382066529E-2</v>
      </c>
      <c r="X998">
        <v>3.0257471598524602E-2</v>
      </c>
      <c r="Y998">
        <v>3.9267475566347604E-3</v>
      </c>
    </row>
    <row r="999" spans="1:25" x14ac:dyDescent="0.25">
      <c r="A999" s="1095"/>
      <c r="B999" s="1454">
        <v>749</v>
      </c>
      <c r="C999" s="1099">
        <v>1.022584014196114</v>
      </c>
      <c r="D999" s="1099">
        <v>0.99064362123834826</v>
      </c>
      <c r="E999" s="1099">
        <v>0.9948670541656458</v>
      </c>
      <c r="F999" s="1099">
        <v>1.0048116238756015</v>
      </c>
      <c r="G999" s="1099">
        <v>1.0023819806005365</v>
      </c>
      <c r="H999" s="1099">
        <v>1.0215402855816267</v>
      </c>
      <c r="I999" s="1099">
        <v>1.0168621473746469</v>
      </c>
      <c r="K999">
        <v>1.7436943979891619</v>
      </c>
      <c r="L999">
        <v>0</v>
      </c>
      <c r="M999">
        <v>1.3994314976160233E-3</v>
      </c>
      <c r="N999">
        <v>0.12675797328407373</v>
      </c>
      <c r="O999">
        <v>0.12712223848666354</v>
      </c>
      <c r="P999">
        <v>1.8395879655540352E-2</v>
      </c>
      <c r="Q999">
        <v>8.7756773313927411E-4</v>
      </c>
      <c r="R999">
        <v>1.3959124952810102E-3</v>
      </c>
      <c r="S999">
        <v>0.10964872929326523</v>
      </c>
      <c r="T999">
        <v>1.0361699996175862</v>
      </c>
      <c r="U999">
        <v>0</v>
      </c>
      <c r="V999">
        <v>0.20796728787173835</v>
      </c>
      <c r="W999">
        <v>8.3526316095626579E-2</v>
      </c>
      <c r="X999">
        <v>2.9432711304138579E-2</v>
      </c>
      <c r="Y999">
        <v>3.7992136497245117E-3</v>
      </c>
    </row>
    <row r="1000" spans="1:25" x14ac:dyDescent="0.25">
      <c r="A1000" s="1095"/>
      <c r="B1000" s="1454">
        <v>750</v>
      </c>
      <c r="C1000" s="1099">
        <v>0.96172353298313218</v>
      </c>
      <c r="D1000" s="1099">
        <v>0.97579673392692134</v>
      </c>
      <c r="E1000" s="1099">
        <v>0.99329176667286478</v>
      </c>
      <c r="F1000" s="1099">
        <v>0.98682124508995583</v>
      </c>
      <c r="G1000" s="1099">
        <v>0.9841262112847623</v>
      </c>
      <c r="H1000" s="1099">
        <v>1.0048641574667432</v>
      </c>
      <c r="I1000" s="1099">
        <v>1.0263672273030366</v>
      </c>
      <c r="K1000">
        <v>1.7492256654694647</v>
      </c>
      <c r="L1000">
        <v>0</v>
      </c>
      <c r="M1000">
        <v>1.4714484442679438E-3</v>
      </c>
      <c r="N1000">
        <v>0.13264112714618975</v>
      </c>
      <c r="O1000">
        <v>0.12960740858083544</v>
      </c>
      <c r="P1000">
        <v>1.8274912848725403E-2</v>
      </c>
      <c r="Q1000">
        <v>9.3721898305966251E-4</v>
      </c>
      <c r="R1000">
        <v>1.4676717715562911E-3</v>
      </c>
      <c r="S1000">
        <v>0.11699044304881222</v>
      </c>
      <c r="T1000">
        <v>1.0176646587069547</v>
      </c>
      <c r="U1000">
        <v>0</v>
      </c>
      <c r="V1000">
        <v>0.21181081342264241</v>
      </c>
      <c r="W1000">
        <v>8.7485235495737362E-2</v>
      </c>
      <c r="X1000">
        <v>2.9823105164911091E-2</v>
      </c>
      <c r="Y1000">
        <v>3.9945187443067602E-3</v>
      </c>
    </row>
    <row r="1001" spans="1:25" x14ac:dyDescent="0.25">
      <c r="A1001" s="1095"/>
      <c r="B1001" s="1454">
        <v>751</v>
      </c>
      <c r="C1001" s="1099">
        <v>1.002745514800218</v>
      </c>
      <c r="D1001" s="1099">
        <v>1.0242627104777735</v>
      </c>
      <c r="E1001" s="1099">
        <v>0.9803318125094338</v>
      </c>
      <c r="F1001" s="1099">
        <v>0.98744928645712626</v>
      </c>
      <c r="G1001" s="1099">
        <v>1.0070191919075493</v>
      </c>
      <c r="H1001" s="1099">
        <v>1.0271982669353137</v>
      </c>
      <c r="I1001" s="1099">
        <v>0.99410173228571075</v>
      </c>
      <c r="K1001">
        <v>1.7188323271125292</v>
      </c>
      <c r="L1001">
        <v>0</v>
      </c>
      <c r="M1001">
        <v>1.4455567728765409E-3</v>
      </c>
      <c r="N1001">
        <v>0.12530415529049937</v>
      </c>
      <c r="O1001">
        <v>0.12523981595981915</v>
      </c>
      <c r="P1001">
        <v>1.792690290469166E-2</v>
      </c>
      <c r="Q1001">
        <v>8.697670737547944E-4</v>
      </c>
      <c r="R1001">
        <v>1.4419075612277549E-3</v>
      </c>
      <c r="S1001">
        <v>0.10722889710499635</v>
      </c>
      <c r="T1001">
        <v>1.0186977870717555</v>
      </c>
      <c r="U1001">
        <v>0</v>
      </c>
      <c r="V1001">
        <v>0.20789028882423022</v>
      </c>
      <c r="W1001">
        <v>8.3291818953890873E-2</v>
      </c>
      <c r="X1001">
        <v>2.8462146083578527E-2</v>
      </c>
      <c r="Y1001">
        <v>3.9243970569621369E-3</v>
      </c>
    </row>
    <row r="1002" spans="1:25" x14ac:dyDescent="0.25">
      <c r="A1002" s="1095"/>
      <c r="B1002" s="1454">
        <v>752</v>
      </c>
      <c r="C1002" s="1099">
        <v>0.9791910653520185</v>
      </c>
      <c r="D1002" s="1099">
        <v>0.9866960261889608</v>
      </c>
      <c r="E1002" s="1099">
        <v>0.96528354714321773</v>
      </c>
      <c r="F1002" s="1099">
        <v>1.0041485435514625</v>
      </c>
      <c r="G1002" s="1099">
        <v>0.99612706279882512</v>
      </c>
      <c r="H1002" s="1099">
        <v>1.0116458968389357</v>
      </c>
      <c r="I1002" s="1099">
        <v>0.98223833965496765</v>
      </c>
      <c r="K1002">
        <v>1.7514001568289654</v>
      </c>
      <c r="L1002">
        <v>0</v>
      </c>
      <c r="M1002">
        <v>1.5365181330172723E-3</v>
      </c>
      <c r="N1002">
        <v>0.12725475573670161</v>
      </c>
      <c r="O1002">
        <v>0.12938102702523888</v>
      </c>
      <c r="P1002">
        <v>1.8037578020516216E-2</v>
      </c>
      <c r="Q1002">
        <v>8.8990215224227383E-4</v>
      </c>
      <c r="R1002">
        <v>1.532605116556464E-3</v>
      </c>
      <c r="S1002">
        <v>0.10986468181845956</v>
      </c>
      <c r="T1002">
        <v>1.0363869743929506</v>
      </c>
      <c r="U1002">
        <v>0</v>
      </c>
      <c r="V1002">
        <v>0.21132979287513334</v>
      </c>
      <c r="W1002">
        <v>8.5364974686075651E-2</v>
      </c>
      <c r="X1002">
        <v>2.872313723398149E-2</v>
      </c>
      <c r="Y1002">
        <v>4.1712459041258042E-3</v>
      </c>
    </row>
    <row r="1003" spans="1:25" x14ac:dyDescent="0.25">
      <c r="A1003" s="1095"/>
      <c r="B1003" s="1454">
        <v>753</v>
      </c>
      <c r="C1003" s="1099">
        <v>0.99807545334879377</v>
      </c>
      <c r="D1003" s="1099">
        <v>1.0120850458524524</v>
      </c>
      <c r="E1003" s="1099">
        <v>1.0095237271969417</v>
      </c>
      <c r="F1003" s="1099">
        <v>1.0135926100701085</v>
      </c>
      <c r="G1003" s="1099">
        <v>0.9766635233465667</v>
      </c>
      <c r="H1003" s="1099">
        <v>1.0076485370985218</v>
      </c>
      <c r="I1003" s="1099">
        <v>0.99224783975736297</v>
      </c>
      <c r="K1003">
        <v>1.7539112736975599</v>
      </c>
      <c r="L1003">
        <v>0</v>
      </c>
      <c r="M1003">
        <v>1.3530146547104029E-3</v>
      </c>
      <c r="N1003">
        <v>0.12809524498954616</v>
      </c>
      <c r="O1003">
        <v>0.12811349766048605</v>
      </c>
      <c r="P1003">
        <v>1.8690684527676645E-2</v>
      </c>
      <c r="Q1003">
        <v>9.050828701306047E-4</v>
      </c>
      <c r="R1003">
        <v>1.3495470684116871E-3</v>
      </c>
      <c r="S1003">
        <v>0.10715851166317182</v>
      </c>
      <c r="T1003">
        <v>1.0447843736501683</v>
      </c>
      <c r="U1003">
        <v>0</v>
      </c>
      <c r="V1003">
        <v>0.20861266782153978</v>
      </c>
      <c r="W1003">
        <v>8.3676668331837289E-2</v>
      </c>
      <c r="X1003">
        <v>3.0204987527155294E-2</v>
      </c>
      <c r="Y1003">
        <v>3.6730222421450737E-3</v>
      </c>
    </row>
    <row r="1004" spans="1:25" x14ac:dyDescent="0.25">
      <c r="A1004" s="1095"/>
      <c r="B1004" s="1454">
        <v>754</v>
      </c>
      <c r="C1004" s="1099">
        <v>1.0112465933625467</v>
      </c>
      <c r="D1004" s="1099">
        <v>1.0152425604338038</v>
      </c>
      <c r="E1004" s="1099">
        <v>0.98740359360125796</v>
      </c>
      <c r="F1004" s="1099">
        <v>1.031130023287292</v>
      </c>
      <c r="G1004" s="1099">
        <v>1.0017820114379772</v>
      </c>
      <c r="H1004" s="1099">
        <v>0.99533237304381306</v>
      </c>
      <c r="I1004" s="1099">
        <v>1.0157933445214689</v>
      </c>
      <c r="K1004">
        <v>1.7649839551628805</v>
      </c>
      <c r="L1004">
        <v>0</v>
      </c>
      <c r="M1004">
        <v>1.3818698731252581E-3</v>
      </c>
      <c r="N1004">
        <v>0.12236548278580878</v>
      </c>
      <c r="O1004">
        <v>0.12850834761272578</v>
      </c>
      <c r="P1004">
        <v>1.8651846335431151E-2</v>
      </c>
      <c r="Q1004">
        <v>8.7193690306959515E-4</v>
      </c>
      <c r="R1004">
        <v>1.378291259907937E-3</v>
      </c>
      <c r="S1004">
        <v>0.10733998619459696</v>
      </c>
      <c r="T1004">
        <v>1.0635405547194028</v>
      </c>
      <c r="U1004">
        <v>0</v>
      </c>
      <c r="V1004">
        <v>0.20947153002610441</v>
      </c>
      <c r="W1004">
        <v>8.0992907375198056E-2</v>
      </c>
      <c r="X1004">
        <v>2.949368736788073E-2</v>
      </c>
      <c r="Y1004">
        <v>3.7512544558776849E-3</v>
      </c>
    </row>
    <row r="1005" spans="1:25" x14ac:dyDescent="0.25">
      <c r="A1005" s="1095"/>
      <c r="B1005" s="1454">
        <v>755</v>
      </c>
      <c r="C1005" s="1099">
        <v>1.0177896006226925</v>
      </c>
      <c r="D1005" s="1099">
        <v>1.0044179901140329</v>
      </c>
      <c r="E1005" s="1099">
        <v>1.0361537741792608</v>
      </c>
      <c r="F1005" s="1099">
        <v>0.9759856686688867</v>
      </c>
      <c r="G1005" s="1099">
        <v>0.99329352750819455</v>
      </c>
      <c r="H1005" s="1099">
        <v>0.98419888575586689</v>
      </c>
      <c r="I1005" s="1099">
        <v>0.99455018738274326</v>
      </c>
      <c r="K1005">
        <v>1.7005476786182219</v>
      </c>
      <c r="L1005">
        <v>0</v>
      </c>
      <c r="M1005">
        <v>1.2295364044348036E-3</v>
      </c>
      <c r="N1005">
        <v>0.12613272730215583</v>
      </c>
      <c r="O1005">
        <v>0.12471448406171307</v>
      </c>
      <c r="P1005">
        <v>1.8427636693782994E-2</v>
      </c>
      <c r="Q1005">
        <v>9.1487391717709064E-4</v>
      </c>
      <c r="R1005">
        <v>1.2263095449306068E-3</v>
      </c>
      <c r="S1005">
        <v>0.10415886588409573</v>
      </c>
      <c r="T1005">
        <v>1.0052651128409589</v>
      </c>
      <c r="U1005">
        <v>0</v>
      </c>
      <c r="V1005">
        <v>0.2061214614235711</v>
      </c>
      <c r="W1005">
        <v>8.1123705495258699E-2</v>
      </c>
      <c r="X1005">
        <v>3.0354427530542884E-2</v>
      </c>
      <c r="Y1005">
        <v>3.3376103284682712E-3</v>
      </c>
    </row>
    <row r="1006" spans="1:25" x14ac:dyDescent="0.25">
      <c r="A1006" s="1095"/>
      <c r="B1006" s="1454">
        <v>756</v>
      </c>
      <c r="C1006" s="1099">
        <v>1.022146431911346</v>
      </c>
      <c r="D1006" s="1099">
        <v>0.99645043870863681</v>
      </c>
      <c r="E1006" s="1099">
        <v>1.0121445041126083</v>
      </c>
      <c r="F1006" s="1099">
        <v>0.96949374334609539</v>
      </c>
      <c r="G1006" s="1099">
        <v>1.0486956674302967</v>
      </c>
      <c r="H1006" s="1099">
        <v>0.98759055899157866</v>
      </c>
      <c r="I1006" s="1099">
        <v>0.96600928188179525</v>
      </c>
      <c r="K1006">
        <v>1.6894850918910276</v>
      </c>
      <c r="L1006">
        <v>0</v>
      </c>
      <c r="M1006">
        <v>1.297252099716836E-3</v>
      </c>
      <c r="N1006">
        <v>0.12378539931643243</v>
      </c>
      <c r="O1006">
        <v>0.12426324462629917</v>
      </c>
      <c r="P1006">
        <v>1.801639118422263E-2</v>
      </c>
      <c r="Q1006">
        <v>8.9169518841330652E-4</v>
      </c>
      <c r="R1006">
        <v>1.2938635242419135E-3</v>
      </c>
      <c r="S1006">
        <v>0.10140547290361084</v>
      </c>
      <c r="T1006">
        <v>0.99925371858653844</v>
      </c>
      <c r="U1006">
        <v>0</v>
      </c>
      <c r="V1006">
        <v>0.2082727042579853</v>
      </c>
      <c r="W1006">
        <v>8.0736528412817532E-2</v>
      </c>
      <c r="X1006">
        <v>2.9341855999189918E-2</v>
      </c>
      <c r="Y1006">
        <v>3.521469990990352E-3</v>
      </c>
    </row>
    <row r="1007" spans="1:25" x14ac:dyDescent="0.25">
      <c r="A1007" s="1095"/>
      <c r="B1007" s="1454">
        <v>757</v>
      </c>
      <c r="C1007" s="1099">
        <v>1.0039184926795901</v>
      </c>
      <c r="D1007" s="1099">
        <v>0.98421834193984981</v>
      </c>
      <c r="E1007" s="1099">
        <v>1.0251563161399353</v>
      </c>
      <c r="F1007" s="1099">
        <v>0.96389527415585052</v>
      </c>
      <c r="G1007" s="1099">
        <v>1.0209391184144121</v>
      </c>
      <c r="H1007" s="1099">
        <v>0.98186075428191744</v>
      </c>
      <c r="I1007" s="1099">
        <v>1.022406286418329</v>
      </c>
      <c r="K1007">
        <v>1.6992932159829264</v>
      </c>
      <c r="L1007">
        <v>0</v>
      </c>
      <c r="M1007">
        <v>1.2847366161819426E-3</v>
      </c>
      <c r="N1007">
        <v>0.12749765770363938</v>
      </c>
      <c r="O1007">
        <v>0.12534652728157616</v>
      </c>
      <c r="P1007">
        <v>1.822117449007634E-2</v>
      </c>
      <c r="Q1007">
        <v>9.2465125348873626E-4</v>
      </c>
      <c r="R1007">
        <v>1.2813620169971887E-3</v>
      </c>
      <c r="S1007">
        <v>0.1095775555635102</v>
      </c>
      <c r="T1007">
        <v>0.99311750122124565</v>
      </c>
      <c r="U1007">
        <v>0</v>
      </c>
      <c r="V1007">
        <v>0.20853287184151176</v>
      </c>
      <c r="W1007">
        <v>8.2526460001410992E-2</v>
      </c>
      <c r="X1007">
        <v>3.0064746216261172E-2</v>
      </c>
      <c r="Y1007">
        <v>3.4874450093909668E-3</v>
      </c>
    </row>
    <row r="1008" spans="1:25" x14ac:dyDescent="0.25">
      <c r="A1008" s="1095"/>
      <c r="B1008" s="1454">
        <v>758</v>
      </c>
      <c r="C1008" s="1099">
        <v>0.96605788232650036</v>
      </c>
      <c r="D1008" s="1099">
        <v>1.0369978588833046</v>
      </c>
      <c r="E1008" s="1099">
        <v>1.0266851158923835</v>
      </c>
      <c r="F1008" s="1099">
        <v>0.99906237295963185</v>
      </c>
      <c r="G1008" s="1099">
        <v>1.017146986211334</v>
      </c>
      <c r="H1008" s="1099">
        <v>1.0098922660345504</v>
      </c>
      <c r="I1008" s="1099">
        <v>1.0222791038759207</v>
      </c>
      <c r="K1008">
        <v>1.7532547887044814</v>
      </c>
      <c r="L1008">
        <v>0</v>
      </c>
      <c r="M1008">
        <v>1.3274523315466922E-3</v>
      </c>
      <c r="N1008">
        <v>0.13235182997023653</v>
      </c>
      <c r="O1008">
        <v>0.1276526167040147</v>
      </c>
      <c r="P1008">
        <v>1.8829467637216324E-2</v>
      </c>
      <c r="Q1008">
        <v>9.4249202640156232E-4</v>
      </c>
      <c r="R1008">
        <v>1.3240289109621745E-3</v>
      </c>
      <c r="S1008">
        <v>0.11227083099252956</v>
      </c>
      <c r="T1008">
        <v>1.0293065237608108</v>
      </c>
      <c r="U1008">
        <v>0</v>
      </c>
      <c r="V1008">
        <v>0.21191737979500511</v>
      </c>
      <c r="W1008">
        <v>8.5592225350507423E-2</v>
      </c>
      <c r="X1008">
        <v>3.0791275658718E-2</v>
      </c>
      <c r="Y1008">
        <v>3.6035702296258417E-3</v>
      </c>
    </row>
    <row r="1009" spans="1:25" x14ac:dyDescent="0.25">
      <c r="A1009" s="1095"/>
      <c r="B1009" s="1454">
        <v>759</v>
      </c>
      <c r="C1009" s="1099">
        <v>1.0104603080504355</v>
      </c>
      <c r="D1009" s="1099">
        <v>0.95964397324870288</v>
      </c>
      <c r="E1009" s="1099">
        <v>1.04694381309831</v>
      </c>
      <c r="F1009" s="1099">
        <v>0.99149679324996187</v>
      </c>
      <c r="G1009" s="1099">
        <v>1.0301845621540444</v>
      </c>
      <c r="H1009" s="1099">
        <v>0.99215593620558007</v>
      </c>
      <c r="I1009" s="1099">
        <v>1.0190059967916516</v>
      </c>
      <c r="K1009">
        <v>1.7441862543729501</v>
      </c>
      <c r="L1009">
        <v>0</v>
      </c>
      <c r="M1009">
        <v>1.2548123552822909E-3</v>
      </c>
      <c r="N1009">
        <v>0.13298400357850809</v>
      </c>
      <c r="O1009">
        <v>0.12838412467854007</v>
      </c>
      <c r="P1009">
        <v>1.8956903357018742E-2</v>
      </c>
      <c r="Q1009">
        <v>9.4879963297870315E-4</v>
      </c>
      <c r="R1009">
        <v>1.2515759774811115E-3</v>
      </c>
      <c r="S1009">
        <v>0.1112149810923877</v>
      </c>
      <c r="T1009">
        <v>1.0209366831035469</v>
      </c>
      <c r="U1009">
        <v>0</v>
      </c>
      <c r="V1009">
        <v>0.21071580231710799</v>
      </c>
      <c r="W1009">
        <v>8.5000945202084038E-2</v>
      </c>
      <c r="X1009">
        <v>3.1640870559784422E-2</v>
      </c>
      <c r="Y1009">
        <v>3.4063772287934915E-3</v>
      </c>
    </row>
    <row r="1010" spans="1:25" x14ac:dyDescent="0.25">
      <c r="A1010" s="1095"/>
      <c r="B1010" s="1454">
        <v>760</v>
      </c>
      <c r="C1010" s="1099">
        <v>1.0007078610461908</v>
      </c>
      <c r="D1010" s="1099">
        <v>0.99154194032293352</v>
      </c>
      <c r="E1010" s="1099">
        <v>1.0388849746497042</v>
      </c>
      <c r="F1010" s="1099">
        <v>0.99530651719244501</v>
      </c>
      <c r="G1010" s="1099">
        <v>1.013035764437018</v>
      </c>
      <c r="H1010" s="1099">
        <v>1.0063811946852572</v>
      </c>
      <c r="I1010" s="1099">
        <v>1.0278559905805404</v>
      </c>
      <c r="K1010">
        <v>1.7468365157529573</v>
      </c>
      <c r="L1010">
        <v>0</v>
      </c>
      <c r="M1010">
        <v>1.2815058942145477E-3</v>
      </c>
      <c r="N1010">
        <v>0.13255892693729204</v>
      </c>
      <c r="O1010">
        <v>0.12764808277023759</v>
      </c>
      <c r="P1010">
        <v>1.8905066342081299E-2</v>
      </c>
      <c r="Q1010">
        <v>9.3790508293197232E-4</v>
      </c>
      <c r="R1010">
        <v>1.2782257140512546E-3</v>
      </c>
      <c r="S1010">
        <v>0.11198661862763917</v>
      </c>
      <c r="T1010">
        <v>1.0250877926160895</v>
      </c>
      <c r="U1010">
        <v>0</v>
      </c>
      <c r="V1010">
        <v>0.20989509864378131</v>
      </c>
      <c r="W1010">
        <v>8.5122523862643767E-2</v>
      </c>
      <c r="X1010">
        <v>3.1218872023768319E-2</v>
      </c>
      <c r="Y1010">
        <v>3.4789090266541226E-3</v>
      </c>
    </row>
    <row r="1011" spans="1:25" x14ac:dyDescent="0.25">
      <c r="A1011" s="1095"/>
      <c r="B1011" s="1454">
        <v>761</v>
      </c>
      <c r="C1011" s="1099">
        <v>1.0037831046580943</v>
      </c>
      <c r="D1011" s="1099">
        <v>0.97500626063933193</v>
      </c>
      <c r="E1011" s="1099">
        <v>0.98885669245341712</v>
      </c>
      <c r="F1011" s="1099">
        <v>0.99025687362206649</v>
      </c>
      <c r="G1011" s="1099">
        <v>0.97479398762653513</v>
      </c>
      <c r="H1011" s="1099">
        <v>1.0200123666695942</v>
      </c>
      <c r="I1011" s="1099">
        <v>1.0139432157845631</v>
      </c>
      <c r="K1011">
        <v>1.7356560572549795</v>
      </c>
      <c r="L1011">
        <v>0</v>
      </c>
      <c r="M1011">
        <v>1.4507871791037111E-3</v>
      </c>
      <c r="N1011">
        <v>0.12904316189175932</v>
      </c>
      <c r="O1011">
        <v>0.12766691410997869</v>
      </c>
      <c r="P1011">
        <v>1.8145118114272493E-2</v>
      </c>
      <c r="Q1011">
        <v>8.9409912569349736E-4</v>
      </c>
      <c r="R1011">
        <v>1.447134173758674E-3</v>
      </c>
      <c r="S1011">
        <v>0.1121533263655414</v>
      </c>
      <c r="T1011">
        <v>1.0213393936549435</v>
      </c>
      <c r="U1011">
        <v>0</v>
      </c>
      <c r="V1011">
        <v>0.20788064063356615</v>
      </c>
      <c r="W1011">
        <v>8.5338390170575498E-2</v>
      </c>
      <c r="X1011">
        <v>2.926004402067393E-2</v>
      </c>
      <c r="Y1011">
        <v>3.9386221733189392E-3</v>
      </c>
    </row>
    <row r="1012" spans="1:25" x14ac:dyDescent="0.25">
      <c r="A1012" s="1095"/>
      <c r="B1012" s="1454">
        <v>762</v>
      </c>
      <c r="C1012" s="1099">
        <v>0.98581259923148623</v>
      </c>
      <c r="D1012" s="1099">
        <v>1.0187536552737293</v>
      </c>
      <c r="E1012" s="1099">
        <v>0.99317547841970977</v>
      </c>
      <c r="F1012" s="1099">
        <v>0.99032787936805489</v>
      </c>
      <c r="G1012" s="1099">
        <v>0.99006142831863531</v>
      </c>
      <c r="H1012" s="1099">
        <v>1.0004644267947422</v>
      </c>
      <c r="I1012" s="1099">
        <v>1.0011533227187299</v>
      </c>
      <c r="K1012">
        <v>1.7260723598378485</v>
      </c>
      <c r="L1012">
        <v>0</v>
      </c>
      <c r="M1012">
        <v>1.3973626386095969E-3</v>
      </c>
      <c r="N1012">
        <v>0.1259152902593495</v>
      </c>
      <c r="O1012">
        <v>0.12662263302926691</v>
      </c>
      <c r="P1012">
        <v>1.8163966056273677E-2</v>
      </c>
      <c r="Q1012">
        <v>8.9858771320883287E-4</v>
      </c>
      <c r="R1012">
        <v>1.3937403258132161E-3</v>
      </c>
      <c r="S1012">
        <v>0.1082777386062727</v>
      </c>
      <c r="T1012">
        <v>1.0212843406310168</v>
      </c>
      <c r="U1012">
        <v>0</v>
      </c>
      <c r="V1012">
        <v>0.2088520494267356</v>
      </c>
      <c r="W1012">
        <v>8.3054890450893981E-2</v>
      </c>
      <c r="X1012">
        <v>2.9213184257136354E-2</v>
      </c>
      <c r="Y1012">
        <v>3.7933017204886486E-3</v>
      </c>
    </row>
    <row r="1013" spans="1:25" x14ac:dyDescent="0.25">
      <c r="A1013" s="1095"/>
      <c r="B1013" s="1454">
        <v>763</v>
      </c>
      <c r="C1013" s="1099">
        <v>0.97041818648949074</v>
      </c>
      <c r="D1013" s="1099">
        <v>0.9779733857042322</v>
      </c>
      <c r="E1013" s="1099">
        <v>0.96884258528241252</v>
      </c>
      <c r="F1013" s="1099">
        <v>1.0240918476482181</v>
      </c>
      <c r="G1013" s="1099">
        <v>1.013576178831294</v>
      </c>
      <c r="H1013" s="1099">
        <v>1.0068399499884275</v>
      </c>
      <c r="I1013" s="1099">
        <v>1.0288429925439317</v>
      </c>
      <c r="K1013">
        <v>1.7878342594803671</v>
      </c>
      <c r="L1013">
        <v>0</v>
      </c>
      <c r="M1013">
        <v>1.5412731295721164E-3</v>
      </c>
      <c r="N1013">
        <v>0.12903119423152776</v>
      </c>
      <c r="O1013">
        <v>0.13181750178340834</v>
      </c>
      <c r="P1013">
        <v>1.8487244785401695E-2</v>
      </c>
      <c r="Q1013">
        <v>9.0453289492092219E-4</v>
      </c>
      <c r="R1013">
        <v>1.5373396828776799E-3</v>
      </c>
      <c r="S1013">
        <v>0.11647620246914314</v>
      </c>
      <c r="T1013">
        <v>1.0568586257412931</v>
      </c>
      <c r="U1013">
        <v>0</v>
      </c>
      <c r="V1013">
        <v>0.21428775972711514</v>
      </c>
      <c r="W1013">
        <v>8.636891556012305E-2</v>
      </c>
      <c r="X1013">
        <v>2.9422083901224447E-2</v>
      </c>
      <c r="Y1013">
        <v>4.1841318329027847E-3</v>
      </c>
    </row>
    <row r="1014" spans="1:25" x14ac:dyDescent="0.25">
      <c r="A1014" s="1095"/>
      <c r="B1014" s="1454">
        <v>764</v>
      </c>
      <c r="C1014" s="1099">
        <v>1.0206312582142427</v>
      </c>
      <c r="D1014" s="1099">
        <v>1.0450636045399295</v>
      </c>
      <c r="E1014" s="1099">
        <v>0.97696793469154508</v>
      </c>
      <c r="F1014" s="1099">
        <v>0.98742707899602333</v>
      </c>
      <c r="G1014" s="1099">
        <v>0.98799770993339098</v>
      </c>
      <c r="H1014" s="1099">
        <v>0.98819568792061796</v>
      </c>
      <c r="I1014" s="1099">
        <v>1.003313445524965</v>
      </c>
      <c r="K1014">
        <v>1.694501137185592</v>
      </c>
      <c r="L1014">
        <v>0</v>
      </c>
      <c r="M1014">
        <v>1.3615338583723676E-3</v>
      </c>
      <c r="N1014">
        <v>0.11681321145870689</v>
      </c>
      <c r="O1014">
        <v>0.12343112646703749</v>
      </c>
      <c r="P1014">
        <v>1.7778634451332313E-2</v>
      </c>
      <c r="Q1014">
        <v>8.4469557883612174E-4</v>
      </c>
      <c r="R1014">
        <v>1.3579524934581044E-3</v>
      </c>
      <c r="S1014">
        <v>0.10249435698232055</v>
      </c>
      <c r="T1014">
        <v>1.018775734251776</v>
      </c>
      <c r="U1014">
        <v>0</v>
      </c>
      <c r="V1014">
        <v>0.2049071115564865</v>
      </c>
      <c r="W1014">
        <v>7.7805789854877308E-2</v>
      </c>
      <c r="X1014">
        <v>2.7958158910857372E-2</v>
      </c>
      <c r="Y1014">
        <v>3.6958990382738007E-3</v>
      </c>
    </row>
    <row r="1015" spans="1:25" x14ac:dyDescent="0.25">
      <c r="A1015" s="1095"/>
      <c r="B1015" s="1454">
        <v>765</v>
      </c>
      <c r="C1015" s="1099">
        <v>0.96629210282036471</v>
      </c>
      <c r="D1015" s="1099">
        <v>1.0142348498072125</v>
      </c>
      <c r="E1015" s="1099">
        <v>1.0076907981018188</v>
      </c>
      <c r="F1015" s="1099">
        <v>0.99589188514868665</v>
      </c>
      <c r="G1015" s="1099">
        <v>1.0009328589999691</v>
      </c>
      <c r="H1015" s="1099">
        <v>1.0140388835159793</v>
      </c>
      <c r="I1015" s="1099">
        <v>1.0360571607706826</v>
      </c>
      <c r="K1015">
        <v>1.7542151099380874</v>
      </c>
      <c r="L1015">
        <v>0</v>
      </c>
      <c r="M1015">
        <v>1.4040704274114462E-3</v>
      </c>
      <c r="N1015">
        <v>0.13219586034637479</v>
      </c>
      <c r="O1015">
        <v>0.12834371882526388</v>
      </c>
      <c r="P1015">
        <v>1.8571772272426134E-2</v>
      </c>
      <c r="Q1015">
        <v>9.3229450455154233E-4</v>
      </c>
      <c r="R1015">
        <v>1.4004781735520186E-3</v>
      </c>
      <c r="S1015">
        <v>0.11557431269125913</v>
      </c>
      <c r="T1015">
        <v>1.0265927325142397</v>
      </c>
      <c r="U1015">
        <v>0</v>
      </c>
      <c r="V1015">
        <v>0.21156067355705224</v>
      </c>
      <c r="W1015">
        <v>8.6448834587683293E-2</v>
      </c>
      <c r="X1015">
        <v>3.0186862972193473E-2</v>
      </c>
      <c r="Y1015">
        <v>3.8116399209027589E-3</v>
      </c>
    </row>
    <row r="1016" spans="1:25" x14ac:dyDescent="0.25">
      <c r="A1016" s="1095"/>
      <c r="B1016" s="1454">
        <v>766</v>
      </c>
      <c r="C1016" s="1099">
        <v>0.97265015648421427</v>
      </c>
      <c r="D1016" s="1099">
        <v>0.9961726442104738</v>
      </c>
      <c r="E1016" s="1099">
        <v>0.99292310103117831</v>
      </c>
      <c r="F1016" s="1099">
        <v>0.99279047476136184</v>
      </c>
      <c r="G1016" s="1099">
        <v>1.0085846975638797</v>
      </c>
      <c r="H1016" s="1099">
        <v>0.96597407598329499</v>
      </c>
      <c r="I1016" s="1099">
        <v>1.0115421071301731</v>
      </c>
      <c r="K1016">
        <v>1.7333617528856056</v>
      </c>
      <c r="L1016">
        <v>0</v>
      </c>
      <c r="M1016">
        <v>1.3849860546337636E-3</v>
      </c>
      <c r="N1016">
        <v>0.12469439369648527</v>
      </c>
      <c r="O1016">
        <v>0.12852695481049534</v>
      </c>
      <c r="P1016">
        <v>1.8255105441938525E-2</v>
      </c>
      <c r="Q1016">
        <v>9.1870894450360278E-4</v>
      </c>
      <c r="R1016">
        <v>1.3812797203131958E-3</v>
      </c>
      <c r="S1016">
        <v>0.1098522990434674</v>
      </c>
      <c r="T1016">
        <v>1.0238314139985005</v>
      </c>
      <c r="U1016">
        <v>0</v>
      </c>
      <c r="V1016">
        <v>0.21169930328510755</v>
      </c>
      <c r="W1016">
        <v>8.2261982031152897E-2</v>
      </c>
      <c r="X1016">
        <v>2.956590990832093E-2</v>
      </c>
      <c r="Y1016">
        <v>3.7593880599550936E-3</v>
      </c>
    </row>
    <row r="1017" spans="1:25" x14ac:dyDescent="0.25">
      <c r="A1017" s="1095"/>
      <c r="B1017" s="1454">
        <v>767</v>
      </c>
      <c r="C1017" s="1099">
        <v>1.0000853438455966</v>
      </c>
      <c r="D1017" s="1099">
        <v>1.0099012620572816</v>
      </c>
      <c r="E1017" s="1099">
        <v>0.95909694766231102</v>
      </c>
      <c r="F1017" s="1099">
        <v>0.9962281904736664</v>
      </c>
      <c r="G1017" s="1099">
        <v>0.97239735683228479</v>
      </c>
      <c r="H1017" s="1099">
        <v>0.96807769785631648</v>
      </c>
      <c r="I1017" s="1099">
        <v>0.99351832654316596</v>
      </c>
      <c r="K1017">
        <v>1.7127960505023987</v>
      </c>
      <c r="L1017">
        <v>0</v>
      </c>
      <c r="M1017">
        <v>1.4398847793142E-3</v>
      </c>
      <c r="N1017">
        <v>0.11702275985020119</v>
      </c>
      <c r="O1017">
        <v>0.1265958969720162</v>
      </c>
      <c r="P1017">
        <v>1.7718756780194935E-2</v>
      </c>
      <c r="Q1017">
        <v>8.5761378109146973E-4</v>
      </c>
      <c r="R1017">
        <v>1.436040246271398E-3</v>
      </c>
      <c r="S1017">
        <v>0.10431679615366148</v>
      </c>
      <c r="T1017">
        <v>1.0284025230045459</v>
      </c>
      <c r="U1017">
        <v>0</v>
      </c>
      <c r="V1017">
        <v>0.20725482832841646</v>
      </c>
      <c r="W1017">
        <v>7.8799142945754463E-2</v>
      </c>
      <c r="X1017">
        <v>2.7923149059746324E-2</v>
      </c>
      <c r="Y1017">
        <v>3.9084281598107881E-3</v>
      </c>
    </row>
    <row r="1018" spans="1:25" x14ac:dyDescent="0.25">
      <c r="A1018" s="1095"/>
      <c r="B1018" s="1454">
        <v>768</v>
      </c>
      <c r="C1018" s="1099">
        <v>1.0099938638779187</v>
      </c>
      <c r="D1018" s="1099">
        <v>0.99365563256319955</v>
      </c>
      <c r="E1018" s="1099">
        <v>0.99610904889851981</v>
      </c>
      <c r="F1018" s="1099">
        <v>0.99134324310646238</v>
      </c>
      <c r="G1018" s="1099">
        <v>1.0471849513985205</v>
      </c>
      <c r="H1018" s="1099">
        <v>0.9945027350866138</v>
      </c>
      <c r="I1018" s="1099">
        <v>0.98003773048857168</v>
      </c>
      <c r="K1018">
        <v>1.722731210449479</v>
      </c>
      <c r="L1018">
        <v>0</v>
      </c>
      <c r="M1018">
        <v>1.370347240564399E-3</v>
      </c>
      <c r="N1018">
        <v>0.12458092049053823</v>
      </c>
      <c r="O1018">
        <v>0.12659914366807831</v>
      </c>
      <c r="P1018">
        <v>1.8190450782346615E-2</v>
      </c>
      <c r="Q1018">
        <v>8.8857506157744048E-4</v>
      </c>
      <c r="R1018">
        <v>1.3667978453367744E-3</v>
      </c>
      <c r="S1018">
        <v>0.104803640236418</v>
      </c>
      <c r="T1018">
        <v>1.0222445282346206</v>
      </c>
      <c r="U1018">
        <v>0</v>
      </c>
      <c r="V1018">
        <v>0.21037468834557346</v>
      </c>
      <c r="W1018">
        <v>8.2030969964364195E-2</v>
      </c>
      <c r="X1018">
        <v>2.930186989097033E-2</v>
      </c>
      <c r="Y1018">
        <v>3.7199731702180767E-3</v>
      </c>
    </row>
    <row r="1019" spans="1:25" x14ac:dyDescent="0.25">
      <c r="A1019" s="1095"/>
      <c r="B1019" s="1454">
        <v>769</v>
      </c>
      <c r="C1019" s="1099">
        <v>0.96842156836768489</v>
      </c>
      <c r="D1019" s="1099">
        <v>1.0039714173558485</v>
      </c>
      <c r="E1019" s="1099">
        <v>1.0222516251141314</v>
      </c>
      <c r="F1019" s="1099">
        <v>1.0101787318810487</v>
      </c>
      <c r="G1019" s="1099">
        <v>0.97692951694391506</v>
      </c>
      <c r="H1019" s="1099">
        <v>1.0216747456167907</v>
      </c>
      <c r="I1019" s="1099">
        <v>0.97310258774037184</v>
      </c>
      <c r="K1019">
        <v>1.7700967332260475</v>
      </c>
      <c r="L1019">
        <v>0</v>
      </c>
      <c r="M1019">
        <v>1.379602955792577E-3</v>
      </c>
      <c r="N1019">
        <v>0.13573108187804891</v>
      </c>
      <c r="O1019">
        <v>0.12984816009812294</v>
      </c>
      <c r="P1019">
        <v>1.8884478115909112E-2</v>
      </c>
      <c r="Q1019">
        <v>9.4813121660135692E-4</v>
      </c>
      <c r="R1019">
        <v>1.3761113079082822E-3</v>
      </c>
      <c r="S1019">
        <v>0.10965455866413916</v>
      </c>
      <c r="T1019">
        <v>1.040889289705385</v>
      </c>
      <c r="U1019">
        <v>0</v>
      </c>
      <c r="V1019">
        <v>0.21130768193769656</v>
      </c>
      <c r="W1019">
        <v>8.8004770522585346E-2</v>
      </c>
      <c r="X1019">
        <v>3.1086751390286528E-2</v>
      </c>
      <c r="Y1019">
        <v>3.7453213451556083E-3</v>
      </c>
    </row>
    <row r="1020" spans="1:25" x14ac:dyDescent="0.25">
      <c r="A1020" s="1095"/>
      <c r="B1020" s="1454">
        <v>770</v>
      </c>
      <c r="C1020" s="1099">
        <v>1.0025087346037047</v>
      </c>
      <c r="D1020" s="1099">
        <v>1.0080760785391567</v>
      </c>
      <c r="E1020" s="1099">
        <v>0.97656305039905411</v>
      </c>
      <c r="F1020" s="1099">
        <v>1.0309442983339807</v>
      </c>
      <c r="G1020" s="1099">
        <v>1.0224109580209504</v>
      </c>
      <c r="H1020" s="1099">
        <v>0.99769634722059097</v>
      </c>
      <c r="I1020" s="1099">
        <v>0.99738768117424337</v>
      </c>
      <c r="K1020">
        <v>1.7684105939613972</v>
      </c>
      <c r="L1020">
        <v>0</v>
      </c>
      <c r="M1020">
        <v>1.4339058304245133E-3</v>
      </c>
      <c r="N1020">
        <v>0.12287771495945039</v>
      </c>
      <c r="O1020">
        <v>0.12922781905007416</v>
      </c>
      <c r="P1020">
        <v>1.8520395312888672E-2</v>
      </c>
      <c r="Q1020">
        <v>8.7207954061660432E-4</v>
      </c>
      <c r="R1020">
        <v>1.4302036937382345E-3</v>
      </c>
      <c r="S1020">
        <v>0.10687826290519413</v>
      </c>
      <c r="T1020">
        <v>1.0636872283427168</v>
      </c>
      <c r="U1020">
        <v>0</v>
      </c>
      <c r="V1020">
        <v>0.21136994597083159</v>
      </c>
      <c r="W1020">
        <v>8.1865237667740648E-2</v>
      </c>
      <c r="X1020">
        <v>2.9223069360735068E-2</v>
      </c>
      <c r="Y1020">
        <v>3.8925429878345426E-3</v>
      </c>
    </row>
    <row r="1021" spans="1:25" x14ac:dyDescent="0.25">
      <c r="A1021" s="1095"/>
      <c r="B1021" s="1454">
        <v>771</v>
      </c>
      <c r="C1021" s="1099">
        <v>0.96970260460422797</v>
      </c>
      <c r="D1021" s="1099">
        <v>1.0066133990840493</v>
      </c>
      <c r="E1021" s="1099">
        <v>1.0169021390565371</v>
      </c>
      <c r="F1021" s="1099">
        <v>0.98217773818681586</v>
      </c>
      <c r="G1021" s="1099">
        <v>0.97760643338999831</v>
      </c>
      <c r="H1021" s="1099">
        <v>0.9562706048541364</v>
      </c>
      <c r="I1021" s="1099">
        <v>0.96790327514471053</v>
      </c>
      <c r="K1021">
        <v>1.7138456018305763</v>
      </c>
      <c r="L1021">
        <v>0</v>
      </c>
      <c r="M1021">
        <v>1.2989227767173106E-3</v>
      </c>
      <c r="N1021">
        <v>0.12572475939901259</v>
      </c>
      <c r="O1021">
        <v>0.12748526952962469</v>
      </c>
      <c r="P1021">
        <v>1.8313886187252212E-2</v>
      </c>
      <c r="Q1021">
        <v>9.4070609756448918E-4</v>
      </c>
      <c r="R1021">
        <v>1.2954004196100712E-3</v>
      </c>
      <c r="S1021">
        <v>0.10404529440288615</v>
      </c>
      <c r="T1021">
        <v>1.0121901723921811</v>
      </c>
      <c r="U1021">
        <v>0</v>
      </c>
      <c r="V1021">
        <v>0.209656629016542</v>
      </c>
      <c r="W1021">
        <v>8.1772522819700932E-2</v>
      </c>
      <c r="X1021">
        <v>3.0194231429371984E-2</v>
      </c>
      <c r="Y1021">
        <v>3.5256529135450567E-3</v>
      </c>
    </row>
    <row r="1022" spans="1:25" x14ac:dyDescent="0.25">
      <c r="A1022" s="1095"/>
      <c r="B1022" s="1454">
        <v>772</v>
      </c>
      <c r="C1022" s="1099">
        <v>1.0123044020496348</v>
      </c>
      <c r="D1022" s="1099">
        <v>0.98109198736616188</v>
      </c>
      <c r="E1022" s="1099">
        <v>1.0107004712123493</v>
      </c>
      <c r="F1022" s="1099">
        <v>0.98346421904355685</v>
      </c>
      <c r="G1022" s="1099">
        <v>1.012140068949807</v>
      </c>
      <c r="H1022" s="1099">
        <v>0.99889099091242117</v>
      </c>
      <c r="I1022" s="1099">
        <v>1.0035700520247128</v>
      </c>
      <c r="K1022">
        <v>1.7202628754306231</v>
      </c>
      <c r="L1022">
        <v>0</v>
      </c>
      <c r="M1022">
        <v>1.341619838614956E-3</v>
      </c>
      <c r="N1022">
        <v>0.12746707794786943</v>
      </c>
      <c r="O1022">
        <v>0.1265191219073184</v>
      </c>
      <c r="P1022">
        <v>1.8292531469694857E-2</v>
      </c>
      <c r="Q1022">
        <v>9.0462904166655281E-4</v>
      </c>
      <c r="R1022">
        <v>1.3381666467836919E-3</v>
      </c>
      <c r="S1022">
        <v>0.10821749204182145</v>
      </c>
      <c r="T1022">
        <v>1.0136947726195982</v>
      </c>
      <c r="U1022">
        <v>0</v>
      </c>
      <c r="V1022">
        <v>0.20849829169973488</v>
      </c>
      <c r="W1022">
        <v>8.3208572629831459E-2</v>
      </c>
      <c r="X1022">
        <v>2.9821790778888319E-2</v>
      </c>
      <c r="Y1022">
        <v>3.6420484860286528E-3</v>
      </c>
    </row>
    <row r="1023" spans="1:25" x14ac:dyDescent="0.25">
      <c r="A1023" s="1095"/>
      <c r="B1023" s="1454">
        <v>773</v>
      </c>
      <c r="C1023" s="1099">
        <v>0.99779262372188782</v>
      </c>
      <c r="D1023" s="1099">
        <v>1.0030788275034599</v>
      </c>
      <c r="E1023" s="1099">
        <v>0.97859087023399027</v>
      </c>
      <c r="F1023" s="1099">
        <v>0.99516558241010844</v>
      </c>
      <c r="G1023" s="1099">
        <v>0.98258968110966294</v>
      </c>
      <c r="H1023" s="1099">
        <v>0.99909637386167904</v>
      </c>
      <c r="I1023" s="1099">
        <v>1.0002154226277924</v>
      </c>
      <c r="K1023">
        <v>1.727488267103704</v>
      </c>
      <c r="L1023">
        <v>0</v>
      </c>
      <c r="M1023">
        <v>1.4359966689532985E-3</v>
      </c>
      <c r="N1023">
        <v>0.12381402104112445</v>
      </c>
      <c r="O1023">
        <v>0.12701376191863895</v>
      </c>
      <c r="P1023">
        <v>1.8022873140630967E-2</v>
      </c>
      <c r="Q1023">
        <v>8.7981500215416426E-4</v>
      </c>
      <c r="R1023">
        <v>1.4322852217165487E-3</v>
      </c>
      <c r="S1023">
        <v>0.10788327478000101</v>
      </c>
      <c r="T1023">
        <v>1.0267108351880148</v>
      </c>
      <c r="U1023">
        <v>0</v>
      </c>
      <c r="V1023">
        <v>0.20813920684637285</v>
      </c>
      <c r="W1023">
        <v>8.2387900580472032E-2</v>
      </c>
      <c r="X1023">
        <v>2.874208183271643E-2</v>
      </c>
      <c r="Y1023">
        <v>3.8982082208159994E-3</v>
      </c>
    </row>
    <row r="1024" spans="1:25" x14ac:dyDescent="0.25">
      <c r="A1024" s="1095"/>
      <c r="B1024" s="1454">
        <v>774</v>
      </c>
      <c r="C1024" s="1099">
        <v>1.0019738387663804</v>
      </c>
      <c r="D1024" s="1099">
        <v>1.018375524282445</v>
      </c>
      <c r="E1024" s="1099">
        <v>0.97925908394735939</v>
      </c>
      <c r="F1024" s="1099">
        <v>0.99301872141767011</v>
      </c>
      <c r="G1024" s="1099">
        <v>0.98236390936962281</v>
      </c>
      <c r="H1024" s="1099">
        <v>0.98602215223006873</v>
      </c>
      <c r="I1024" s="1099">
        <v>0.9907554858304507</v>
      </c>
      <c r="K1024">
        <v>1.7143167849542191</v>
      </c>
      <c r="L1024">
        <v>0</v>
      </c>
      <c r="M1024">
        <v>1.3970717161933171E-3</v>
      </c>
      <c r="N1024">
        <v>0.12069665144088466</v>
      </c>
      <c r="O1024">
        <v>0.12595316754692107</v>
      </c>
      <c r="P1024">
        <v>1.7944798502892313E-2</v>
      </c>
      <c r="Q1024">
        <v>8.7146591090695705E-4</v>
      </c>
      <c r="R1024">
        <v>1.3934031355484831E-3</v>
      </c>
      <c r="S1024">
        <v>0.10454626015693749</v>
      </c>
      <c r="T1024">
        <v>1.0244757792371528</v>
      </c>
      <c r="U1024">
        <v>0</v>
      </c>
      <c r="V1024">
        <v>0.20721721607894289</v>
      </c>
      <c r="W1024">
        <v>8.0281124972583537E-2</v>
      </c>
      <c r="X1024">
        <v>2.8541605687899103E-2</v>
      </c>
      <c r="Y1024">
        <v>3.7923839997427858E-3</v>
      </c>
    </row>
    <row r="1025" spans="1:25" x14ac:dyDescent="0.25">
      <c r="A1025" s="1095"/>
      <c r="B1025" s="1454">
        <v>775</v>
      </c>
      <c r="C1025" s="1099">
        <v>0.98208919919375881</v>
      </c>
      <c r="D1025" s="1099">
        <v>0.98770879231735531</v>
      </c>
      <c r="E1025" s="1099">
        <v>1.0209564714296466</v>
      </c>
      <c r="F1025" s="1099">
        <v>1.0290357372789289</v>
      </c>
      <c r="G1025" s="1099">
        <v>1.0150872547397045</v>
      </c>
      <c r="H1025" s="1099">
        <v>1.0131613293797874</v>
      </c>
      <c r="I1025" s="1099">
        <v>0.98713075101855285</v>
      </c>
      <c r="K1025">
        <v>1.792011368938643</v>
      </c>
      <c r="L1025">
        <v>0</v>
      </c>
      <c r="M1025">
        <v>1.3695867982585414E-3</v>
      </c>
      <c r="N1025">
        <v>0.13421940905383598</v>
      </c>
      <c r="O1025">
        <v>0.13130818529163357</v>
      </c>
      <c r="P1025">
        <v>1.9175924949754862E-2</v>
      </c>
      <c r="Q1025">
        <v>9.39815081517374E-4</v>
      </c>
      <c r="R1025">
        <v>1.3661118244066137E-3</v>
      </c>
      <c r="S1025">
        <v>0.11039479314500342</v>
      </c>
      <c r="T1025">
        <v>1.0603583338636149</v>
      </c>
      <c r="U1025">
        <v>0</v>
      </c>
      <c r="V1025">
        <v>0.21342869692977676</v>
      </c>
      <c r="W1025">
        <v>8.7090521527784556E-2</v>
      </c>
      <c r="X1025">
        <v>3.1381058022180927E-2</v>
      </c>
      <c r="Y1025">
        <v>3.7181060473929183E-3</v>
      </c>
    </row>
    <row r="1026" spans="1:25" x14ac:dyDescent="0.25">
      <c r="A1026" s="1095"/>
      <c r="B1026" s="1454">
        <v>776</v>
      </c>
      <c r="C1026" s="1099">
        <v>0.97839242514708435</v>
      </c>
      <c r="D1026" s="1099">
        <v>1.0190445812845703</v>
      </c>
      <c r="E1026" s="1099">
        <v>1.0257220043998607</v>
      </c>
      <c r="F1026" s="1099">
        <v>0.97610833161785571</v>
      </c>
      <c r="G1026" s="1099">
        <v>1.03416485530414</v>
      </c>
      <c r="H1026" s="1099">
        <v>0.99892598321127701</v>
      </c>
      <c r="I1026" s="1099">
        <v>0.97550307418294357</v>
      </c>
      <c r="K1026">
        <v>1.716662676178111</v>
      </c>
      <c r="L1026">
        <v>0</v>
      </c>
      <c r="M1026">
        <v>1.3111819046700351E-3</v>
      </c>
      <c r="N1026">
        <v>0.13034757432049107</v>
      </c>
      <c r="O1026">
        <v>0.1260366512511184</v>
      </c>
      <c r="P1026">
        <v>1.8388923176960684E-2</v>
      </c>
      <c r="Q1026">
        <v>9.3621144018143942E-4</v>
      </c>
      <c r="R1026">
        <v>1.3077711122220996E-3</v>
      </c>
      <c r="S1026">
        <v>0.10610482663762193</v>
      </c>
      <c r="T1026">
        <v>1.0056848215746761</v>
      </c>
      <c r="U1026">
        <v>0</v>
      </c>
      <c r="V1026">
        <v>0.21096613204493883</v>
      </c>
      <c r="W1026">
        <v>8.434334942629601E-2</v>
      </c>
      <c r="X1026">
        <v>3.0298275237434752E-2</v>
      </c>
      <c r="Y1026">
        <v>3.5593218608372741E-3</v>
      </c>
    </row>
    <row r="1027" spans="1:25" x14ac:dyDescent="0.25">
      <c r="A1027" s="1095"/>
      <c r="B1027" s="1454">
        <v>777</v>
      </c>
      <c r="C1027" s="1099">
        <v>0.96759732212450467</v>
      </c>
      <c r="D1027" s="1099">
        <v>1.0017402289548143</v>
      </c>
      <c r="E1027" s="1099">
        <v>0.99034540256850245</v>
      </c>
      <c r="F1027" s="1099">
        <v>0.96847710423569755</v>
      </c>
      <c r="G1027" s="1099">
        <v>0.9940156768452878</v>
      </c>
      <c r="H1027" s="1099">
        <v>0.95981627273071968</v>
      </c>
      <c r="I1027" s="1099">
        <v>0.96656355561210439</v>
      </c>
      <c r="K1027">
        <v>1.6965482360956738</v>
      </c>
      <c r="L1027">
        <v>0</v>
      </c>
      <c r="M1027">
        <v>1.3825243344923565E-3</v>
      </c>
      <c r="N1027">
        <v>0.12350320100083637</v>
      </c>
      <c r="O1027">
        <v>0.12664589474078489</v>
      </c>
      <c r="P1027">
        <v>1.7786034646756932E-2</v>
      </c>
      <c r="Q1027">
        <v>9.1897960546330135E-4</v>
      </c>
      <c r="R1027">
        <v>1.3787870383994054E-3</v>
      </c>
      <c r="S1027">
        <v>0.10454375302694348</v>
      </c>
      <c r="T1027">
        <v>0.99883268684203375</v>
      </c>
      <c r="U1027">
        <v>0</v>
      </c>
      <c r="V1027">
        <v>0.2099781994902678</v>
      </c>
      <c r="W1027">
        <v>8.1601891547142202E-2</v>
      </c>
      <c r="X1027">
        <v>2.8988728690040405E-2</v>
      </c>
      <c r="Y1027">
        <v>3.752603801498128E-3</v>
      </c>
    </row>
    <row r="1028" spans="1:25" x14ac:dyDescent="0.25">
      <c r="A1028" s="1095"/>
      <c r="B1028" s="1454">
        <v>778</v>
      </c>
      <c r="C1028" s="1099">
        <v>0.98986961353047542</v>
      </c>
      <c r="D1028" s="1099">
        <v>1.0125645015506841</v>
      </c>
      <c r="E1028" s="1099">
        <v>1.0424418655790244</v>
      </c>
      <c r="F1028" s="1099">
        <v>0.99325197914285457</v>
      </c>
      <c r="G1028" s="1099">
        <v>1.0123274663033455</v>
      </c>
      <c r="H1028" s="1099">
        <v>0.97001822945873939</v>
      </c>
      <c r="I1028" s="1099">
        <v>1.0093643311962373</v>
      </c>
      <c r="K1028">
        <v>1.7312022596212955</v>
      </c>
      <c r="L1028">
        <v>0</v>
      </c>
      <c r="M1028">
        <v>1.2229661970722266E-3</v>
      </c>
      <c r="N1028">
        <v>0.12785222874102081</v>
      </c>
      <c r="O1028">
        <v>0.12710960627816853</v>
      </c>
      <c r="P1028">
        <v>1.8855898290724708E-2</v>
      </c>
      <c r="Q1028">
        <v>9.4365017417158685E-4</v>
      </c>
      <c r="R1028">
        <v>1.2197021349693185E-3</v>
      </c>
      <c r="S1028">
        <v>0.10710507956582992</v>
      </c>
      <c r="T1028">
        <v>1.0228710052566343</v>
      </c>
      <c r="U1028">
        <v>0</v>
      </c>
      <c r="V1028">
        <v>0.21005761161802383</v>
      </c>
      <c r="W1028">
        <v>8.193219595895207E-2</v>
      </c>
      <c r="X1028">
        <v>3.1158620663186375E-2</v>
      </c>
      <c r="Y1028">
        <v>3.3196271366857529E-3</v>
      </c>
    </row>
    <row r="1029" spans="1:25" x14ac:dyDescent="0.25">
      <c r="A1029" s="1095"/>
      <c r="B1029" s="1454">
        <v>779</v>
      </c>
      <c r="C1029" s="1099">
        <v>0.98518039674131741</v>
      </c>
      <c r="D1029" s="1099">
        <v>0.98861013331536918</v>
      </c>
      <c r="E1029" s="1099">
        <v>0.99940948070718871</v>
      </c>
      <c r="F1029" s="1099">
        <v>0.96167909141976127</v>
      </c>
      <c r="G1029" s="1099">
        <v>1.0242311132467079</v>
      </c>
      <c r="H1029" s="1099">
        <v>1.0092364962512046</v>
      </c>
      <c r="I1029" s="1099">
        <v>0.96965489113077152</v>
      </c>
      <c r="K1029">
        <v>1.7015375391388707</v>
      </c>
      <c r="L1029">
        <v>0</v>
      </c>
      <c r="M1029">
        <v>1.4133366683300381E-3</v>
      </c>
      <c r="N1029">
        <v>0.12978062806696106</v>
      </c>
      <c r="O1029">
        <v>0.12582845486645899</v>
      </c>
      <c r="P1029">
        <v>1.7845828450380297E-2</v>
      </c>
      <c r="Q1029">
        <v>9.1594483929552167E-4</v>
      </c>
      <c r="R1029">
        <v>1.4097153268407042E-3</v>
      </c>
      <c r="S1029">
        <v>0.10732798569415396</v>
      </c>
      <c r="T1029">
        <v>0.99156114783239846</v>
      </c>
      <c r="U1029">
        <v>0</v>
      </c>
      <c r="V1029">
        <v>0.20995791527644972</v>
      </c>
      <c r="W1029">
        <v>8.5286985363438803E-2</v>
      </c>
      <c r="X1029">
        <v>2.9199489683693531E-2</v>
      </c>
      <c r="Y1029">
        <v>3.8367804071277986E-3</v>
      </c>
    </row>
    <row r="1030" spans="1:25" x14ac:dyDescent="0.25">
      <c r="A1030" s="1095"/>
      <c r="B1030" s="1454">
        <v>780</v>
      </c>
      <c r="C1030" s="1099">
        <v>1.0191212299322951</v>
      </c>
      <c r="D1030" s="1099">
        <v>1.0091907419183805</v>
      </c>
      <c r="E1030" s="1099">
        <v>0.99246254944906054</v>
      </c>
      <c r="F1030" s="1099">
        <v>0.97647693252524581</v>
      </c>
      <c r="G1030" s="1099">
        <v>0.97826283065500397</v>
      </c>
      <c r="H1030" s="1099">
        <v>0.9882333896068588</v>
      </c>
      <c r="I1030" s="1099">
        <v>1.0268405289211409</v>
      </c>
      <c r="K1030">
        <v>1.6957403483175029</v>
      </c>
      <c r="L1030">
        <v>0</v>
      </c>
      <c r="M1030">
        <v>1.3466404879360632E-3</v>
      </c>
      <c r="N1030">
        <v>0.12108069035288292</v>
      </c>
      <c r="O1030">
        <v>0.12430388664772533</v>
      </c>
      <c r="P1030">
        <v>1.7896005352100289E-2</v>
      </c>
      <c r="Q1030">
        <v>8.7185670573940741E-4</v>
      </c>
      <c r="R1030">
        <v>1.3431181228748467E-3</v>
      </c>
      <c r="S1030">
        <v>0.10730345050101026</v>
      </c>
      <c r="T1030">
        <v>1.0070212733977006</v>
      </c>
      <c r="U1030">
        <v>0</v>
      </c>
      <c r="V1030">
        <v>0.20505087342973891</v>
      </c>
      <c r="W1030">
        <v>7.9899984686776795E-2</v>
      </c>
      <c r="X1030">
        <v>2.8660324837191782E-2</v>
      </c>
      <c r="Y1030">
        <v>3.6555247716951208E-3</v>
      </c>
    </row>
    <row r="1031" spans="1:25" x14ac:dyDescent="0.25">
      <c r="A1031" s="1095"/>
      <c r="B1031" s="1454">
        <v>781</v>
      </c>
      <c r="C1031" s="1099">
        <v>0.95356661660893371</v>
      </c>
      <c r="D1031" s="1099">
        <v>1.0100820585441508</v>
      </c>
      <c r="E1031" s="1099">
        <v>1.0132440740082327</v>
      </c>
      <c r="F1031" s="1099">
        <v>0.97630508393896898</v>
      </c>
      <c r="G1031" s="1099">
        <v>0.99215243351087179</v>
      </c>
      <c r="H1031" s="1099">
        <v>0.99255034768751804</v>
      </c>
      <c r="I1031" s="1099">
        <v>0.98502846050677373</v>
      </c>
      <c r="K1031">
        <v>1.7259889938381743</v>
      </c>
      <c r="L1031">
        <v>0</v>
      </c>
      <c r="M1031">
        <v>1.3759833509902218E-3</v>
      </c>
      <c r="N1031">
        <v>0.13173355642395065</v>
      </c>
      <c r="O1031">
        <v>0.12772424246352271</v>
      </c>
      <c r="P1031">
        <v>1.8287233737403007E-2</v>
      </c>
      <c r="Q1031">
        <v>9.5172154574663071E-4</v>
      </c>
      <c r="R1031">
        <v>1.3723790058910396E-3</v>
      </c>
      <c r="S1031">
        <v>0.1098963682636033</v>
      </c>
      <c r="T1031">
        <v>1.0062426353156626</v>
      </c>
      <c r="U1031">
        <v>0</v>
      </c>
      <c r="V1031">
        <v>0.21138875847451385</v>
      </c>
      <c r="W1031">
        <v>8.5864979518686615E-2</v>
      </c>
      <c r="X1031">
        <v>3.0167939190765908E-2</v>
      </c>
      <c r="Y1031">
        <v>3.7351632494177036E-3</v>
      </c>
    </row>
    <row r="1032" spans="1:25" x14ac:dyDescent="0.25">
      <c r="A1032" s="1095"/>
      <c r="B1032" s="1454">
        <v>782</v>
      </c>
      <c r="C1032" s="1099">
        <v>1.0111973193416914</v>
      </c>
      <c r="D1032" s="1099">
        <v>1.0354919647005263</v>
      </c>
      <c r="E1032" s="1099">
        <v>1.0129718532879435</v>
      </c>
      <c r="F1032" s="1099">
        <v>0.98606118062318115</v>
      </c>
      <c r="G1032" s="1099">
        <v>1.0121771687873182</v>
      </c>
      <c r="H1032" s="1099">
        <v>1.0006950619593367</v>
      </c>
      <c r="I1032" s="1099">
        <v>0.96718590514524427</v>
      </c>
      <c r="K1032">
        <v>1.7060591784573504</v>
      </c>
      <c r="L1032">
        <v>0</v>
      </c>
      <c r="M1032">
        <v>1.2974837647314122E-3</v>
      </c>
      <c r="N1032">
        <v>0.12411918199492299</v>
      </c>
      <c r="O1032">
        <v>0.12434858030606302</v>
      </c>
      <c r="P1032">
        <v>1.8242642145527881E-2</v>
      </c>
      <c r="Q1032">
        <v>8.8835648289403539E-4</v>
      </c>
      <c r="R1032">
        <v>1.2941165470614433E-3</v>
      </c>
      <c r="S1032">
        <v>0.10111632694803577</v>
      </c>
      <c r="T1032">
        <v>1.0163057692569284</v>
      </c>
      <c r="U1032">
        <v>0</v>
      </c>
      <c r="V1032">
        <v>0.20714155750765384</v>
      </c>
      <c r="W1032">
        <v>8.0914825542469454E-2</v>
      </c>
      <c r="X1032">
        <v>2.9463146854829401E-2</v>
      </c>
      <c r="Y1032">
        <v>3.5221586356961629E-3</v>
      </c>
    </row>
    <row r="1033" spans="1:25" x14ac:dyDescent="0.25">
      <c r="A1033" s="1095"/>
      <c r="B1033" s="1454">
        <v>783</v>
      </c>
      <c r="C1033" s="1099">
        <v>1.0038505969171165</v>
      </c>
      <c r="D1033" s="1099">
        <v>1.0184104619465202</v>
      </c>
      <c r="E1033" s="1099">
        <v>1.018324689047774</v>
      </c>
      <c r="F1033" s="1099">
        <v>1.0261180929794678</v>
      </c>
      <c r="G1033" s="1099">
        <v>0.98234316755766571</v>
      </c>
      <c r="H1033" s="1099">
        <v>0.98230821886372433</v>
      </c>
      <c r="I1033" s="1099">
        <v>1.0109898865044633</v>
      </c>
      <c r="K1033">
        <v>1.7613741761500765</v>
      </c>
      <c r="L1033">
        <v>0</v>
      </c>
      <c r="M1033">
        <v>1.284806858269023E-3</v>
      </c>
      <c r="N1033">
        <v>0.12490385119519143</v>
      </c>
      <c r="O1033">
        <v>0.12849716337849773</v>
      </c>
      <c r="P1033">
        <v>1.8981584092260501E-2</v>
      </c>
      <c r="Q1033">
        <v>9.058034222289269E-4</v>
      </c>
      <c r="R1033">
        <v>1.2814301477979374E-3</v>
      </c>
      <c r="S1033">
        <v>0.10648776530938138</v>
      </c>
      <c r="T1033">
        <v>1.0574305844620298</v>
      </c>
      <c r="U1033">
        <v>0</v>
      </c>
      <c r="V1033">
        <v>0.20888425881138536</v>
      </c>
      <c r="W1033">
        <v>8.1170885665624123E-2</v>
      </c>
      <c r="X1033">
        <v>3.0628026084975425E-2</v>
      </c>
      <c r="Y1033">
        <v>3.4876304389712927E-3</v>
      </c>
    </row>
    <row r="1034" spans="1:25" x14ac:dyDescent="0.25">
      <c r="A1034" s="1095"/>
      <c r="B1034" s="1454">
        <v>784</v>
      </c>
      <c r="C1034" s="1099">
        <v>1.0203453488435166</v>
      </c>
      <c r="D1034" s="1099">
        <v>1.0097983806239239</v>
      </c>
      <c r="E1034" s="1099">
        <v>1.0147887113541274</v>
      </c>
      <c r="F1034" s="1099">
        <v>0.96210645360333213</v>
      </c>
      <c r="G1034" s="1099">
        <v>1.0010217678348561</v>
      </c>
      <c r="H1034" s="1099">
        <v>1.0147495437160223</v>
      </c>
      <c r="I1034" s="1099">
        <v>1.0008995629451174</v>
      </c>
      <c r="K1034">
        <v>1.6871107851245875</v>
      </c>
      <c r="L1034">
        <v>0</v>
      </c>
      <c r="M1034">
        <v>1.316550424504667E-3</v>
      </c>
      <c r="N1034">
        <v>0.12664129411373296</v>
      </c>
      <c r="O1034">
        <v>0.12321100263708823</v>
      </c>
      <c r="P1034">
        <v>1.7971171737068865E-2</v>
      </c>
      <c r="Q1034">
        <v>8.9094910952211689E-4</v>
      </c>
      <c r="R1034">
        <v>1.3131923949930109E-3</v>
      </c>
      <c r="S1034">
        <v>0.1061906602055346</v>
      </c>
      <c r="T1034">
        <v>0.99156505747435575</v>
      </c>
      <c r="U1034">
        <v>0</v>
      </c>
      <c r="V1034">
        <v>0.20534677418754987</v>
      </c>
      <c r="W1034">
        <v>8.2470888246933646E-2</v>
      </c>
      <c r="X1034">
        <v>2.9252268636900162E-2</v>
      </c>
      <c r="Y1034">
        <v>3.5740768054143101E-3</v>
      </c>
    </row>
    <row r="1035" spans="1:25" x14ac:dyDescent="0.25">
      <c r="A1035" s="1095"/>
      <c r="B1035" s="1454">
        <v>785</v>
      </c>
      <c r="C1035" s="1099">
        <v>1.0040936401852842</v>
      </c>
      <c r="D1035" s="1099">
        <v>0.99005883488319446</v>
      </c>
      <c r="E1035" s="1099">
        <v>1.0420829367124833</v>
      </c>
      <c r="F1035" s="1099">
        <v>0.98162081530563028</v>
      </c>
      <c r="G1035" s="1099">
        <v>1.0033615574418633</v>
      </c>
      <c r="H1035" s="1099">
        <v>0.98597082730577112</v>
      </c>
      <c r="I1035" s="1099">
        <v>1.0224175540414784</v>
      </c>
      <c r="K1035">
        <v>1.7225099561890895</v>
      </c>
      <c r="L1035">
        <v>0</v>
      </c>
      <c r="M1035">
        <v>1.2428950412346777E-3</v>
      </c>
      <c r="N1035">
        <v>0.12980236733420586</v>
      </c>
      <c r="O1035">
        <v>0.1265101790317413</v>
      </c>
      <c r="P1035">
        <v>1.8695600643529896E-2</v>
      </c>
      <c r="Q1035">
        <v>9.3834260989070857E-4</v>
      </c>
      <c r="R1035">
        <v>1.2396457227898464E-3</v>
      </c>
      <c r="S1035">
        <v>0.10960000102153575</v>
      </c>
      <c r="T1035">
        <v>1.0109030307264015</v>
      </c>
      <c r="U1035">
        <v>0</v>
      </c>
      <c r="V1035">
        <v>0.20847960149549527</v>
      </c>
      <c r="W1035">
        <v>8.3199080157213279E-2</v>
      </c>
      <c r="X1035">
        <v>3.1011095479190978E-2</v>
      </c>
      <c r="Y1035">
        <v>3.3739070083312712E-3</v>
      </c>
    </row>
    <row r="1036" spans="1:25" x14ac:dyDescent="0.25">
      <c r="A1036" s="1095"/>
      <c r="B1036" s="1454">
        <v>786</v>
      </c>
      <c r="C1036" s="1099">
        <v>0.97583543512361226</v>
      </c>
      <c r="D1036" s="1099">
        <v>0.96731831563083959</v>
      </c>
      <c r="E1036" s="1099">
        <v>1.0415072492906612</v>
      </c>
      <c r="F1036" s="1099">
        <v>1.0439304273750647</v>
      </c>
      <c r="G1036" s="1099">
        <v>0.97526451894266353</v>
      </c>
      <c r="H1036" s="1099">
        <v>0.99645779759662034</v>
      </c>
      <c r="I1036" s="1099">
        <v>0.97735258105987255</v>
      </c>
      <c r="K1036">
        <v>1.8149420384338062</v>
      </c>
      <c r="L1036">
        <v>0</v>
      </c>
      <c r="M1036">
        <v>1.3158239105376716E-3</v>
      </c>
      <c r="N1036">
        <v>0.13718706543626044</v>
      </c>
      <c r="O1036">
        <v>0.13386785373963275</v>
      </c>
      <c r="P1036">
        <v>1.9671840030693701E-2</v>
      </c>
      <c r="Q1036">
        <v>9.7396233611319173E-4</v>
      </c>
      <c r="R1036">
        <v>1.3124452198620914E-3</v>
      </c>
      <c r="S1036">
        <v>0.11032410949507286</v>
      </c>
      <c r="T1036">
        <v>1.075088490768956</v>
      </c>
      <c r="U1036">
        <v>0</v>
      </c>
      <c r="V1036">
        <v>0.21355078891279106</v>
      </c>
      <c r="W1036">
        <v>8.7961549624615123E-2</v>
      </c>
      <c r="X1036">
        <v>3.2747713539331834E-2</v>
      </c>
      <c r="Y1036">
        <v>3.5720432410141609E-3</v>
      </c>
    </row>
    <row r="1037" spans="1:25" x14ac:dyDescent="0.25">
      <c r="A1037" s="1095"/>
      <c r="B1037" s="1454">
        <v>787</v>
      </c>
      <c r="C1037" s="1099">
        <v>1.0177240450329299</v>
      </c>
      <c r="D1037" s="1099">
        <v>1.0244773599544958</v>
      </c>
      <c r="E1037" s="1099">
        <v>0.9958845051056362</v>
      </c>
      <c r="F1037" s="1099">
        <v>0.99998490290070041</v>
      </c>
      <c r="G1037" s="1099">
        <v>1.0155501678849221</v>
      </c>
      <c r="H1037" s="1099">
        <v>1.0052724779984392</v>
      </c>
      <c r="I1037" s="1099">
        <v>0.96829595674963964</v>
      </c>
      <c r="K1037">
        <v>1.7217087734030803</v>
      </c>
      <c r="L1037">
        <v>0</v>
      </c>
      <c r="M1037">
        <v>1.3525922678707108E-3</v>
      </c>
      <c r="N1037">
        <v>0.12288538098103162</v>
      </c>
      <c r="O1037">
        <v>0.12547914607472258</v>
      </c>
      <c r="P1037">
        <v>1.8229893352802624E-2</v>
      </c>
      <c r="Q1037">
        <v>8.7091327483924507E-4</v>
      </c>
      <c r="R1037">
        <v>1.3491109904705256E-3</v>
      </c>
      <c r="S1037">
        <v>0.10163366316655068</v>
      </c>
      <c r="T1037">
        <v>1.0311622599580013</v>
      </c>
      <c r="U1037">
        <v>0</v>
      </c>
      <c r="V1037">
        <v>0.20775590504478716</v>
      </c>
      <c r="W1037">
        <v>8.0925366447480454E-2</v>
      </c>
      <c r="X1037">
        <v>2.9097890998522825E-2</v>
      </c>
      <c r="Y1037">
        <v>3.6718353817422862E-3</v>
      </c>
    </row>
    <row r="1038" spans="1:25" x14ac:dyDescent="0.25">
      <c r="A1038" s="1095"/>
      <c r="B1038" s="1454">
        <v>788</v>
      </c>
      <c r="C1038" s="1099">
        <v>0.99631796928142746</v>
      </c>
      <c r="D1038" s="1099">
        <v>1.0274086030820215</v>
      </c>
      <c r="E1038" s="1099">
        <v>0.96289100356531054</v>
      </c>
      <c r="F1038" s="1099">
        <v>1.0083984230248573</v>
      </c>
      <c r="G1038" s="1099">
        <v>1.0085975794483559</v>
      </c>
      <c r="H1038" s="1099">
        <v>0.97365461326177583</v>
      </c>
      <c r="I1038" s="1099">
        <v>1.0429672948718802</v>
      </c>
      <c r="K1038">
        <v>1.7338082020291159</v>
      </c>
      <c r="L1038">
        <v>0</v>
      </c>
      <c r="M1038">
        <v>1.4288266397372643E-3</v>
      </c>
      <c r="N1038">
        <v>0.11746766517944575</v>
      </c>
      <c r="O1038">
        <v>0.12693471162523157</v>
      </c>
      <c r="P1038">
        <v>1.8030014874829959E-2</v>
      </c>
      <c r="Q1038">
        <v>8.5839975397289695E-4</v>
      </c>
      <c r="R1038">
        <v>1.4250238677842864E-3</v>
      </c>
      <c r="S1038">
        <v>0.10921873216426628</v>
      </c>
      <c r="T1038">
        <v>1.0408476090386991</v>
      </c>
      <c r="U1038">
        <v>0</v>
      </c>
      <c r="V1038">
        <v>0.20945239932399767</v>
      </c>
      <c r="W1038">
        <v>7.8914974590683584E-2</v>
      </c>
      <c r="X1038">
        <v>2.8209053040825872E-2</v>
      </c>
      <c r="Y1038">
        <v>3.8784452091170621E-3</v>
      </c>
    </row>
    <row r="1039" spans="1:25" x14ac:dyDescent="0.25">
      <c r="A1039" s="1095"/>
      <c r="B1039" s="1454">
        <v>789</v>
      </c>
      <c r="C1039" s="1099">
        <v>0.97827622639579759</v>
      </c>
      <c r="D1039" s="1099">
        <v>0.98352708600615102</v>
      </c>
      <c r="E1039" s="1099">
        <v>0.98558449871878884</v>
      </c>
      <c r="F1039" s="1099">
        <v>0.98709583796351663</v>
      </c>
      <c r="G1039" s="1099">
        <v>1.0163803834411356</v>
      </c>
      <c r="H1039" s="1099">
        <v>1.0003211780572507</v>
      </c>
      <c r="I1039" s="1099">
        <v>1.0045637995590617</v>
      </c>
      <c r="K1039">
        <v>1.735756575790014</v>
      </c>
      <c r="L1039">
        <v>0</v>
      </c>
      <c r="M1039">
        <v>1.4586565924188974E-3</v>
      </c>
      <c r="N1039">
        <v>0.1284578559948967</v>
      </c>
      <c r="O1039">
        <v>0.12834256913969547</v>
      </c>
      <c r="P1039">
        <v>1.8103594504663915E-2</v>
      </c>
      <c r="Q1039">
        <v>9.1110619915114074E-4</v>
      </c>
      <c r="R1039">
        <v>1.4548959761996009E-3</v>
      </c>
      <c r="S1039">
        <v>0.11179057448576005</v>
      </c>
      <c r="T1039">
        <v>1.0181763860730717</v>
      </c>
      <c r="U1039">
        <v>0</v>
      </c>
      <c r="V1039">
        <v>0.21164357257942876</v>
      </c>
      <c r="W1039">
        <v>8.5118373620658633E-2</v>
      </c>
      <c r="X1039">
        <v>2.9256556568021595E-2</v>
      </c>
      <c r="Y1039">
        <v>3.9597472408856573E-3</v>
      </c>
    </row>
    <row r="1040" spans="1:25" x14ac:dyDescent="0.25">
      <c r="A1040" s="1095"/>
      <c r="B1040" s="1454">
        <v>790</v>
      </c>
      <c r="C1040" s="1099">
        <v>0.97278176571799579</v>
      </c>
      <c r="D1040" s="1099">
        <v>1.0210150929090869</v>
      </c>
      <c r="E1040" s="1099">
        <v>0.97627326044838603</v>
      </c>
      <c r="F1040" s="1099">
        <v>1.009809008626352</v>
      </c>
      <c r="G1040" s="1099">
        <v>0.99110857116964857</v>
      </c>
      <c r="H1040" s="1099">
        <v>0.97316873482004562</v>
      </c>
      <c r="I1040" s="1099">
        <v>1.0181069994941474</v>
      </c>
      <c r="K1040">
        <v>1.7463111862066096</v>
      </c>
      <c r="L1040">
        <v>0</v>
      </c>
      <c r="M1040">
        <v>1.4254416356246882E-3</v>
      </c>
      <c r="N1040">
        <v>0.12203517958660008</v>
      </c>
      <c r="O1040">
        <v>0.12861654362742211</v>
      </c>
      <c r="P1040">
        <v>1.8253364102938017E-2</v>
      </c>
      <c r="Q1040">
        <v>8.9388399088763512E-4</v>
      </c>
      <c r="R1040">
        <v>1.4216435063525957E-3</v>
      </c>
      <c r="S1040">
        <v>0.10947696642330125</v>
      </c>
      <c r="T1040">
        <v>1.0418895841060116</v>
      </c>
      <c r="U1040">
        <v>0</v>
      </c>
      <c r="V1040">
        <v>0.21094049806527423</v>
      </c>
      <c r="W1040">
        <v>8.1318180893966918E-2</v>
      </c>
      <c r="X1040">
        <v>2.9021538559843484E-2</v>
      </c>
      <c r="Y1040">
        <v>3.8692449796358468E-3</v>
      </c>
    </row>
    <row r="1041" spans="1:25" x14ac:dyDescent="0.25">
      <c r="A1041" s="1095"/>
      <c r="B1041" s="1454">
        <v>791</v>
      </c>
      <c r="C1041" s="1099">
        <v>1.000288227686956</v>
      </c>
      <c r="D1041" s="1099">
        <v>1.0112179217130164</v>
      </c>
      <c r="E1041" s="1099">
        <v>0.98249530799947804</v>
      </c>
      <c r="F1041" s="1099">
        <v>1.0009151574811546</v>
      </c>
      <c r="G1041" s="1099">
        <v>1.0273013872592118</v>
      </c>
      <c r="H1041" s="1099">
        <v>0.99245851445515543</v>
      </c>
      <c r="I1041" s="1099">
        <v>1.0014554901015182</v>
      </c>
      <c r="K1041">
        <v>1.7322938572029729</v>
      </c>
      <c r="L1041">
        <v>0</v>
      </c>
      <c r="M1041">
        <v>1.4057532631643606E-3</v>
      </c>
      <c r="N1041">
        <v>0.12264430285977009</v>
      </c>
      <c r="O1041">
        <v>0.12697280602867633</v>
      </c>
      <c r="P1041">
        <v>1.816738790720274E-2</v>
      </c>
      <c r="Q1041">
        <v>8.7837318603011991E-4</v>
      </c>
      <c r="R1041">
        <v>1.4020926996436229E-3</v>
      </c>
      <c r="S1041">
        <v>0.10680581664101096</v>
      </c>
      <c r="T1041">
        <v>1.0325242207669008</v>
      </c>
      <c r="U1041">
        <v>0</v>
      </c>
      <c r="V1041">
        <v>0.21016430406173137</v>
      </c>
      <c r="W1041">
        <v>8.1417457940908419E-2</v>
      </c>
      <c r="X1041">
        <v>2.8906814245568398E-2</v>
      </c>
      <c r="Y1041">
        <v>3.8160341286957232E-3</v>
      </c>
    </row>
    <row r="1042" spans="1:25" x14ac:dyDescent="0.25">
      <c r="A1042" s="1095"/>
      <c r="B1042" s="1454">
        <v>792</v>
      </c>
      <c r="C1042" s="1099">
        <v>0.97694648656603833</v>
      </c>
      <c r="D1042" s="1099">
        <v>0.99151067570980622</v>
      </c>
      <c r="E1042" s="1099">
        <v>0.99682207681683033</v>
      </c>
      <c r="F1042" s="1099">
        <v>1.0174767128382507</v>
      </c>
      <c r="G1042" s="1099">
        <v>0.9859327469293514</v>
      </c>
      <c r="H1042" s="1099">
        <v>1.0067688058505606</v>
      </c>
      <c r="I1042" s="1099">
        <v>0.97717603454678637</v>
      </c>
      <c r="K1042">
        <v>1.7704376298416702</v>
      </c>
      <c r="L1042">
        <v>0</v>
      </c>
      <c r="M1042">
        <v>1.4331446330872494E-3</v>
      </c>
      <c r="N1042">
        <v>0.13057509650015747</v>
      </c>
      <c r="O1042">
        <v>0.13042686403963838</v>
      </c>
      <c r="P1042">
        <v>1.8641470082014604E-2</v>
      </c>
      <c r="Q1042">
        <v>9.2010872396543263E-4</v>
      </c>
      <c r="R1042">
        <v>1.4294774234480906E-3</v>
      </c>
      <c r="S1042">
        <v>0.10900335729963476</v>
      </c>
      <c r="T1042">
        <v>1.0491709647253229</v>
      </c>
      <c r="U1042">
        <v>0</v>
      </c>
      <c r="V1042">
        <v>0.21167873846374555</v>
      </c>
      <c r="W1042">
        <v>8.5941336856200659E-2</v>
      </c>
      <c r="X1042">
        <v>3.0192794041111363E-2</v>
      </c>
      <c r="Y1042">
        <v>3.8905663195197087E-3</v>
      </c>
    </row>
    <row r="1043" spans="1:25" x14ac:dyDescent="0.25">
      <c r="A1043" s="1095"/>
      <c r="B1043" s="1454">
        <v>793</v>
      </c>
      <c r="C1043" s="1099">
        <v>0.98580516539251739</v>
      </c>
      <c r="D1043" s="1099">
        <v>0.97398423486443475</v>
      </c>
      <c r="E1043" s="1099">
        <v>1.0063800251973265</v>
      </c>
      <c r="F1043" s="1099">
        <v>0.99772226763970406</v>
      </c>
      <c r="G1043" s="1099">
        <v>0.9882666332091623</v>
      </c>
      <c r="H1043" s="1099">
        <v>1.0067689539211035</v>
      </c>
      <c r="I1043" s="1099">
        <v>1.0177233596461599</v>
      </c>
      <c r="K1043">
        <v>1.7537308699290139</v>
      </c>
      <c r="L1043">
        <v>0</v>
      </c>
      <c r="M1043">
        <v>1.4056605964149359E-3</v>
      </c>
      <c r="N1043">
        <v>0.13182352306909487</v>
      </c>
      <c r="O1043">
        <v>0.12930056859872283</v>
      </c>
      <c r="P1043">
        <v>1.8540455477057155E-2</v>
      </c>
      <c r="Q1043">
        <v>9.2750679250391539E-4</v>
      </c>
      <c r="R1043">
        <v>1.4020721942690979E-3</v>
      </c>
      <c r="S1043">
        <v>0.11369607649159204</v>
      </c>
      <c r="T1043">
        <v>1.0285181440800562</v>
      </c>
      <c r="U1043">
        <v>0</v>
      </c>
      <c r="V1043">
        <v>0.2105459973231322</v>
      </c>
      <c r="W1043">
        <v>8.6272159021615738E-2</v>
      </c>
      <c r="X1043">
        <v>3.0294049157558688E-2</v>
      </c>
      <c r="Y1043">
        <v>3.8159783198258596E-3</v>
      </c>
    </row>
    <row r="1044" spans="1:25" x14ac:dyDescent="0.25">
      <c r="A1044" s="1095"/>
      <c r="B1044" s="1454">
        <v>794</v>
      </c>
      <c r="C1044" s="1099">
        <v>0.97271433744116054</v>
      </c>
      <c r="D1044" s="1099">
        <v>0.99486305448478851</v>
      </c>
      <c r="E1044" s="1099">
        <v>1.0004892182356762</v>
      </c>
      <c r="F1044" s="1099">
        <v>1.0153166800516635</v>
      </c>
      <c r="G1044" s="1099">
        <v>1.0191087929128306</v>
      </c>
      <c r="H1044" s="1099">
        <v>0.9903111155097184</v>
      </c>
      <c r="I1044" s="1099">
        <v>0.99275165453401493</v>
      </c>
      <c r="K1044">
        <v>1.7680623206952557</v>
      </c>
      <c r="L1044">
        <v>0</v>
      </c>
      <c r="M1044">
        <v>1.4015643816861784E-3</v>
      </c>
      <c r="N1044">
        <v>0.12911468699158074</v>
      </c>
      <c r="O1044">
        <v>0.13034860534443299</v>
      </c>
      <c r="P1044">
        <v>1.8695550108463289E-2</v>
      </c>
      <c r="Q1044">
        <v>9.2638318189186975E-4</v>
      </c>
      <c r="R1044">
        <v>1.3979140532466854E-3</v>
      </c>
      <c r="S1044">
        <v>0.10978203899681514</v>
      </c>
      <c r="T1044">
        <v>1.0468328156551201</v>
      </c>
      <c r="U1044">
        <v>0</v>
      </c>
      <c r="V1044">
        <v>0.21345337085490709</v>
      </c>
      <c r="W1044">
        <v>8.4794918074690528E-2</v>
      </c>
      <c r="X1044">
        <v>3.0312940585099372E-2</v>
      </c>
      <c r="Y1044">
        <v>3.8046612306936742E-3</v>
      </c>
    </row>
    <row r="1045" spans="1:25" x14ac:dyDescent="0.25">
      <c r="A1045" s="1095"/>
      <c r="B1045" s="1454">
        <v>795</v>
      </c>
      <c r="C1045" s="1099">
        <v>1.0053458491100866</v>
      </c>
      <c r="D1045" s="1099">
        <v>1.0405093443999736</v>
      </c>
      <c r="E1045" s="1099">
        <v>1.0103211435501027</v>
      </c>
      <c r="F1045" s="1099">
        <v>0.99612382251424247</v>
      </c>
      <c r="G1045" s="1099">
        <v>0.99498041530494097</v>
      </c>
      <c r="H1045" s="1099">
        <v>1.0039719480558491</v>
      </c>
      <c r="I1045" s="1099">
        <v>1.0047687599377584</v>
      </c>
      <c r="K1045">
        <v>1.7231305960996937</v>
      </c>
      <c r="L1045">
        <v>0</v>
      </c>
      <c r="M1045">
        <v>1.3132962071495241E-3</v>
      </c>
      <c r="N1045">
        <v>0.12463147438945725</v>
      </c>
      <c r="O1045">
        <v>0.1251686002010424</v>
      </c>
      <c r="P1045">
        <v>1.8412373566583626E-2</v>
      </c>
      <c r="Q1045">
        <v>8.8936863468685459E-4</v>
      </c>
      <c r="R1045">
        <v>1.3098972623342192E-3</v>
      </c>
      <c r="S1045">
        <v>0.10558695364348485</v>
      </c>
      <c r="T1045">
        <v>1.0267546322028633</v>
      </c>
      <c r="U1045">
        <v>0</v>
      </c>
      <c r="V1045">
        <v>0.20716389467089746</v>
      </c>
      <c r="W1045">
        <v>8.1375726493904857E-2</v>
      </c>
      <c r="X1045">
        <v>2.9585862701028653E-2</v>
      </c>
      <c r="Y1045">
        <v>3.5651085405572669E-3</v>
      </c>
    </row>
    <row r="1046" spans="1:25" x14ac:dyDescent="0.25">
      <c r="A1046" s="1095"/>
      <c r="B1046" s="1454">
        <v>796</v>
      </c>
      <c r="C1046" s="1099">
        <v>0.98902769951099845</v>
      </c>
      <c r="D1046" s="1099">
        <v>1.0012030928163256</v>
      </c>
      <c r="E1046" s="1099">
        <v>0.99977493625446445</v>
      </c>
      <c r="F1046" s="1099">
        <v>0.97179959354403556</v>
      </c>
      <c r="G1046" s="1099">
        <v>1.0117680020856152</v>
      </c>
      <c r="H1046" s="1099">
        <v>0.97235503925746858</v>
      </c>
      <c r="I1046" s="1099">
        <v>1.0278037171325383</v>
      </c>
      <c r="K1046">
        <v>1.7038709237204488</v>
      </c>
      <c r="L1046">
        <v>0</v>
      </c>
      <c r="M1046">
        <v>1.3470906917155293E-3</v>
      </c>
      <c r="N1046">
        <v>0.12382178553766898</v>
      </c>
      <c r="O1046">
        <v>0.12584601237514598</v>
      </c>
      <c r="P1046">
        <v>1.8016994391889623E-2</v>
      </c>
      <c r="Q1046">
        <v>9.0811817836264081E-4</v>
      </c>
      <c r="R1046">
        <v>1.3435043742301143E-3</v>
      </c>
      <c r="S1046">
        <v>0.10986997957040509</v>
      </c>
      <c r="T1046">
        <v>1.0019855604197128</v>
      </c>
      <c r="U1046">
        <v>0</v>
      </c>
      <c r="V1046">
        <v>0.20918543005808884</v>
      </c>
      <c r="W1046">
        <v>8.1353378322341449E-2</v>
      </c>
      <c r="X1046">
        <v>2.9230675163759837E-2</v>
      </c>
      <c r="Y1046">
        <v>3.6565760205564332E-3</v>
      </c>
    </row>
    <row r="1047" spans="1:25" x14ac:dyDescent="0.25">
      <c r="A1047" s="1095"/>
      <c r="B1047" s="1454">
        <v>797</v>
      </c>
      <c r="C1047" s="1099">
        <v>1.042338596272758</v>
      </c>
      <c r="D1047" s="1099">
        <v>0.98082948501123557</v>
      </c>
      <c r="E1047" s="1099">
        <v>0.98583314103311659</v>
      </c>
      <c r="F1047" s="1099">
        <v>0.96035098437934219</v>
      </c>
      <c r="G1047" s="1099">
        <v>0.9919847066596994</v>
      </c>
      <c r="H1047" s="1099">
        <v>1.0024382552569673</v>
      </c>
      <c r="I1047" s="1099">
        <v>0.98193933092457075</v>
      </c>
      <c r="K1047">
        <v>1.6727495762072868</v>
      </c>
      <c r="L1047">
        <v>0</v>
      </c>
      <c r="M1047">
        <v>1.3775352850975559E-3</v>
      </c>
      <c r="N1047">
        <v>0.12140685961996692</v>
      </c>
      <c r="O1047">
        <v>0.12318969383767051</v>
      </c>
      <c r="P1047">
        <v>1.7511517287557329E-2</v>
      </c>
      <c r="Q1047">
        <v>8.5627176226414897E-4</v>
      </c>
      <c r="R1047">
        <v>1.3740037353422389E-3</v>
      </c>
      <c r="S1047">
        <v>0.10307146282717169</v>
      </c>
      <c r="T1047">
        <v>0.99058222096047421</v>
      </c>
      <c r="U1047">
        <v>0</v>
      </c>
      <c r="V1047">
        <v>0.20383930731116967</v>
      </c>
      <c r="W1047">
        <v>8.0434240276226934E-2</v>
      </c>
      <c r="X1047">
        <v>2.8121948647147493E-2</v>
      </c>
      <c r="Y1047">
        <v>3.7395852273919483E-3</v>
      </c>
    </row>
    <row r="1048" spans="1:25" x14ac:dyDescent="0.25">
      <c r="A1048" s="1095"/>
      <c r="B1048" s="1454">
        <v>798</v>
      </c>
      <c r="C1048" s="1099">
        <v>0.96646248621956143</v>
      </c>
      <c r="D1048" s="1099">
        <v>1.0177920759568566</v>
      </c>
      <c r="E1048" s="1099">
        <v>0.97507268317245288</v>
      </c>
      <c r="F1048" s="1099">
        <v>1.0114879802577617</v>
      </c>
      <c r="G1048" s="1099">
        <v>0.98272379854700831</v>
      </c>
      <c r="H1048" s="1099">
        <v>0.98496401673819323</v>
      </c>
      <c r="I1048" s="1099">
        <v>0.99188382943544517</v>
      </c>
      <c r="K1048">
        <v>1.7520307066548801</v>
      </c>
      <c r="L1048">
        <v>0</v>
      </c>
      <c r="M1048">
        <v>1.4578920398492527E-3</v>
      </c>
      <c r="N1048">
        <v>0.12436466340179025</v>
      </c>
      <c r="O1048">
        <v>0.12922854967597325</v>
      </c>
      <c r="P1048">
        <v>1.8250066161631606E-2</v>
      </c>
      <c r="Q1048">
        <v>8.9973196142998995E-4</v>
      </c>
      <c r="R1048">
        <v>1.4540547305543021E-3</v>
      </c>
      <c r="S1048">
        <v>0.10837034292091398</v>
      </c>
      <c r="T1048">
        <v>1.0436588765976023</v>
      </c>
      <c r="U1048">
        <v>0</v>
      </c>
      <c r="V1048">
        <v>0.21127983552001656</v>
      </c>
      <c r="W1048">
        <v>8.2930737410291805E-2</v>
      </c>
      <c r="X1048">
        <v>2.9094282666970672E-2</v>
      </c>
      <c r="Y1048">
        <v>3.9574576475557063E-3</v>
      </c>
    </row>
    <row r="1049" spans="1:25" x14ac:dyDescent="0.25">
      <c r="A1049" s="1095"/>
      <c r="B1049" s="1454">
        <v>799</v>
      </c>
      <c r="C1049" s="1099">
        <v>0.99761433613117656</v>
      </c>
      <c r="D1049" s="1099">
        <v>1.009258227142835</v>
      </c>
      <c r="E1049" s="1099">
        <v>0.99633059199107976</v>
      </c>
      <c r="F1049" s="1099">
        <v>1.0039540576030077</v>
      </c>
      <c r="G1049" s="1099">
        <v>0.98114131191422316</v>
      </c>
      <c r="H1049" s="1099">
        <v>0.97057162427518262</v>
      </c>
      <c r="I1049" s="1099">
        <v>1.0016704054757075</v>
      </c>
      <c r="K1049">
        <v>1.7315790408003824</v>
      </c>
      <c r="L1049">
        <v>0</v>
      </c>
      <c r="M1049">
        <v>1.3410837622521961E-3</v>
      </c>
      <c r="N1049">
        <v>0.1219934311810387</v>
      </c>
      <c r="O1049">
        <v>0.12748143196299178</v>
      </c>
      <c r="P1049">
        <v>1.8356304920208781E-2</v>
      </c>
      <c r="Q1049">
        <v>8.9421833743874883E-4</v>
      </c>
      <c r="R1049">
        <v>1.3375142868538663E-3</v>
      </c>
      <c r="S1049">
        <v>0.10574270178513098</v>
      </c>
      <c r="T1049">
        <v>1.0352417991468228</v>
      </c>
      <c r="U1049">
        <v>0</v>
      </c>
      <c r="V1049">
        <v>0.20841065645061571</v>
      </c>
      <c r="W1049">
        <v>8.031661600354012E-2</v>
      </c>
      <c r="X1049">
        <v>2.9505177510642938E-2</v>
      </c>
      <c r="Y1049">
        <v>3.6402729773500593E-3</v>
      </c>
    </row>
    <row r="1050" spans="1:25" x14ac:dyDescent="0.25">
      <c r="A1050" s="1095"/>
      <c r="B1050" s="1454">
        <v>800</v>
      </c>
      <c r="C1050" s="1099">
        <v>0.96522176263366144</v>
      </c>
      <c r="D1050" s="1099">
        <v>1.005573816300418</v>
      </c>
      <c r="E1050" s="1099">
        <v>0.98491443304049786</v>
      </c>
      <c r="F1050" s="1099">
        <v>0.97597727916562915</v>
      </c>
      <c r="G1050" s="1099">
        <v>0.98472407048693789</v>
      </c>
      <c r="H1050" s="1099">
        <v>1.033314168424319</v>
      </c>
      <c r="I1050" s="1099">
        <v>1.025045457164941</v>
      </c>
      <c r="K1050">
        <v>1.7323512671333676</v>
      </c>
      <c r="L1050">
        <v>0</v>
      </c>
      <c r="M1050">
        <v>1.5062943407123683E-3</v>
      </c>
      <c r="N1050">
        <v>0.13239339513803794</v>
      </c>
      <c r="O1050">
        <v>0.1271617001855484</v>
      </c>
      <c r="P1050">
        <v>1.7979010378215879E-2</v>
      </c>
      <c r="Q1050">
        <v>9.146358960930328E-4</v>
      </c>
      <c r="R1050">
        <v>1.5025112688004684E-3</v>
      </c>
      <c r="S1050">
        <v>0.11631224124397509</v>
      </c>
      <c r="T1050">
        <v>1.0067274669485047</v>
      </c>
      <c r="U1050">
        <v>0</v>
      </c>
      <c r="V1050">
        <v>0.21001019942545612</v>
      </c>
      <c r="W1050">
        <v>8.776148312773277E-2</v>
      </c>
      <c r="X1050">
        <v>2.9005577490746125E-2</v>
      </c>
      <c r="Y1050">
        <v>4.0893403709682313E-3</v>
      </c>
    </row>
    <row r="1051" spans="1:25" x14ac:dyDescent="0.25">
      <c r="A1051" s="1095"/>
      <c r="B1051" s="1454">
        <v>801</v>
      </c>
      <c r="C1051" s="1099">
        <v>1.0232269947726842</v>
      </c>
      <c r="D1051" s="1099">
        <v>0.99760022410037641</v>
      </c>
      <c r="E1051" s="1099">
        <v>1.0058604247973291</v>
      </c>
      <c r="F1051" s="1099">
        <v>1.0146330173514995</v>
      </c>
      <c r="G1051" s="1099">
        <v>0.98162472734995332</v>
      </c>
      <c r="H1051" s="1099">
        <v>1.0124077474437276</v>
      </c>
      <c r="I1051" s="1099">
        <v>1.0419142624164057</v>
      </c>
      <c r="K1051">
        <v>1.754405519967722</v>
      </c>
      <c r="L1051">
        <v>0</v>
      </c>
      <c r="M1051">
        <v>1.3503818987806216E-3</v>
      </c>
      <c r="N1051">
        <v>0.1264427244527811</v>
      </c>
      <c r="O1051">
        <v>0.12754799344979609</v>
      </c>
      <c r="P1051">
        <v>1.869313490688532E-2</v>
      </c>
      <c r="Q1051">
        <v>8.84588218510008E-4</v>
      </c>
      <c r="R1051">
        <v>1.346954008649644E-3</v>
      </c>
      <c r="S1051">
        <v>0.11122494095576151</v>
      </c>
      <c r="T1051">
        <v>1.0459664402718403</v>
      </c>
      <c r="U1051">
        <v>0</v>
      </c>
      <c r="V1051">
        <v>0.20723947628599496</v>
      </c>
      <c r="W1051">
        <v>8.2776121021988239E-2</v>
      </c>
      <c r="X1051">
        <v>2.9967563506019181E-2</v>
      </c>
      <c r="Y1051">
        <v>3.6659647882747145E-3</v>
      </c>
    </row>
    <row r="1052" spans="1:25" x14ac:dyDescent="0.25">
      <c r="A1052" s="1095"/>
      <c r="B1052" s="1454">
        <v>802</v>
      </c>
      <c r="C1052" s="1099">
        <v>1.015486389547724</v>
      </c>
      <c r="D1052" s="1099">
        <v>0.99696889318339244</v>
      </c>
      <c r="E1052" s="1099">
        <v>0.97792947688165721</v>
      </c>
      <c r="F1052" s="1099">
        <v>0.99988928390715048</v>
      </c>
      <c r="G1052" s="1099">
        <v>0.97698383298838709</v>
      </c>
      <c r="H1052" s="1099">
        <v>0.97313768842461001</v>
      </c>
      <c r="I1052" s="1099">
        <v>0.99533470923826117</v>
      </c>
      <c r="K1052">
        <v>1.719007716383292</v>
      </c>
      <c r="L1052">
        <v>0</v>
      </c>
      <c r="M1052">
        <v>1.3837423488645701E-3</v>
      </c>
      <c r="N1052">
        <v>0.11906274655641676</v>
      </c>
      <c r="O1052">
        <v>0.12674710698723374</v>
      </c>
      <c r="P1052">
        <v>1.8012734680416718E-2</v>
      </c>
      <c r="Q1052">
        <v>8.6599949045287753E-4</v>
      </c>
      <c r="R1052">
        <v>1.3800816446469921E-3</v>
      </c>
      <c r="S1052">
        <v>0.10422976645538511</v>
      </c>
      <c r="T1052">
        <v>1.0316043591245561</v>
      </c>
      <c r="U1052">
        <v>0</v>
      </c>
      <c r="V1052">
        <v>0.20682225264382048</v>
      </c>
      <c r="W1052">
        <v>7.9258014042894051E-2</v>
      </c>
      <c r="X1052">
        <v>2.8652269813396022E-2</v>
      </c>
      <c r="Y1052">
        <v>3.756127292937225E-3</v>
      </c>
    </row>
    <row r="1053" spans="1:25" x14ac:dyDescent="0.25">
      <c r="A1053" s="1095"/>
      <c r="B1053" s="1454">
        <v>803</v>
      </c>
      <c r="C1053" s="1099">
        <v>1.009024032310925</v>
      </c>
      <c r="D1053" s="1099">
        <v>1.0019514571034454</v>
      </c>
      <c r="E1053" s="1099">
        <v>1.0348704817145042</v>
      </c>
      <c r="F1053" s="1099">
        <v>0.99097020861797558</v>
      </c>
      <c r="G1053" s="1099">
        <v>1.0205946624319475</v>
      </c>
      <c r="H1053" s="1099">
        <v>1.0428892812503909</v>
      </c>
      <c r="I1053" s="1099">
        <v>1.0092592261636197</v>
      </c>
      <c r="K1053">
        <v>1.7429932698372861</v>
      </c>
      <c r="L1053">
        <v>0</v>
      </c>
      <c r="M1053">
        <v>1.3204025417473109E-3</v>
      </c>
      <c r="N1053">
        <v>0.13495183065704375</v>
      </c>
      <c r="O1053">
        <v>0.12640198483604603</v>
      </c>
      <c r="P1053">
        <v>1.8762184356344285E-2</v>
      </c>
      <c r="Q1053">
        <v>9.2252427661701074E-4</v>
      </c>
      <c r="R1053">
        <v>1.3171357159914993E-3</v>
      </c>
      <c r="S1053">
        <v>0.11091808762869348</v>
      </c>
      <c r="T1053">
        <v>1.0207356543995683</v>
      </c>
      <c r="U1053">
        <v>0</v>
      </c>
      <c r="V1053">
        <v>0.20901605745124216</v>
      </c>
      <c r="W1053">
        <v>8.6860213578122694E-2</v>
      </c>
      <c r="X1053">
        <v>3.0843190254106034E-2</v>
      </c>
      <c r="Y1053">
        <v>3.5848092252567759E-3</v>
      </c>
    </row>
    <row r="1054" spans="1:25" x14ac:dyDescent="0.25">
      <c r="A1054" s="1095"/>
      <c r="B1054" s="1454">
        <v>804</v>
      </c>
      <c r="C1054" s="1099">
        <v>1.0215200500697497</v>
      </c>
      <c r="D1054" s="1099">
        <v>0.98659836152461478</v>
      </c>
      <c r="E1054" s="1099">
        <v>1.0121835675076851</v>
      </c>
      <c r="F1054" s="1099">
        <v>0.99634090098514783</v>
      </c>
      <c r="G1054" s="1099">
        <v>0.9714891054935163</v>
      </c>
      <c r="H1054" s="1099">
        <v>0.98250043376169605</v>
      </c>
      <c r="I1054" s="1099">
        <v>1.0404114468543344</v>
      </c>
      <c r="K1054">
        <v>1.7278907028730064</v>
      </c>
      <c r="L1054">
        <v>0</v>
      </c>
      <c r="M1054">
        <v>1.3018649687382058E-3</v>
      </c>
      <c r="N1054">
        <v>0.12423990225525543</v>
      </c>
      <c r="O1054">
        <v>0.12678859024643524</v>
      </c>
      <c r="P1054">
        <v>1.8485389671434153E-2</v>
      </c>
      <c r="Q1054">
        <v>8.9583132794985719E-4</v>
      </c>
      <c r="R1054">
        <v>1.2984610886407548E-3</v>
      </c>
      <c r="S1054">
        <v>0.10975578241897914</v>
      </c>
      <c r="T1054">
        <v>1.0269238446005133</v>
      </c>
      <c r="U1054">
        <v>0</v>
      </c>
      <c r="V1054">
        <v>0.20628788374541854</v>
      </c>
      <c r="W1054">
        <v>8.1031105407996587E-2</v>
      </c>
      <c r="X1054">
        <v>2.9951794033422297E-2</v>
      </c>
      <c r="Y1054">
        <v>3.5339830456973011E-3</v>
      </c>
    </row>
    <row r="1055" spans="1:25" x14ac:dyDescent="0.25">
      <c r="A1055" s="1095"/>
      <c r="B1055" s="1454">
        <v>805</v>
      </c>
      <c r="C1055" s="1099">
        <v>0.9981566388662606</v>
      </c>
      <c r="D1055" s="1099">
        <v>1.0230924950266835</v>
      </c>
      <c r="E1055" s="1099">
        <v>0.97582553388718185</v>
      </c>
      <c r="F1055" s="1099">
        <v>0.97402252016042234</v>
      </c>
      <c r="G1055" s="1099">
        <v>1.0244956877808258</v>
      </c>
      <c r="H1055" s="1099">
        <v>0.98024287453958137</v>
      </c>
      <c r="I1055" s="1099">
        <v>1.005196274894995</v>
      </c>
      <c r="K1055">
        <v>1.6930786198049077</v>
      </c>
      <c r="L1055">
        <v>0</v>
      </c>
      <c r="M1055">
        <v>1.3975573996895222E-3</v>
      </c>
      <c r="N1055">
        <v>0.11948780082985637</v>
      </c>
      <c r="O1055">
        <v>0.12448808960505818</v>
      </c>
      <c r="P1055">
        <v>1.7667782393241689E-2</v>
      </c>
      <c r="Q1055">
        <v>8.7004273949530843E-4</v>
      </c>
      <c r="R1055">
        <v>1.3938554101628803E-3</v>
      </c>
      <c r="S1055">
        <v>0.10563176825871372</v>
      </c>
      <c r="T1055">
        <v>1.0049794720337608</v>
      </c>
      <c r="U1055">
        <v>0</v>
      </c>
      <c r="V1055">
        <v>0.20844005584340591</v>
      </c>
      <c r="W1055">
        <v>7.9642329997256053E-2</v>
      </c>
      <c r="X1055">
        <v>2.8081365151494446E-2</v>
      </c>
      <c r="Y1055">
        <v>3.7936149421508884E-3</v>
      </c>
    </row>
    <row r="1056" spans="1:25" x14ac:dyDescent="0.25">
      <c r="A1056" s="1095"/>
      <c r="B1056" s="1454">
        <v>806</v>
      </c>
      <c r="C1056" s="1099">
        <v>0.99877547939420264</v>
      </c>
      <c r="D1056" s="1099">
        <v>0.9808304890504127</v>
      </c>
      <c r="E1056" s="1099">
        <v>0.98858285019371439</v>
      </c>
      <c r="F1056" s="1099">
        <v>0.99979464036760191</v>
      </c>
      <c r="G1056" s="1099">
        <v>1.0027217344529604</v>
      </c>
      <c r="H1056" s="1099">
        <v>1.0191014108605199</v>
      </c>
      <c r="I1056" s="1099">
        <v>1.0040953991308117</v>
      </c>
      <c r="K1056">
        <v>1.747841892473142</v>
      </c>
      <c r="L1056">
        <v>0</v>
      </c>
      <c r="M1056">
        <v>1.4531162578505601E-3</v>
      </c>
      <c r="N1056">
        <v>0.12914283247855679</v>
      </c>
      <c r="O1056">
        <v>0.12838687348341524</v>
      </c>
      <c r="P1056">
        <v>1.828968236125773E-2</v>
      </c>
      <c r="Q1056">
        <v>8.961877622888526E-4</v>
      </c>
      <c r="R1056">
        <v>1.4494515955973861E-3</v>
      </c>
      <c r="S1056">
        <v>0.11117745461500333</v>
      </c>
      <c r="T1056">
        <v>1.0311847659493267</v>
      </c>
      <c r="U1056">
        <v>0</v>
      </c>
      <c r="V1056">
        <v>0.20997803669098192</v>
      </c>
      <c r="W1056">
        <v>8.5418329757721623E-2</v>
      </c>
      <c r="X1056">
        <v>2.9426464605217192E-2</v>
      </c>
      <c r="Y1056">
        <v>3.9449294316260099E-3</v>
      </c>
    </row>
    <row r="1057" spans="1:25" x14ac:dyDescent="0.25">
      <c r="A1057" s="1095"/>
      <c r="B1057" s="1454">
        <v>807</v>
      </c>
      <c r="C1057" s="1099">
        <v>0.98247925220397259</v>
      </c>
      <c r="D1057" s="1099">
        <v>0.96933256322728356</v>
      </c>
      <c r="E1057" s="1099">
        <v>1.0067546898655899</v>
      </c>
      <c r="F1057" s="1099">
        <v>0.99965729321123353</v>
      </c>
      <c r="G1057" s="1099">
        <v>1.0377206892537456</v>
      </c>
      <c r="H1057" s="1099">
        <v>1.0191160007441054</v>
      </c>
      <c r="I1057" s="1099">
        <v>0.97721903845206914</v>
      </c>
      <c r="K1057">
        <v>1.7605717360316082</v>
      </c>
      <c r="L1057">
        <v>0</v>
      </c>
      <c r="M1057">
        <v>1.4304553848105198E-3</v>
      </c>
      <c r="N1057">
        <v>0.13430508056126472</v>
      </c>
      <c r="O1057">
        <v>0.12985527499758695</v>
      </c>
      <c r="P1057">
        <v>1.8572382593628079E-2</v>
      </c>
      <c r="Q1057">
        <v>9.3279146821118866E-4</v>
      </c>
      <c r="R1057">
        <v>1.4268507390113E-3</v>
      </c>
      <c r="S1057">
        <v>0.11072969229092096</v>
      </c>
      <c r="T1057">
        <v>1.0305018358170617</v>
      </c>
      <c r="U1057">
        <v>0</v>
      </c>
      <c r="V1057">
        <v>0.21348222022105209</v>
      </c>
      <c r="W1057">
        <v>8.7876749675378507E-2</v>
      </c>
      <c r="X1057">
        <v>3.0435895701933662E-2</v>
      </c>
      <c r="Y1057">
        <v>3.8834173503690564E-3</v>
      </c>
    </row>
    <row r="1058" spans="1:25" x14ac:dyDescent="0.25">
      <c r="A1058" s="1095"/>
      <c r="B1058" s="1454">
        <v>808</v>
      </c>
      <c r="C1058" s="1099">
        <v>0.99215346005123872</v>
      </c>
      <c r="D1058" s="1099">
        <v>0.97561104096653239</v>
      </c>
      <c r="E1058" s="1099">
        <v>1.0243171174614654</v>
      </c>
      <c r="F1058" s="1099">
        <v>0.98101992212807099</v>
      </c>
      <c r="G1058" s="1099">
        <v>1.005393907928142</v>
      </c>
      <c r="H1058" s="1099">
        <v>1.0449154507806799</v>
      </c>
      <c r="I1058" s="1099">
        <v>0.97865824618542074</v>
      </c>
      <c r="K1058">
        <v>1.7407932265261086</v>
      </c>
      <c r="L1058">
        <v>0</v>
      </c>
      <c r="M1058">
        <v>1.3938157058708488E-3</v>
      </c>
      <c r="N1058">
        <v>0.13799575302857645</v>
      </c>
      <c r="O1058">
        <v>0.12767537230457127</v>
      </c>
      <c r="P1058">
        <v>1.8496798603541423E-2</v>
      </c>
      <c r="Q1058">
        <v>9.3810299415563749E-4</v>
      </c>
      <c r="R1058">
        <v>1.3903830793282528E-3</v>
      </c>
      <c r="S1058">
        <v>0.11114681472448992</v>
      </c>
      <c r="T1058">
        <v>1.0107851833974955</v>
      </c>
      <c r="U1058">
        <v>0</v>
      </c>
      <c r="V1058">
        <v>0.20994669671716806</v>
      </c>
      <c r="W1058">
        <v>8.9365351213366404E-2</v>
      </c>
      <c r="X1058">
        <v>3.066242176701307E-2</v>
      </c>
      <c r="Y1058">
        <v>3.7841644022725833E-3</v>
      </c>
    </row>
    <row r="1059" spans="1:25" x14ac:dyDescent="0.25">
      <c r="A1059" s="1095"/>
      <c r="B1059" s="1454">
        <v>809</v>
      </c>
      <c r="C1059" s="1099">
        <v>1.0156704404723651</v>
      </c>
      <c r="D1059" s="1099">
        <v>1.0442496755295374</v>
      </c>
      <c r="E1059" s="1099">
        <v>0.95755498125091565</v>
      </c>
      <c r="F1059" s="1099">
        <v>0.98727780610658822</v>
      </c>
      <c r="G1059" s="1099">
        <v>1.0324023435551637</v>
      </c>
      <c r="H1059" s="1099">
        <v>1.0114408232178658</v>
      </c>
      <c r="I1059" s="1099">
        <v>1.0330200593015737</v>
      </c>
      <c r="K1059">
        <v>1.7050491734049298</v>
      </c>
      <c r="L1059">
        <v>0</v>
      </c>
      <c r="M1059">
        <v>1.4577030487368426E-3</v>
      </c>
      <c r="N1059">
        <v>0.11793033866865962</v>
      </c>
      <c r="O1059">
        <v>0.12362556915229464</v>
      </c>
      <c r="P1059">
        <v>1.7622339771126792E-2</v>
      </c>
      <c r="Q1059">
        <v>8.3187071565477607E-4</v>
      </c>
      <c r="R1059">
        <v>1.4539559292303865E-3</v>
      </c>
      <c r="S1059">
        <v>0.10764517987403857</v>
      </c>
      <c r="T1059">
        <v>1.0192102294039518</v>
      </c>
      <c r="U1059">
        <v>0</v>
      </c>
      <c r="V1059">
        <v>0.20741771651184049</v>
      </c>
      <c r="W1059">
        <v>7.9485532142321208E-2</v>
      </c>
      <c r="X1059">
        <v>2.7326955541628128E-2</v>
      </c>
      <c r="Y1059">
        <v>3.9571887429218546E-3</v>
      </c>
    </row>
    <row r="1060" spans="1:25" x14ac:dyDescent="0.25">
      <c r="A1060" s="1095"/>
      <c r="B1060" s="1454">
        <v>810</v>
      </c>
      <c r="C1060" s="1099">
        <v>1.0372715650866213</v>
      </c>
      <c r="D1060" s="1099">
        <v>1.0001881077922026</v>
      </c>
      <c r="E1060" s="1099">
        <v>0.97049048654511361</v>
      </c>
      <c r="F1060" s="1099">
        <v>0.9963618400370664</v>
      </c>
      <c r="G1060" s="1099">
        <v>1.0040283837735318</v>
      </c>
      <c r="H1060" s="1099">
        <v>0.99297943564012914</v>
      </c>
      <c r="I1060" s="1099">
        <v>0.97464133527647134</v>
      </c>
      <c r="K1060">
        <v>1.708111794561187</v>
      </c>
      <c r="L1060">
        <v>0</v>
      </c>
      <c r="M1060">
        <v>1.4030464279246565E-3</v>
      </c>
      <c r="N1060">
        <v>0.11804224056698229</v>
      </c>
      <c r="O1060">
        <v>0.125225068631895</v>
      </c>
      <c r="P1060">
        <v>1.7813556183400199E-2</v>
      </c>
      <c r="Q1060">
        <v>8.4012346165422268E-4</v>
      </c>
      <c r="R1060">
        <v>1.3994117958059829E-3</v>
      </c>
      <c r="S1060">
        <v>0.10110497420781876</v>
      </c>
      <c r="T1060">
        <v>1.028191073211018</v>
      </c>
      <c r="U1060">
        <v>0</v>
      </c>
      <c r="V1060">
        <v>0.20607914607996666</v>
      </c>
      <c r="W1060">
        <v>7.8934069809621199E-2</v>
      </c>
      <c r="X1060">
        <v>2.8076439448738458E-2</v>
      </c>
      <c r="Y1060">
        <v>3.80873759220938E-3</v>
      </c>
    </row>
    <row r="1061" spans="1:25" x14ac:dyDescent="0.25">
      <c r="A1061" s="1095"/>
      <c r="B1061" s="1454">
        <v>811</v>
      </c>
      <c r="C1061" s="1099">
        <v>1.0005432597676467</v>
      </c>
      <c r="D1061" s="1099">
        <v>1.0176889009047634</v>
      </c>
      <c r="E1061" s="1099">
        <v>1.0124517970428903</v>
      </c>
      <c r="F1061" s="1099">
        <v>1.0036966159619638</v>
      </c>
      <c r="G1061" s="1099">
        <v>1.0072758186631789</v>
      </c>
      <c r="H1061" s="1099">
        <v>0.99986542597405614</v>
      </c>
      <c r="I1061" s="1099">
        <v>0.99346371201067152</v>
      </c>
      <c r="K1061">
        <v>1.7391619423733831</v>
      </c>
      <c r="L1061">
        <v>0</v>
      </c>
      <c r="M1061">
        <v>1.3259572596058436E-3</v>
      </c>
      <c r="N1061">
        <v>0.12664506330507044</v>
      </c>
      <c r="O1061">
        <v>0.1269959002765372</v>
      </c>
      <c r="P1061">
        <v>1.8583050056259862E-2</v>
      </c>
      <c r="Q1061">
        <v>9.0358164585022072E-4</v>
      </c>
      <c r="R1061">
        <v>1.3225267919940984E-3</v>
      </c>
      <c r="S1061">
        <v>0.10608678961604084</v>
      </c>
      <c r="T1061">
        <v>1.0344974405546588</v>
      </c>
      <c r="U1061">
        <v>0</v>
      </c>
      <c r="V1061">
        <v>0.2092126558544318</v>
      </c>
      <c r="W1061">
        <v>8.2586747258270324E-2</v>
      </c>
      <c r="X1061">
        <v>3.0054662316905654E-2</v>
      </c>
      <c r="Y1061">
        <v>3.5994819569681244E-3</v>
      </c>
    </row>
    <row r="1062" spans="1:25" x14ac:dyDescent="0.25">
      <c r="A1062" s="1095"/>
      <c r="B1062" s="1454">
        <v>812</v>
      </c>
      <c r="C1062" s="1099">
        <v>1.0103172515335264</v>
      </c>
      <c r="D1062" s="1099">
        <v>1.0087893809518187</v>
      </c>
      <c r="E1062" s="1099">
        <v>1.0045865874477069</v>
      </c>
      <c r="F1062" s="1099">
        <v>0.98722567365617253</v>
      </c>
      <c r="G1062" s="1099">
        <v>0.99722915271782364</v>
      </c>
      <c r="H1062" s="1099">
        <v>0.97568213059777453</v>
      </c>
      <c r="I1062" s="1099">
        <v>1.0050247044699321</v>
      </c>
      <c r="K1062">
        <v>1.7098205258535901</v>
      </c>
      <c r="L1062">
        <v>0</v>
      </c>
      <c r="M1062">
        <v>1.3084282938929091E-3</v>
      </c>
      <c r="N1062">
        <v>0.12203052704413329</v>
      </c>
      <c r="O1062">
        <v>0.12562521316765293</v>
      </c>
      <c r="P1062">
        <v>1.8206665119853336E-2</v>
      </c>
      <c r="Q1062">
        <v>8.9072941998141698E-4</v>
      </c>
      <c r="R1062">
        <v>1.30496290479664E-3</v>
      </c>
      <c r="S1062">
        <v>0.10513354402548657</v>
      </c>
      <c r="T1062">
        <v>1.0177499039985922</v>
      </c>
      <c r="U1062">
        <v>0</v>
      </c>
      <c r="V1062">
        <v>0.20729600999908701</v>
      </c>
      <c r="W1062">
        <v>7.994791914549082E-2</v>
      </c>
      <c r="X1062">
        <v>2.939180047645638E-2</v>
      </c>
      <c r="Y1062">
        <v>3.5516788459505001E-3</v>
      </c>
    </row>
    <row r="1063" spans="1:25" x14ac:dyDescent="0.25">
      <c r="A1063" s="1095"/>
      <c r="B1063" s="1454">
        <v>813</v>
      </c>
      <c r="C1063" s="1099">
        <v>1.0025431391254636</v>
      </c>
      <c r="D1063" s="1099">
        <v>1.0051391893367223</v>
      </c>
      <c r="E1063" s="1099">
        <v>0.99742735101268443</v>
      </c>
      <c r="F1063" s="1099">
        <v>1.0077231311644654</v>
      </c>
      <c r="G1063" s="1099">
        <v>1.0216632155315182</v>
      </c>
      <c r="H1063" s="1099">
        <v>0.99111700003559389</v>
      </c>
      <c r="I1063" s="1099">
        <v>1.01078150121841</v>
      </c>
      <c r="K1063">
        <v>1.7441291843925861</v>
      </c>
      <c r="L1063">
        <v>0</v>
      </c>
      <c r="M1063">
        <v>1.3639195003818277E-3</v>
      </c>
      <c r="N1063">
        <v>0.1244899795868688</v>
      </c>
      <c r="O1063">
        <v>0.12770618619918755</v>
      </c>
      <c r="P1063">
        <v>1.847926447538762E-2</v>
      </c>
      <c r="Q1063">
        <v>8.9229465193446482E-4</v>
      </c>
      <c r="R1063">
        <v>1.3603698392462022E-3</v>
      </c>
      <c r="S1063">
        <v>0.10794466522476981</v>
      </c>
      <c r="T1063">
        <v>1.0390953762794108</v>
      </c>
      <c r="U1063">
        <v>0</v>
      </c>
      <c r="V1063">
        <v>0.2102788251459452</v>
      </c>
      <c r="W1063">
        <v>8.1906724061538511E-2</v>
      </c>
      <c r="X1063">
        <v>2.9636940172048903E-2</v>
      </c>
      <c r="Y1063">
        <v>3.7024782566311772E-3</v>
      </c>
    </row>
    <row r="1064" spans="1:25" x14ac:dyDescent="0.25">
      <c r="A1064" s="1095"/>
      <c r="B1064" s="1454">
        <v>814</v>
      </c>
      <c r="C1064" s="1099">
        <v>0.9821454603956884</v>
      </c>
      <c r="D1064" s="1099">
        <v>0.97241002400680354</v>
      </c>
      <c r="E1064" s="1099">
        <v>1.0036586378748218</v>
      </c>
      <c r="F1064" s="1099">
        <v>0.97377635350330061</v>
      </c>
      <c r="G1064" s="1099">
        <v>1.0146096442309702</v>
      </c>
      <c r="H1064" s="1099">
        <v>0.99286152450044896</v>
      </c>
      <c r="I1064" s="1099">
        <v>0.97571323314432135</v>
      </c>
      <c r="K1064">
        <v>1.71857448260477</v>
      </c>
      <c r="L1064">
        <v>0</v>
      </c>
      <c r="M1064">
        <v>1.3970861574449267E-3</v>
      </c>
      <c r="N1064">
        <v>0.12994158053902544</v>
      </c>
      <c r="O1064">
        <v>0.12770076734031033</v>
      </c>
      <c r="P1064">
        <v>1.8098442410729016E-2</v>
      </c>
      <c r="Q1064">
        <v>9.2894769712536965E-4</v>
      </c>
      <c r="R1064">
        <v>1.3934616343142894E-3</v>
      </c>
      <c r="S1064">
        <v>0.1083568716337272</v>
      </c>
      <c r="T1064">
        <v>1.0039114925101718</v>
      </c>
      <c r="U1064">
        <v>0</v>
      </c>
      <c r="V1064">
        <v>0.21091174665374199</v>
      </c>
      <c r="W1064">
        <v>8.5177633083591983E-2</v>
      </c>
      <c r="X1064">
        <v>2.9758082045377693E-2</v>
      </c>
      <c r="Y1064">
        <v>3.7925432140991978E-3</v>
      </c>
    </row>
    <row r="1065" spans="1:25" x14ac:dyDescent="0.25">
      <c r="A1065" s="1095"/>
      <c r="B1065" s="1454">
        <v>815</v>
      </c>
      <c r="C1065" s="1099">
        <v>1.0068773078207094</v>
      </c>
      <c r="D1065" s="1099">
        <v>0.97985810936498741</v>
      </c>
      <c r="E1065" s="1099">
        <v>0.99993763062049179</v>
      </c>
      <c r="F1065" s="1099">
        <v>0.99021651501859442</v>
      </c>
      <c r="G1065" s="1099">
        <v>0.99691388566695927</v>
      </c>
      <c r="H1065" s="1099">
        <v>0.96700437062334799</v>
      </c>
      <c r="I1065" s="1099">
        <v>0.99364580159971727</v>
      </c>
      <c r="K1065">
        <v>1.7183806349991533</v>
      </c>
      <c r="L1065">
        <v>0</v>
      </c>
      <c r="M1065">
        <v>1.3364814033657139E-3</v>
      </c>
      <c r="N1065">
        <v>0.12290755698453086</v>
      </c>
      <c r="O1065">
        <v>0.12732442709187602</v>
      </c>
      <c r="P1065">
        <v>1.8211128752748829E-2</v>
      </c>
      <c r="Q1065">
        <v>8.9989353337807708E-4</v>
      </c>
      <c r="R1065">
        <v>1.3329293648165132E-3</v>
      </c>
      <c r="S1065">
        <v>0.10557556878341764</v>
      </c>
      <c r="T1065">
        <v>1.0209697571667111</v>
      </c>
      <c r="U1065">
        <v>0</v>
      </c>
      <c r="V1065">
        <v>0.2085726296519321</v>
      </c>
      <c r="W1065">
        <v>8.0744902938412702E-2</v>
      </c>
      <c r="X1065">
        <v>2.9550527803709332E-2</v>
      </c>
      <c r="Y1065">
        <v>3.6277943309835289E-3</v>
      </c>
    </row>
    <row r="1066" spans="1:25" x14ac:dyDescent="0.25">
      <c r="A1066" s="1095"/>
      <c r="B1066" s="1454">
        <v>816</v>
      </c>
      <c r="C1066" s="1099">
        <v>0.98883424950525178</v>
      </c>
      <c r="D1066" s="1099">
        <v>0.99696328003764823</v>
      </c>
      <c r="E1066" s="1099">
        <v>1.0406168999344612</v>
      </c>
      <c r="F1066" s="1099">
        <v>0.97944055142224185</v>
      </c>
      <c r="G1066" s="1099">
        <v>0.96036563124820606</v>
      </c>
      <c r="H1066" s="1099">
        <v>0.97134787559040281</v>
      </c>
      <c r="I1066" s="1099">
        <v>0.99254422581391277</v>
      </c>
      <c r="K1066">
        <v>1.7148444864085586</v>
      </c>
      <c r="L1066">
        <v>0</v>
      </c>
      <c r="M1066">
        <v>1.2402262371743046E-3</v>
      </c>
      <c r="N1066">
        <v>0.1289469086665298</v>
      </c>
      <c r="O1066">
        <v>0.12680282520091243</v>
      </c>
      <c r="P1066">
        <v>1.8584897739909435E-2</v>
      </c>
      <c r="Q1066">
        <v>9.487658998739867E-4</v>
      </c>
      <c r="R1066">
        <v>1.2369258516402503E-3</v>
      </c>
      <c r="S1066">
        <v>0.10644565477765391</v>
      </c>
      <c r="T1066">
        <v>1.0086986578433776</v>
      </c>
      <c r="U1066">
        <v>0</v>
      </c>
      <c r="V1066">
        <v>0.20736393679636278</v>
      </c>
      <c r="W1066">
        <v>8.2720501295605889E-2</v>
      </c>
      <c r="X1066">
        <v>3.0969134158198092E-2</v>
      </c>
      <c r="Y1066">
        <v>3.3665044156673536E-3</v>
      </c>
    </row>
    <row r="1067" spans="1:25" x14ac:dyDescent="0.25">
      <c r="A1067" s="1095"/>
      <c r="B1067" s="1454">
        <v>817</v>
      </c>
      <c r="C1067" s="1099">
        <v>1.0028649760898043</v>
      </c>
      <c r="D1067" s="1099">
        <v>0.96572132176030323</v>
      </c>
      <c r="E1067" s="1099">
        <v>1.0325037983442704</v>
      </c>
      <c r="F1067" s="1099">
        <v>0.96270141010985522</v>
      </c>
      <c r="G1067" s="1099">
        <v>1.0082648713563247</v>
      </c>
      <c r="H1067" s="1099">
        <v>0.99898434340531495</v>
      </c>
      <c r="I1067" s="1099">
        <v>0.97550557283031014</v>
      </c>
      <c r="K1067">
        <v>1.7041318535188055</v>
      </c>
      <c r="L1067">
        <v>0</v>
      </c>
      <c r="M1067">
        <v>1.3027617531296803E-3</v>
      </c>
      <c r="N1067">
        <v>0.1321894103610286</v>
      </c>
      <c r="O1067">
        <v>0.12619115081635193</v>
      </c>
      <c r="P1067">
        <v>1.8263743392142161E-2</v>
      </c>
      <c r="Q1067">
        <v>9.3969733378704572E-4</v>
      </c>
      <c r="R1067">
        <v>1.2994095840244276E-3</v>
      </c>
      <c r="S1067">
        <v>0.10707496027656702</v>
      </c>
      <c r="T1067">
        <v>0.99168321324746189</v>
      </c>
      <c r="U1067">
        <v>0</v>
      </c>
      <c r="V1067">
        <v>0.20853122564619259</v>
      </c>
      <c r="W1067">
        <v>8.519884157330089E-2</v>
      </c>
      <c r="X1067">
        <v>3.0526398503616436E-2</v>
      </c>
      <c r="Y1067">
        <v>3.5365645374602398E-3</v>
      </c>
    </row>
    <row r="1068" spans="1:25" x14ac:dyDescent="0.25">
      <c r="A1068" s="1095"/>
      <c r="B1068" s="1454">
        <v>818</v>
      </c>
      <c r="C1068" s="1099">
        <v>1.0065802688800356</v>
      </c>
      <c r="D1068" s="1099">
        <v>0.98165979282748206</v>
      </c>
      <c r="E1068" s="1099">
        <v>1.0032246413826598</v>
      </c>
      <c r="F1068" s="1099">
        <v>0.99771914299855524</v>
      </c>
      <c r="G1068" s="1099">
        <v>1.009128317755243</v>
      </c>
      <c r="H1068" s="1099">
        <v>1.0217617453784975</v>
      </c>
      <c r="I1068" s="1099">
        <v>1.0203131674979344</v>
      </c>
      <c r="K1068">
        <v>1.7470277898724047</v>
      </c>
      <c r="L1068">
        <v>0</v>
      </c>
      <c r="M1068">
        <v>1.4023632044343178E-3</v>
      </c>
      <c r="N1068">
        <v>0.13027194423695998</v>
      </c>
      <c r="O1068">
        <v>0.12784378598271759</v>
      </c>
      <c r="P1068">
        <v>1.8465249416003891E-2</v>
      </c>
      <c r="Q1068">
        <v>9.0256600324057539E-4</v>
      </c>
      <c r="R1068">
        <v>1.3988368592327259E-3</v>
      </c>
      <c r="S1068">
        <v>0.11229035614933829</v>
      </c>
      <c r="T1068">
        <v>1.0286080593278899</v>
      </c>
      <c r="U1068">
        <v>0</v>
      </c>
      <c r="V1068">
        <v>0.20953700754604776</v>
      </c>
      <c r="W1068">
        <v>8.5416158818951454E-2</v>
      </c>
      <c r="X1068">
        <v>2.9889015932071654E-2</v>
      </c>
      <c r="Y1068">
        <v>3.8071728043847643E-3</v>
      </c>
    </row>
    <row r="1069" spans="1:25" x14ac:dyDescent="0.25">
      <c r="A1069" s="1095"/>
      <c r="B1069" s="1454">
        <v>819</v>
      </c>
      <c r="C1069" s="1099">
        <v>0.98409217045356756</v>
      </c>
      <c r="D1069" s="1099">
        <v>1.0244571788922059</v>
      </c>
      <c r="E1069" s="1099">
        <v>1.0066418901393346</v>
      </c>
      <c r="F1069" s="1099">
        <v>0.97941279314976448</v>
      </c>
      <c r="G1069" s="1099">
        <v>0.97337916225431464</v>
      </c>
      <c r="H1069" s="1099">
        <v>1.0150233039237515</v>
      </c>
      <c r="I1069" s="1099">
        <v>0.97987644527536411</v>
      </c>
      <c r="K1069">
        <v>1.715340963856357</v>
      </c>
      <c r="L1069">
        <v>0</v>
      </c>
      <c r="M1069">
        <v>1.3750152046333776E-3</v>
      </c>
      <c r="N1069">
        <v>0.12905059175276998</v>
      </c>
      <c r="O1069">
        <v>0.12567965488529126</v>
      </c>
      <c r="P1069">
        <v>1.814799133609073E-2</v>
      </c>
      <c r="Q1069">
        <v>9.1077932374835323E-4</v>
      </c>
      <c r="R1069">
        <v>1.3714943870335402E-3</v>
      </c>
      <c r="S1069">
        <v>0.10673998346341852</v>
      </c>
      <c r="T1069">
        <v>1.0096359514966031</v>
      </c>
      <c r="U1069">
        <v>0</v>
      </c>
      <c r="V1069">
        <v>0.20749375301684719</v>
      </c>
      <c r="W1069">
        <v>8.4444332337539049E-2</v>
      </c>
      <c r="X1069">
        <v>2.9508691453145559E-2</v>
      </c>
      <c r="Y1069">
        <v>3.7327556085021197E-3</v>
      </c>
    </row>
    <row r="1070" spans="1:25" x14ac:dyDescent="0.25">
      <c r="A1070" s="1095"/>
      <c r="B1070" s="1454">
        <v>820</v>
      </c>
      <c r="C1070" s="1099">
        <v>0.99964301362118757</v>
      </c>
      <c r="D1070" s="1099">
        <v>0.98438714650025649</v>
      </c>
      <c r="E1070" s="1099">
        <v>0.97341145036615484</v>
      </c>
      <c r="F1070" s="1099">
        <v>1.0058863459945186</v>
      </c>
      <c r="G1070" s="1099">
        <v>0.99106710527382391</v>
      </c>
      <c r="H1070" s="1099">
        <v>0.99251284948302354</v>
      </c>
      <c r="I1070" s="1099">
        <v>0.95921399487128189</v>
      </c>
      <c r="K1070">
        <v>1.7380673624370686</v>
      </c>
      <c r="L1070">
        <v>0</v>
      </c>
      <c r="M1070">
        <v>1.4568284693339752E-3</v>
      </c>
      <c r="N1070">
        <v>0.12365585701930276</v>
      </c>
      <c r="O1070">
        <v>0.12857912149020106</v>
      </c>
      <c r="P1070">
        <v>1.8069464572494205E-2</v>
      </c>
      <c r="Q1070">
        <v>8.8001905742649141E-4</v>
      </c>
      <c r="R1070">
        <v>1.4530557492787113E-3</v>
      </c>
      <c r="S1070">
        <v>0.10409589246476089</v>
      </c>
      <c r="T1070">
        <v>1.0379300391165371</v>
      </c>
      <c r="U1070">
        <v>0</v>
      </c>
      <c r="V1070">
        <v>0.20950726991348184</v>
      </c>
      <c r="W1070">
        <v>8.2541213787029943E-2</v>
      </c>
      <c r="X1070">
        <v>2.8857518986052749E-2</v>
      </c>
      <c r="Y1070">
        <v>3.9547387498376375E-3</v>
      </c>
    </row>
    <row r="1071" spans="1:25" x14ac:dyDescent="0.25">
      <c r="A1071" s="1095"/>
      <c r="B1071" s="1454">
        <v>821</v>
      </c>
      <c r="C1071" s="1099">
        <v>1.0398263781211436</v>
      </c>
      <c r="D1071" s="1099">
        <v>1.0018968433669231</v>
      </c>
      <c r="E1071" s="1099">
        <v>0.99320431104401152</v>
      </c>
      <c r="F1071" s="1099">
        <v>1.0420826807789894</v>
      </c>
      <c r="G1071" s="1099">
        <v>0.95490995019780367</v>
      </c>
      <c r="H1071" s="1099">
        <v>1.0251649705657517</v>
      </c>
      <c r="I1071" s="1099">
        <v>1.0233500772572079</v>
      </c>
      <c r="K1071">
        <v>1.7773365998263231</v>
      </c>
      <c r="L1071">
        <v>0</v>
      </c>
      <c r="M1071">
        <v>1.38261547736225E-3</v>
      </c>
      <c r="N1071">
        <v>0.12460878084202924</v>
      </c>
      <c r="O1071">
        <v>0.12849691702469462</v>
      </c>
      <c r="P1071">
        <v>1.8848453467318366E-2</v>
      </c>
      <c r="Q1071">
        <v>8.5764094890918333E-4</v>
      </c>
      <c r="R1071">
        <v>1.3791585360536447E-3</v>
      </c>
      <c r="S1071">
        <v>0.10831474996854036</v>
      </c>
      <c r="T1071">
        <v>1.0746560357659278</v>
      </c>
      <c r="U1071">
        <v>0</v>
      </c>
      <c r="V1071">
        <v>0.20585831753332801</v>
      </c>
      <c r="W1071">
        <v>8.2191688660068263E-2</v>
      </c>
      <c r="X1071">
        <v>2.9753857661164829E-2</v>
      </c>
      <c r="Y1071">
        <v>3.7536148956487979E-3</v>
      </c>
    </row>
    <row r="1072" spans="1:25" x14ac:dyDescent="0.25">
      <c r="A1072" s="1095"/>
      <c r="B1072" s="1454">
        <v>822</v>
      </c>
      <c r="C1072" s="1099">
        <v>1.0104910544547732</v>
      </c>
      <c r="D1072" s="1099">
        <v>1.0202422244293183</v>
      </c>
      <c r="E1072" s="1099">
        <v>1.0029682732336405</v>
      </c>
      <c r="F1072" s="1099">
        <v>1.0329274530452592</v>
      </c>
      <c r="G1072" s="1099">
        <v>1.0395669234977629</v>
      </c>
      <c r="H1072" s="1099">
        <v>1.0372596493970856</v>
      </c>
      <c r="I1072" s="1099">
        <v>1.0141891658763327</v>
      </c>
      <c r="K1072">
        <v>1.7822729236903474</v>
      </c>
      <c r="L1072">
        <v>0</v>
      </c>
      <c r="M1072">
        <v>1.3914547999881836E-3</v>
      </c>
      <c r="N1072">
        <v>0.12916210572146583</v>
      </c>
      <c r="O1072">
        <v>0.1285133745744565</v>
      </c>
      <c r="P1072">
        <v>1.8949723847560218E-2</v>
      </c>
      <c r="Q1072">
        <v>8.8508044981775878E-4</v>
      </c>
      <c r="R1072">
        <v>1.3879940126722387E-3</v>
      </c>
      <c r="S1072">
        <v>0.1098726300686291</v>
      </c>
      <c r="T1072">
        <v>1.0649142497148314</v>
      </c>
      <c r="U1072">
        <v>0</v>
      </c>
      <c r="V1072">
        <v>0.21134967452387265</v>
      </c>
      <c r="W1072">
        <v>8.4701338146129873E-2</v>
      </c>
      <c r="X1072">
        <v>3.0150545280507975E-2</v>
      </c>
      <c r="Y1072">
        <v>3.7776621503905262E-3</v>
      </c>
    </row>
    <row r="1073" spans="1:25" x14ac:dyDescent="0.25">
      <c r="A1073" s="1095"/>
      <c r="B1073" s="1454">
        <v>823</v>
      </c>
      <c r="C1073" s="1099">
        <v>1.0128693700379254</v>
      </c>
      <c r="D1073" s="1099">
        <v>0.99948245009597625</v>
      </c>
      <c r="E1073" s="1099">
        <v>0.99927626677821024</v>
      </c>
      <c r="F1073" s="1099">
        <v>0.97773375801521423</v>
      </c>
      <c r="G1073" s="1099">
        <v>1.0028888548194166</v>
      </c>
      <c r="H1073" s="1099">
        <v>0.95419471088286412</v>
      </c>
      <c r="I1073" s="1099">
        <v>1.002848827063666</v>
      </c>
      <c r="K1073">
        <v>1.6927751854477429</v>
      </c>
      <c r="L1073">
        <v>0</v>
      </c>
      <c r="M1073">
        <v>1.2967699217035593E-3</v>
      </c>
      <c r="N1073">
        <v>0.11901183837293045</v>
      </c>
      <c r="O1073">
        <v>0.12517086380426545</v>
      </c>
      <c r="P1073">
        <v>1.7981661356965134E-2</v>
      </c>
      <c r="Q1073">
        <v>8.8689374779101805E-4</v>
      </c>
      <c r="R1073">
        <v>1.2932619849646749E-3</v>
      </c>
      <c r="S1073">
        <v>0.10370552803065962</v>
      </c>
      <c r="T1073">
        <v>1.0081185521906955</v>
      </c>
      <c r="U1073">
        <v>0</v>
      </c>
      <c r="V1073">
        <v>0.20712142889743218</v>
      </c>
      <c r="W1073">
        <v>7.8216334418457545E-2</v>
      </c>
      <c r="X1073">
        <v>2.904575976590942E-2</v>
      </c>
      <c r="Y1073">
        <v>3.5198327993750779E-3</v>
      </c>
    </row>
    <row r="1074" spans="1:25" x14ac:dyDescent="0.25">
      <c r="A1074" s="1095"/>
      <c r="B1074" s="1454">
        <v>824</v>
      </c>
      <c r="C1074" s="1099">
        <v>0.9995166668577925</v>
      </c>
      <c r="D1074" s="1099">
        <v>1.0457953258955728</v>
      </c>
      <c r="E1074" s="1099">
        <v>1.0256665491003407</v>
      </c>
      <c r="F1074" s="1099">
        <v>0.98677935677901862</v>
      </c>
      <c r="G1074" s="1099">
        <v>0.95498463651135979</v>
      </c>
      <c r="H1074" s="1099">
        <v>1.0168922395978306</v>
      </c>
      <c r="I1074" s="1099">
        <v>1.0193549459252005</v>
      </c>
      <c r="K1074">
        <v>1.7188566054119907</v>
      </c>
      <c r="L1074">
        <v>0</v>
      </c>
      <c r="M1074">
        <v>1.2904461756586545E-3</v>
      </c>
      <c r="N1074">
        <v>0.12826993825407076</v>
      </c>
      <c r="O1074">
        <v>0.12459438120777347</v>
      </c>
      <c r="P1074">
        <v>1.8489538466440462E-2</v>
      </c>
      <c r="Q1074">
        <v>9.0692411119131205E-4</v>
      </c>
      <c r="R1074">
        <v>1.2871415133854328E-3</v>
      </c>
      <c r="S1074">
        <v>0.10824342470998907</v>
      </c>
      <c r="T1074">
        <v>1.0166807682964796</v>
      </c>
      <c r="U1074">
        <v>0</v>
      </c>
      <c r="V1074">
        <v>0.20512553085451354</v>
      </c>
      <c r="W1074">
        <v>8.3001664768741254E-2</v>
      </c>
      <c r="X1074">
        <v>3.0044564511715915E-2</v>
      </c>
      <c r="Y1074">
        <v>3.5031748933492955E-3</v>
      </c>
    </row>
    <row r="1075" spans="1:25" x14ac:dyDescent="0.25">
      <c r="A1075" s="1095"/>
      <c r="B1075" s="1454">
        <v>825</v>
      </c>
      <c r="C1075" s="1099">
        <v>1.0312363621544858</v>
      </c>
      <c r="D1075" s="1099">
        <v>0.99296564468042881</v>
      </c>
      <c r="E1075" s="1099">
        <v>1.0058522568404527</v>
      </c>
      <c r="F1075" s="1099">
        <v>1.0361201058441667</v>
      </c>
      <c r="G1075" s="1099">
        <v>1.0213550453385072</v>
      </c>
      <c r="H1075" s="1099">
        <v>1.016625060494539</v>
      </c>
      <c r="I1075" s="1099">
        <v>1.0171712098319834</v>
      </c>
      <c r="K1075">
        <v>1.7787503279823285</v>
      </c>
      <c r="L1075">
        <v>0</v>
      </c>
      <c r="M1075">
        <v>1.3524314733600487E-3</v>
      </c>
      <c r="N1075">
        <v>0.12663389922605589</v>
      </c>
      <c r="O1075">
        <v>0.12896282777243825</v>
      </c>
      <c r="P1075">
        <v>1.8993866914181385E-2</v>
      </c>
      <c r="Q1075">
        <v>8.7934678805770485E-4</v>
      </c>
      <c r="R1075">
        <v>1.3490238078735248E-3</v>
      </c>
      <c r="S1075">
        <v>0.1085127708392489</v>
      </c>
      <c r="T1075">
        <v>1.0681173330998766</v>
      </c>
      <c r="U1075">
        <v>0</v>
      </c>
      <c r="V1075">
        <v>0.20976306682049245</v>
      </c>
      <c r="W1075">
        <v>8.2901674776174966E-2</v>
      </c>
      <c r="X1075">
        <v>3.0317351311837489E-2</v>
      </c>
      <c r="Y1075">
        <v>3.6715980994529865E-3</v>
      </c>
    </row>
    <row r="1076" spans="1:25" x14ac:dyDescent="0.25">
      <c r="A1076" s="1095"/>
      <c r="B1076" s="1454">
        <v>826</v>
      </c>
      <c r="C1076" s="1099">
        <v>0.99805018360954922</v>
      </c>
      <c r="D1076" s="1099">
        <v>0.98582365512693493</v>
      </c>
      <c r="E1076" s="1099">
        <v>1.0226784138620375</v>
      </c>
      <c r="F1076" s="1099">
        <v>1.0118950736764789</v>
      </c>
      <c r="G1076" s="1099">
        <v>1.0106877717571208</v>
      </c>
      <c r="H1076" s="1099">
        <v>1.0314821728787249</v>
      </c>
      <c r="I1076" s="1099">
        <v>1.0136783920846328</v>
      </c>
      <c r="K1076">
        <v>1.7727118661604993</v>
      </c>
      <c r="L1076">
        <v>0</v>
      </c>
      <c r="M1076">
        <v>1.3685323118267428E-3</v>
      </c>
      <c r="N1076">
        <v>0.13482066032179549</v>
      </c>
      <c r="O1076">
        <v>0.1292557906037802</v>
      </c>
      <c r="P1076">
        <v>1.8956826302116665E-2</v>
      </c>
      <c r="Q1076">
        <v>9.2712706683162284E-4</v>
      </c>
      <c r="R1076">
        <v>1.3651225380801881E-3</v>
      </c>
      <c r="S1076">
        <v>0.1129902596792372</v>
      </c>
      <c r="T1076">
        <v>1.0426452598995382</v>
      </c>
      <c r="U1076">
        <v>0</v>
      </c>
      <c r="V1076">
        <v>0.21100590242044712</v>
      </c>
      <c r="W1076">
        <v>8.739269316358049E-2</v>
      </c>
      <c r="X1076">
        <v>3.1005342940786662E-2</v>
      </c>
      <c r="Y1076">
        <v>3.7154135361305378E-3</v>
      </c>
    </row>
    <row r="1077" spans="1:25" x14ac:dyDescent="0.25">
      <c r="A1077" s="1095"/>
      <c r="B1077" s="1454">
        <v>827</v>
      </c>
      <c r="C1077" s="1099">
        <v>1.0306099851163464</v>
      </c>
      <c r="D1077" s="1099">
        <v>0.99791580104372268</v>
      </c>
      <c r="E1077" s="1099">
        <v>0.98419749077462848</v>
      </c>
      <c r="F1077" s="1099">
        <v>0.95976960360917907</v>
      </c>
      <c r="G1077" s="1099">
        <v>0.98868386522180585</v>
      </c>
      <c r="H1077" s="1099">
        <v>1.0268938510960304</v>
      </c>
      <c r="I1077" s="1099">
        <v>0.98648101573618419</v>
      </c>
      <c r="K1077">
        <v>1.6790246964748876</v>
      </c>
      <c r="L1077">
        <v>0</v>
      </c>
      <c r="M1077">
        <v>1.4161331459841284E-3</v>
      </c>
      <c r="N1077">
        <v>0.12419897564381877</v>
      </c>
      <c r="O1077">
        <v>0.12293508613648342</v>
      </c>
      <c r="P1077">
        <v>1.7513878303107962E-2</v>
      </c>
      <c r="Q1077">
        <v>8.5858545622458701E-4</v>
      </c>
      <c r="R1077">
        <v>1.4125739682139926E-3</v>
      </c>
      <c r="S1077">
        <v>0.10518060917341361</v>
      </c>
      <c r="T1077">
        <v>0.99002990701462257</v>
      </c>
      <c r="U1077">
        <v>0</v>
      </c>
      <c r="V1077">
        <v>0.20406210382624429</v>
      </c>
      <c r="W1077">
        <v>8.2365052562613436E-2</v>
      </c>
      <c r="X1077">
        <v>2.8039496849534294E-2</v>
      </c>
      <c r="Y1077">
        <v>3.8445606865950138E-3</v>
      </c>
    </row>
    <row r="1078" spans="1:25" x14ac:dyDescent="0.25">
      <c r="A1078" s="1095"/>
      <c r="B1078" s="1454">
        <v>828</v>
      </c>
      <c r="C1078" s="1099">
        <v>1.0266498247072842</v>
      </c>
      <c r="D1078" s="1099">
        <v>0.9872523969991156</v>
      </c>
      <c r="E1078" s="1099">
        <v>1.0282022795910033</v>
      </c>
      <c r="F1078" s="1099">
        <v>1.0203565867884836</v>
      </c>
      <c r="G1078" s="1099">
        <v>1.0058130443249831</v>
      </c>
      <c r="H1078" s="1099">
        <v>0.99661346216262914</v>
      </c>
      <c r="I1078" s="1099">
        <v>1.0143163189909441</v>
      </c>
      <c r="K1078">
        <v>1.7603517665304134</v>
      </c>
      <c r="L1078">
        <v>0</v>
      </c>
      <c r="M1078">
        <v>1.2735221744688806E-3</v>
      </c>
      <c r="N1078">
        <v>0.12755790820343621</v>
      </c>
      <c r="O1078">
        <v>0.12837798990261623</v>
      </c>
      <c r="P1078">
        <v>1.9046838358199401E-2</v>
      </c>
      <c r="Q1078">
        <v>9.0588199706833771E-4</v>
      </c>
      <c r="R1078">
        <v>1.2702471958995088E-3</v>
      </c>
      <c r="S1078">
        <v>0.10760654605001289</v>
      </c>
      <c r="T1078">
        <v>1.0512006076749647</v>
      </c>
      <c r="U1078">
        <v>0</v>
      </c>
      <c r="V1078">
        <v>0.20880735119060884</v>
      </c>
      <c r="W1078">
        <v>8.2419222828012229E-2</v>
      </c>
      <c r="X1078">
        <v>3.0975501173701198E-2</v>
      </c>
      <c r="Y1078">
        <v>3.4571941303628722E-3</v>
      </c>
    </row>
    <row r="1079" spans="1:25" x14ac:dyDescent="0.25">
      <c r="A1079" s="1095"/>
      <c r="B1079" s="1454">
        <v>829</v>
      </c>
      <c r="C1079" s="1099">
        <v>0.98023211995133375</v>
      </c>
      <c r="D1079" s="1099">
        <v>0.96607329028801314</v>
      </c>
      <c r="E1079" s="1099">
        <v>0.98983242946184247</v>
      </c>
      <c r="F1079" s="1099">
        <v>0.99641914535520726</v>
      </c>
      <c r="G1079" s="1099">
        <v>1.0321165110472581</v>
      </c>
      <c r="H1079" s="1099">
        <v>1.0042597665911239</v>
      </c>
      <c r="I1079" s="1099">
        <v>1.0308870108696304</v>
      </c>
      <c r="K1079">
        <v>1.7570530626667924</v>
      </c>
      <c r="L1079">
        <v>0</v>
      </c>
      <c r="M1079">
        <v>1.4654534370686261E-3</v>
      </c>
      <c r="N1079">
        <v>0.13072770084675245</v>
      </c>
      <c r="O1079">
        <v>0.12980654025198332</v>
      </c>
      <c r="P1079">
        <v>1.8371307389934279E-2</v>
      </c>
      <c r="Q1079">
        <v>9.1989320859631163E-4</v>
      </c>
      <c r="R1079">
        <v>1.4617064460431721E-3</v>
      </c>
      <c r="S1079">
        <v>0.11614013184225312</v>
      </c>
      <c r="T1079">
        <v>1.0276658782922079</v>
      </c>
      <c r="U1079">
        <v>0</v>
      </c>
      <c r="V1079">
        <v>0.21328752273920246</v>
      </c>
      <c r="W1079">
        <v>8.6401858718656688E-2</v>
      </c>
      <c r="X1079">
        <v>2.9757693273501144E-2</v>
      </c>
      <c r="Y1079">
        <v>3.978283094729077E-3</v>
      </c>
    </row>
    <row r="1080" spans="1:25" x14ac:dyDescent="0.25">
      <c r="A1080" s="1095"/>
      <c r="B1080" s="1454">
        <v>830</v>
      </c>
      <c r="C1080" s="1099">
        <v>1.0152680667365637</v>
      </c>
      <c r="D1080" s="1099">
        <v>0.99303204842656778</v>
      </c>
      <c r="E1080" s="1099">
        <v>1.049003775628182</v>
      </c>
      <c r="F1080" s="1099">
        <v>0.9804568939668844</v>
      </c>
      <c r="G1080" s="1099">
        <v>0.97300090853477039</v>
      </c>
      <c r="H1080" s="1099">
        <v>0.99105349079163807</v>
      </c>
      <c r="I1080" s="1099">
        <v>1.0060798396112303</v>
      </c>
      <c r="K1080">
        <v>1.7146860238497117</v>
      </c>
      <c r="L1080">
        <v>0</v>
      </c>
      <c r="M1080">
        <v>1.2166797610253853E-3</v>
      </c>
      <c r="N1080">
        <v>0.12974215723419877</v>
      </c>
      <c r="O1080">
        <v>0.12574245328480249</v>
      </c>
      <c r="P1080">
        <v>1.8694732144422688E-2</v>
      </c>
      <c r="Q1080">
        <v>9.3341783499617048E-4</v>
      </c>
      <c r="R1080">
        <v>1.2135161188132973E-3</v>
      </c>
      <c r="S1080">
        <v>0.10688628979717966</v>
      </c>
      <c r="T1080">
        <v>1.0095118049854517</v>
      </c>
      <c r="U1080">
        <v>0</v>
      </c>
      <c r="V1080">
        <v>0.2059505509443047</v>
      </c>
      <c r="W1080">
        <v>8.283109717153711E-2</v>
      </c>
      <c r="X1080">
        <v>3.1093893255101885E-2</v>
      </c>
      <c r="Y1080">
        <v>3.3027908399287397E-3</v>
      </c>
    </row>
    <row r="1081" spans="1:25" x14ac:dyDescent="0.25">
      <c r="A1081" s="1095"/>
      <c r="B1081" s="1454">
        <v>831</v>
      </c>
      <c r="C1081" s="1099">
        <v>0.97210015471892974</v>
      </c>
      <c r="D1081" s="1099">
        <v>1.0047518951757173</v>
      </c>
      <c r="E1081" s="1099">
        <v>0.99395202855889297</v>
      </c>
      <c r="F1081" s="1099">
        <v>1.0114867790213939</v>
      </c>
      <c r="G1081" s="1099">
        <v>1.001015230135949</v>
      </c>
      <c r="H1081" s="1099">
        <v>0.99762177928801943</v>
      </c>
      <c r="I1081" s="1099">
        <v>0.97044681965460966</v>
      </c>
      <c r="K1081">
        <v>1.7584580416089215</v>
      </c>
      <c r="L1081">
        <v>0</v>
      </c>
      <c r="M1081">
        <v>1.4232373917847298E-3</v>
      </c>
      <c r="N1081">
        <v>0.12854836185016308</v>
      </c>
      <c r="O1081">
        <v>0.12959932642801106</v>
      </c>
      <c r="P1081">
        <v>1.8500090385558082E-2</v>
      </c>
      <c r="Q1081">
        <v>9.1706228380579414E-4</v>
      </c>
      <c r="R1081">
        <v>1.4195495304805399E-3</v>
      </c>
      <c r="S1081">
        <v>0.10719983965763424</v>
      </c>
      <c r="T1081">
        <v>1.0430811418912891</v>
      </c>
      <c r="U1081">
        <v>0</v>
      </c>
      <c r="V1081">
        <v>0.21210854214132341</v>
      </c>
      <c r="W1081">
        <v>8.4752363803111158E-2</v>
      </c>
      <c r="X1081">
        <v>2.9891455161739137E-2</v>
      </c>
      <c r="Y1081">
        <v>3.8635458675910722E-3</v>
      </c>
    </row>
    <row r="1082" spans="1:25" x14ac:dyDescent="0.25">
      <c r="A1082" s="1095"/>
      <c r="B1082" s="1454">
        <v>832</v>
      </c>
      <c r="C1082" s="1099">
        <v>0.9954956584400938</v>
      </c>
      <c r="D1082" s="1099">
        <v>1.0081453672141771</v>
      </c>
      <c r="E1082" s="1099">
        <v>1.0015535505347757</v>
      </c>
      <c r="F1082" s="1099">
        <v>0.97499085496328075</v>
      </c>
      <c r="G1082" s="1099">
        <v>0.95329157298438605</v>
      </c>
      <c r="H1082" s="1099">
        <v>1.0184363396224061</v>
      </c>
      <c r="I1082" s="1099">
        <v>1.0422525103085092</v>
      </c>
      <c r="K1082">
        <v>1.715242175766748</v>
      </c>
      <c r="L1082">
        <v>0</v>
      </c>
      <c r="M1082">
        <v>1.3921336979597345E-3</v>
      </c>
      <c r="N1082">
        <v>0.12866687067022164</v>
      </c>
      <c r="O1082">
        <v>0.12545561431685717</v>
      </c>
      <c r="P1082">
        <v>1.8089888686733335E-2</v>
      </c>
      <c r="Q1082">
        <v>9.0138775080014322E-4</v>
      </c>
      <c r="R1082">
        <v>1.3885936024387222E-3</v>
      </c>
      <c r="S1082">
        <v>0.11362918502555099</v>
      </c>
      <c r="T1082">
        <v>1.0052244324003785</v>
      </c>
      <c r="U1082">
        <v>0</v>
      </c>
      <c r="V1082">
        <v>0.20577455755384685</v>
      </c>
      <c r="W1082">
        <v>8.4447425061751541E-2</v>
      </c>
      <c r="X1082">
        <v>2.9277060360049238E-2</v>
      </c>
      <c r="Y1082">
        <v>3.77929403608018E-3</v>
      </c>
    </row>
    <row r="1083" spans="1:25" x14ac:dyDescent="0.25">
      <c r="A1083" s="1095"/>
      <c r="B1083" s="1454">
        <v>833</v>
      </c>
      <c r="C1083" s="1099">
        <v>0.9945501468380713</v>
      </c>
      <c r="D1083" s="1099">
        <v>1.0031391295375851</v>
      </c>
      <c r="E1083" s="1099">
        <v>0.98060666652364936</v>
      </c>
      <c r="F1083" s="1099">
        <v>1.023654026454466</v>
      </c>
      <c r="G1083" s="1099">
        <v>0.96512667047651213</v>
      </c>
      <c r="H1083" s="1099">
        <v>1.0078851730522471</v>
      </c>
      <c r="I1083" s="1099">
        <v>1.0054353427167602</v>
      </c>
      <c r="K1083">
        <v>1.7661441816253716</v>
      </c>
      <c r="L1083">
        <v>0</v>
      </c>
      <c r="M1083">
        <v>1.4503975407648643E-3</v>
      </c>
      <c r="N1083">
        <v>0.1258243100105669</v>
      </c>
      <c r="O1083">
        <v>0.12934840555322918</v>
      </c>
      <c r="P1083">
        <v>1.8479844308994253E-2</v>
      </c>
      <c r="Q1083">
        <v>8.845291303215269E-4</v>
      </c>
      <c r="R1083">
        <v>1.4466895697892704E-3</v>
      </c>
      <c r="S1083">
        <v>0.10957255894981688</v>
      </c>
      <c r="T1083">
        <v>1.0560397227325746</v>
      </c>
      <c r="U1083">
        <v>0</v>
      </c>
      <c r="V1083">
        <v>0.20906172321583913</v>
      </c>
      <c r="W1083">
        <v>8.362370025520606E-2</v>
      </c>
      <c r="X1083">
        <v>2.9375683331918825E-2</v>
      </c>
      <c r="Y1083">
        <v>3.9374121078778832E-3</v>
      </c>
    </row>
    <row r="1084" spans="1:25" x14ac:dyDescent="0.25">
      <c r="A1084" s="1095"/>
      <c r="B1084" s="1454">
        <v>834</v>
      </c>
      <c r="C1084" s="1099">
        <v>1.030532853622145</v>
      </c>
      <c r="D1084" s="1099">
        <v>0.99959551637713129</v>
      </c>
      <c r="E1084" s="1099">
        <v>0.96910547593120455</v>
      </c>
      <c r="F1084" s="1099">
        <v>0.99490004418853906</v>
      </c>
      <c r="G1084" s="1099">
        <v>1.005338452810054</v>
      </c>
      <c r="H1084" s="1099">
        <v>1.0034613407183144</v>
      </c>
      <c r="I1084" s="1099">
        <v>0.97705768047028474</v>
      </c>
      <c r="K1084">
        <v>1.7122173143207982</v>
      </c>
      <c r="L1084">
        <v>0</v>
      </c>
      <c r="M1084">
        <v>1.4307800852739201E-3</v>
      </c>
      <c r="N1084">
        <v>0.11987487250967695</v>
      </c>
      <c r="O1084">
        <v>0.12546654094519114</v>
      </c>
      <c r="P1084">
        <v>1.7803595775682954E-2</v>
      </c>
      <c r="Q1084">
        <v>8.4458409886056915E-4</v>
      </c>
      <c r="R1084">
        <v>1.4271103411441226E-3</v>
      </c>
      <c r="S1084">
        <v>0.1027060820734815</v>
      </c>
      <c r="T1084">
        <v>1.0267247855530963</v>
      </c>
      <c r="U1084">
        <v>0</v>
      </c>
      <c r="V1084">
        <v>0.20661439586786945</v>
      </c>
      <c r="W1084">
        <v>8.0227149644815712E-2</v>
      </c>
      <c r="X1084">
        <v>2.8074853694454355E-2</v>
      </c>
      <c r="Y1084">
        <v>3.8841239017967781E-3</v>
      </c>
    </row>
    <row r="1085" spans="1:25" x14ac:dyDescent="0.25">
      <c r="A1085" s="1095"/>
      <c r="B1085" s="1454">
        <v>835</v>
      </c>
      <c r="C1085" s="1099">
        <v>0.99277331184767392</v>
      </c>
      <c r="D1085" s="1099">
        <v>0.9590648210488707</v>
      </c>
      <c r="E1085" s="1099">
        <v>1.007222470912803</v>
      </c>
      <c r="F1085" s="1099">
        <v>0.98516928571007267</v>
      </c>
      <c r="G1085" s="1099">
        <v>0.98770206473968203</v>
      </c>
      <c r="H1085" s="1099">
        <v>1.026023124789387</v>
      </c>
      <c r="I1085" s="1099">
        <v>1.0149523265490457</v>
      </c>
      <c r="K1085">
        <v>1.7451062658700434</v>
      </c>
      <c r="L1085">
        <v>0</v>
      </c>
      <c r="M1085">
        <v>1.4321476362899809E-3</v>
      </c>
      <c r="N1085">
        <v>0.13465685341624867</v>
      </c>
      <c r="O1085">
        <v>0.12867711511559463</v>
      </c>
      <c r="P1085">
        <v>1.8381388273121139E-2</v>
      </c>
      <c r="Q1085">
        <v>9.2750795992428388E-4</v>
      </c>
      <c r="R1085">
        <v>1.4285686175964391E-3</v>
      </c>
      <c r="S1085">
        <v>0.11503623753623515</v>
      </c>
      <c r="T1085">
        <v>1.0155531954336736</v>
      </c>
      <c r="U1085">
        <v>0</v>
      </c>
      <c r="V1085">
        <v>0.20972540403981882</v>
      </c>
      <c r="W1085">
        <v>8.8082559370653832E-2</v>
      </c>
      <c r="X1085">
        <v>3.0181490893887223E-2</v>
      </c>
      <c r="Y1085">
        <v>3.8880928495792803E-3</v>
      </c>
    </row>
    <row r="1086" spans="1:25" x14ac:dyDescent="0.25">
      <c r="A1086" s="1095"/>
      <c r="B1086" s="1454">
        <v>836</v>
      </c>
      <c r="C1086" s="1099">
        <v>0.98654647318995492</v>
      </c>
      <c r="D1086" s="1099">
        <v>1.0281844517561498</v>
      </c>
      <c r="E1086" s="1099">
        <v>0.99684068019795635</v>
      </c>
      <c r="F1086" s="1099">
        <v>0.99900213825163586</v>
      </c>
      <c r="G1086" s="1099">
        <v>0.95847971473626592</v>
      </c>
      <c r="H1086" s="1099">
        <v>0.99287480398083683</v>
      </c>
      <c r="I1086" s="1099">
        <v>0.98475527955061704</v>
      </c>
      <c r="K1086">
        <v>1.7288664305459018</v>
      </c>
      <c r="L1086">
        <v>0</v>
      </c>
      <c r="M1086">
        <v>1.3689232248390072E-3</v>
      </c>
      <c r="N1086">
        <v>0.12472388346677647</v>
      </c>
      <c r="O1086">
        <v>0.12683534209196715</v>
      </c>
      <c r="P1086">
        <v>1.827536217414959E-2</v>
      </c>
      <c r="Q1086">
        <v>8.9803096396784182E-4</v>
      </c>
      <c r="R1086">
        <v>1.3653442161009625E-3</v>
      </c>
      <c r="S1086">
        <v>0.1053633881602247</v>
      </c>
      <c r="T1086">
        <v>1.030120355599617</v>
      </c>
      <c r="U1086">
        <v>0</v>
      </c>
      <c r="V1086">
        <v>0.20744837487516954</v>
      </c>
      <c r="W1086">
        <v>8.2089301532729961E-2</v>
      </c>
      <c r="X1086">
        <v>2.9399953819411819E-2</v>
      </c>
      <c r="Y1086">
        <v>3.7160168706269455E-3</v>
      </c>
    </row>
    <row r="1087" spans="1:25" x14ac:dyDescent="0.25">
      <c r="A1087" s="1095"/>
      <c r="B1087" s="1454">
        <v>837</v>
      </c>
      <c r="C1087" s="1099">
        <v>1.0239082505108192</v>
      </c>
      <c r="D1087" s="1099">
        <v>1.03900400323007</v>
      </c>
      <c r="E1087" s="1099">
        <v>0.96154168435813958</v>
      </c>
      <c r="F1087" s="1099">
        <v>1.0199872052931058</v>
      </c>
      <c r="G1087" s="1099">
        <v>0.98893193785076416</v>
      </c>
      <c r="H1087" s="1099">
        <v>1.0283722582285248</v>
      </c>
      <c r="I1087" s="1099">
        <v>0.98812114852070498</v>
      </c>
      <c r="K1087">
        <v>1.7408016346085908</v>
      </c>
      <c r="L1087">
        <v>0</v>
      </c>
      <c r="M1087">
        <v>1.4672822339490857E-3</v>
      </c>
      <c r="N1087">
        <v>0.12015441834318596</v>
      </c>
      <c r="O1087">
        <v>0.1258725182336792</v>
      </c>
      <c r="P1087">
        <v>1.8059045972263914E-2</v>
      </c>
      <c r="Q1087">
        <v>8.3034181411802078E-4</v>
      </c>
      <c r="R1087">
        <v>1.4635882428891854E-3</v>
      </c>
      <c r="S1087">
        <v>0.10380079235124889</v>
      </c>
      <c r="T1087">
        <v>1.0528517744870056</v>
      </c>
      <c r="U1087">
        <v>0</v>
      </c>
      <c r="V1087">
        <v>0.2064801668038832</v>
      </c>
      <c r="W1087">
        <v>8.0786669300165148E-2</v>
      </c>
      <c r="X1087">
        <v>2.7986196568688983E-2</v>
      </c>
      <c r="Y1087">
        <v>3.9834047254097621E-3</v>
      </c>
    </row>
    <row r="1088" spans="1:25" x14ac:dyDescent="0.25">
      <c r="A1088" s="1095"/>
      <c r="B1088" s="1454">
        <v>838</v>
      </c>
      <c r="C1088" s="1099">
        <v>1.0234496976818035</v>
      </c>
      <c r="D1088" s="1099">
        <v>1.0336201922037378</v>
      </c>
      <c r="E1088" s="1099">
        <v>0.96031490703029554</v>
      </c>
      <c r="F1088" s="1099">
        <v>0.98206367679555473</v>
      </c>
      <c r="G1088" s="1099">
        <v>1.0259124963952735</v>
      </c>
      <c r="H1088" s="1099">
        <v>0.97827286959423276</v>
      </c>
      <c r="I1088" s="1099">
        <v>1.0271355481226063</v>
      </c>
      <c r="K1088">
        <v>1.6887352135792568</v>
      </c>
      <c r="L1088">
        <v>0</v>
      </c>
      <c r="M1088">
        <v>1.3999108761324163E-3</v>
      </c>
      <c r="N1088">
        <v>0.11419671533369126</v>
      </c>
      <c r="O1088">
        <v>0.12332063012210959</v>
      </c>
      <c r="P1088">
        <v>1.7535751003136518E-2</v>
      </c>
      <c r="Q1088">
        <v>8.3136142746578041E-4</v>
      </c>
      <c r="R1088">
        <v>1.3961981650074784E-3</v>
      </c>
      <c r="S1088">
        <v>0.10462849781773122</v>
      </c>
      <c r="T1088">
        <v>1.0137435509826302</v>
      </c>
      <c r="U1088">
        <v>0</v>
      </c>
      <c r="V1088">
        <v>0.20651141840068971</v>
      </c>
      <c r="W1088">
        <v>7.6838731424596185E-2</v>
      </c>
      <c r="X1088">
        <v>2.7332278629781048E-2</v>
      </c>
      <c r="Y1088">
        <v>3.7999911485489582E-3</v>
      </c>
    </row>
    <row r="1089" spans="1:25" x14ac:dyDescent="0.25">
      <c r="A1089" s="1095"/>
      <c r="B1089" s="1454">
        <v>839</v>
      </c>
      <c r="C1089" s="1099">
        <v>1.0097811617029682</v>
      </c>
      <c r="D1089" s="1099">
        <v>1.0227937975690107</v>
      </c>
      <c r="E1089" s="1099">
        <v>0.98000126587942193</v>
      </c>
      <c r="F1089" s="1099">
        <v>1.0060123753785546</v>
      </c>
      <c r="G1089" s="1099">
        <v>0.96903783460447357</v>
      </c>
      <c r="H1089" s="1099">
        <v>1.0203435071890874</v>
      </c>
      <c r="I1089" s="1099">
        <v>0.96529479512591454</v>
      </c>
      <c r="K1089">
        <v>1.7317178106978688</v>
      </c>
      <c r="L1089">
        <v>0</v>
      </c>
      <c r="M1089">
        <v>1.4311377013279255E-3</v>
      </c>
      <c r="N1089">
        <v>0.12392892287347239</v>
      </c>
      <c r="O1089">
        <v>0.12633881556351376</v>
      </c>
      <c r="P1089">
        <v>1.810630688076496E-2</v>
      </c>
      <c r="Q1089">
        <v>8.6390365954697873E-4</v>
      </c>
      <c r="R1089">
        <v>1.4275093554953322E-3</v>
      </c>
      <c r="S1089">
        <v>0.10317945981403688</v>
      </c>
      <c r="T1089">
        <v>1.0378583995470474</v>
      </c>
      <c r="U1089">
        <v>0</v>
      </c>
      <c r="V1089">
        <v>0.2064705961037937</v>
      </c>
      <c r="W1089">
        <v>8.2394119780948308E-2</v>
      </c>
      <c r="X1089">
        <v>2.8695704933249216E-2</v>
      </c>
      <c r="Y1089">
        <v>3.8852098873257265E-3</v>
      </c>
    </row>
    <row r="1090" spans="1:25" x14ac:dyDescent="0.25">
      <c r="A1090" s="1095"/>
      <c r="B1090" s="1454">
        <v>840</v>
      </c>
      <c r="C1090" s="1099">
        <v>1.0010582557927765</v>
      </c>
      <c r="D1090" s="1099">
        <v>1.004856915461531</v>
      </c>
      <c r="E1090" s="1099">
        <v>1.0398930650380334</v>
      </c>
      <c r="F1090" s="1099">
        <v>0.9872777958328578</v>
      </c>
      <c r="G1090" s="1099">
        <v>0.96516149934216611</v>
      </c>
      <c r="H1090" s="1099">
        <v>1.0279701211342174</v>
      </c>
      <c r="I1090" s="1099">
        <v>1.0388906097440087</v>
      </c>
      <c r="K1090">
        <v>1.7384671334108619</v>
      </c>
      <c r="L1090">
        <v>0</v>
      </c>
      <c r="M1090">
        <v>1.294711086596032E-3</v>
      </c>
      <c r="N1090">
        <v>0.13433836591315507</v>
      </c>
      <c r="O1090">
        <v>0.12641407361557064</v>
      </c>
      <c r="P1090">
        <v>1.8782406463270934E-2</v>
      </c>
      <c r="Q1090">
        <v>9.3354259973640039E-4</v>
      </c>
      <c r="R1090">
        <v>1.2914563575330471E-3</v>
      </c>
      <c r="S1090">
        <v>0.11373455657161588</v>
      </c>
      <c r="T1090">
        <v>1.0167904114322379</v>
      </c>
      <c r="U1090">
        <v>0</v>
      </c>
      <c r="V1090">
        <v>0.20673295091191257</v>
      </c>
      <c r="W1090">
        <v>8.6215092785662806E-2</v>
      </c>
      <c r="X1090">
        <v>3.1014069370031882E-2</v>
      </c>
      <c r="Y1090">
        <v>3.5149184767311109E-3</v>
      </c>
    </row>
    <row r="1091" spans="1:25" x14ac:dyDescent="0.25">
      <c r="A1091" s="1095"/>
      <c r="B1091" s="1454">
        <v>841</v>
      </c>
      <c r="C1091" s="1099">
        <v>1.0107808042106698</v>
      </c>
      <c r="D1091" s="1099">
        <v>1.029040663044154</v>
      </c>
      <c r="E1091" s="1099">
        <v>0.99826991166078427</v>
      </c>
      <c r="F1091" s="1099">
        <v>1.0079397392539045</v>
      </c>
      <c r="G1091" s="1099">
        <v>1.0273735955124657</v>
      </c>
      <c r="H1091" s="1099">
        <v>1.0286934785607373</v>
      </c>
      <c r="I1091" s="1099">
        <v>0.99033396431449816</v>
      </c>
      <c r="K1091">
        <v>1.7429954928359892</v>
      </c>
      <c r="L1091">
        <v>0</v>
      </c>
      <c r="M1091">
        <v>1.3832589512398417E-3</v>
      </c>
      <c r="N1091">
        <v>0.12658786545554715</v>
      </c>
      <c r="O1091">
        <v>0.12623206097432441</v>
      </c>
      <c r="P1091">
        <v>1.8451689086499492E-2</v>
      </c>
      <c r="Q1091">
        <v>8.7750917024128066E-4</v>
      </c>
      <c r="R1091">
        <v>1.3797772486399897E-3</v>
      </c>
      <c r="S1091">
        <v>0.10596405075478832</v>
      </c>
      <c r="T1091">
        <v>1.0392934277756185</v>
      </c>
      <c r="U1091">
        <v>0</v>
      </c>
      <c r="V1091">
        <v>0.20918419078427175</v>
      </c>
      <c r="W1091">
        <v>8.3245235268251186E-2</v>
      </c>
      <c r="X1091">
        <v>2.9407646441693837E-2</v>
      </c>
      <c r="Y1091">
        <v>3.7552988273502792E-3</v>
      </c>
    </row>
    <row r="1092" spans="1:25" x14ac:dyDescent="0.25">
      <c r="A1092" s="1095"/>
      <c r="B1092" s="1454">
        <v>842</v>
      </c>
      <c r="C1092" s="1099">
        <v>0.99394071773113191</v>
      </c>
      <c r="D1092" s="1099">
        <v>1.0012151296485627</v>
      </c>
      <c r="E1092" s="1099">
        <v>1.0001790939904758</v>
      </c>
      <c r="F1092" s="1099">
        <v>0.99922092820015107</v>
      </c>
      <c r="G1092" s="1099">
        <v>1.0132165724527602</v>
      </c>
      <c r="H1092" s="1099">
        <v>1.0020048240421948</v>
      </c>
      <c r="I1092" s="1099">
        <v>0.99344141613451087</v>
      </c>
      <c r="K1092">
        <v>1.7399938564179882</v>
      </c>
      <c r="L1092">
        <v>0</v>
      </c>
      <c r="M1092">
        <v>1.3841041199958207E-3</v>
      </c>
      <c r="N1092">
        <v>0.12739043100966527</v>
      </c>
      <c r="O1092">
        <v>0.12769395736501721</v>
      </c>
      <c r="P1092">
        <v>1.8396415145229425E-2</v>
      </c>
      <c r="Q1092">
        <v>9.0400376518798861E-4</v>
      </c>
      <c r="R1092">
        <v>1.3805385371661225E-3</v>
      </c>
      <c r="S1092">
        <v>0.10793395013398596</v>
      </c>
      <c r="T1092">
        <v>1.0302466492539619</v>
      </c>
      <c r="U1092">
        <v>0</v>
      </c>
      <c r="V1092">
        <v>0.2102779055893633</v>
      </c>
      <c r="W1092">
        <v>8.3677946453625612E-2</v>
      </c>
      <c r="X1092">
        <v>2.9718792481021713E-2</v>
      </c>
      <c r="Y1092">
        <v>3.757370803759718E-3</v>
      </c>
    </row>
    <row r="1093" spans="1:25" x14ac:dyDescent="0.25">
      <c r="A1093" s="1095"/>
      <c r="B1093" s="1454">
        <v>843</v>
      </c>
      <c r="C1093" s="1099">
        <v>1.0060574398870654</v>
      </c>
      <c r="D1093" s="1099">
        <v>1.0006689807614801</v>
      </c>
      <c r="E1093" s="1099">
        <v>1.0039063618773596</v>
      </c>
      <c r="F1093" s="1099">
        <v>1.0133722907668186</v>
      </c>
      <c r="G1093" s="1099">
        <v>1.0322122079120704</v>
      </c>
      <c r="H1093" s="1099">
        <v>1.0325083445289231</v>
      </c>
      <c r="I1093" s="1099">
        <v>1.0145873798191181</v>
      </c>
      <c r="K1093">
        <v>1.7645593547344947</v>
      </c>
      <c r="L1093">
        <v>0</v>
      </c>
      <c r="M1093">
        <v>1.4017599354410951E-3</v>
      </c>
      <c r="N1093">
        <v>0.13048697133295983</v>
      </c>
      <c r="O1093">
        <v>0.12817976839233622</v>
      </c>
      <c r="P1093">
        <v>1.8700100528652227E-2</v>
      </c>
      <c r="Q1093">
        <v>8.967661675595369E-4</v>
      </c>
      <c r="R1093">
        <v>1.3982636714868358E-3</v>
      </c>
      <c r="S1093">
        <v>0.11125576517928842</v>
      </c>
      <c r="T1093">
        <v>1.0447253580154066</v>
      </c>
      <c r="U1093">
        <v>0</v>
      </c>
      <c r="V1093">
        <v>0.21093890676769236</v>
      </c>
      <c r="W1093">
        <v>8.5522585453930114E-2</v>
      </c>
      <c r="X1093">
        <v>3.005101638433107E-2</v>
      </c>
      <c r="Y1093">
        <v>3.8056127762917413E-3</v>
      </c>
    </row>
    <row r="1094" spans="1:25" x14ac:dyDescent="0.25">
      <c r="A1094" s="1095"/>
      <c r="B1094" s="1454">
        <v>844</v>
      </c>
      <c r="C1094" s="1099">
        <v>0.9989778183755843</v>
      </c>
      <c r="D1094" s="1099">
        <v>0.97418572763835631</v>
      </c>
      <c r="E1094" s="1099">
        <v>0.99455378331792688</v>
      </c>
      <c r="F1094" s="1099">
        <v>1.0264837793827306</v>
      </c>
      <c r="G1094" s="1099">
        <v>1.0175523765166157</v>
      </c>
      <c r="H1094" s="1099">
        <v>0.97904481550961608</v>
      </c>
      <c r="I1094" s="1099">
        <v>1.0263529284847757</v>
      </c>
      <c r="K1094">
        <v>1.7748242322362724</v>
      </c>
      <c r="L1094">
        <v>0</v>
      </c>
      <c r="M1094">
        <v>1.3873273261568019E-3</v>
      </c>
      <c r="N1094">
        <v>0.12552995983680115</v>
      </c>
      <c r="O1094">
        <v>0.13075012993627927</v>
      </c>
      <c r="P1094">
        <v>1.8777343689909316E-2</v>
      </c>
      <c r="Q1094">
        <v>9.0405034659132931E-4</v>
      </c>
      <c r="R1094">
        <v>1.3836985935790486E-3</v>
      </c>
      <c r="S1094">
        <v>0.11135540497838349</v>
      </c>
      <c r="T1094">
        <v>1.0585281142539358</v>
      </c>
      <c r="U1094">
        <v>0</v>
      </c>
      <c r="V1094">
        <v>0.21229996618982741</v>
      </c>
      <c r="W1094">
        <v>8.2732591991122525E-2</v>
      </c>
      <c r="X1094">
        <v>3.0184328310396209E-2</v>
      </c>
      <c r="Y1094">
        <v>3.7659714356033879E-3</v>
      </c>
    </row>
    <row r="1095" spans="1:25" x14ac:dyDescent="0.25">
      <c r="A1095" s="1095"/>
      <c r="B1095" s="1454">
        <v>845</v>
      </c>
      <c r="C1095" s="1099">
        <v>0.99932123867285727</v>
      </c>
      <c r="D1095" s="1099">
        <v>0.9810028731471736</v>
      </c>
      <c r="E1095" s="1099">
        <v>1.01628168201118</v>
      </c>
      <c r="F1095" s="1099">
        <v>1.0036075383549774</v>
      </c>
      <c r="G1095" s="1099">
        <v>0.97455379987515978</v>
      </c>
      <c r="H1095" s="1099">
        <v>1.0217880175268073</v>
      </c>
      <c r="I1095" s="1099">
        <v>1.0279871615530076</v>
      </c>
      <c r="K1095">
        <v>1.7592511294461168</v>
      </c>
      <c r="L1095">
        <v>0</v>
      </c>
      <c r="M1095">
        <v>1.3751973662111088E-3</v>
      </c>
      <c r="N1095">
        <v>0.13288480561434007</v>
      </c>
      <c r="O1095">
        <v>0.12875299420268224</v>
      </c>
      <c r="P1095">
        <v>1.8737219839414915E-2</v>
      </c>
      <c r="Q1095">
        <v>9.2169546213368445E-4</v>
      </c>
      <c r="R1095">
        <v>1.3717395319870654E-3</v>
      </c>
      <c r="S1095">
        <v>0.11402279783200935</v>
      </c>
      <c r="T1095">
        <v>1.0342930077258239</v>
      </c>
      <c r="U1095">
        <v>0</v>
      </c>
      <c r="V1095">
        <v>0.20884253522317286</v>
      </c>
      <c r="W1095">
        <v>8.6460945630894209E-2</v>
      </c>
      <c r="X1095">
        <v>3.0605162937615973E-2</v>
      </c>
      <c r="Y1095">
        <v>3.7334228122536017E-3</v>
      </c>
    </row>
    <row r="1096" spans="1:25" x14ac:dyDescent="0.25">
      <c r="A1096" s="1095"/>
      <c r="B1096" s="1454">
        <v>846</v>
      </c>
      <c r="C1096" s="1099">
        <v>0.99068771516455434</v>
      </c>
      <c r="D1096" s="1099">
        <v>1.0179745329209429</v>
      </c>
      <c r="E1096" s="1099">
        <v>0.97515197845444779</v>
      </c>
      <c r="F1096" s="1099">
        <v>1.0193285467891144</v>
      </c>
      <c r="G1096" s="1099">
        <v>0.97950481261887401</v>
      </c>
      <c r="H1096" s="1099">
        <v>1.044309383243273</v>
      </c>
      <c r="I1096" s="1099">
        <v>0.98602353235005236</v>
      </c>
      <c r="K1096">
        <v>1.7663703302347353</v>
      </c>
      <c r="L1096">
        <v>0</v>
      </c>
      <c r="M1096">
        <v>1.5115878347206179E-3</v>
      </c>
      <c r="N1096">
        <v>0.12899629841265514</v>
      </c>
      <c r="O1096">
        <v>0.12852016936211763</v>
      </c>
      <c r="P1096">
        <v>1.8347420199632574E-2</v>
      </c>
      <c r="Q1096">
        <v>8.7774106249003487E-4</v>
      </c>
      <c r="R1096">
        <v>1.5078452405523622E-3</v>
      </c>
      <c r="S1096">
        <v>0.10935214428557846</v>
      </c>
      <c r="T1096">
        <v>1.0517463535428953</v>
      </c>
      <c r="U1096">
        <v>0</v>
      </c>
      <c r="V1096">
        <v>0.20940167924244818</v>
      </c>
      <c r="W1096">
        <v>8.6015140223753686E-2</v>
      </c>
      <c r="X1096">
        <v>2.9013268813597021E-2</v>
      </c>
      <c r="Y1096">
        <v>4.1038576837335696E-3</v>
      </c>
    </row>
    <row r="1097" spans="1:25" x14ac:dyDescent="0.25">
      <c r="A1097" s="1095"/>
      <c r="B1097" s="1454">
        <v>847</v>
      </c>
      <c r="C1097" s="1099">
        <v>1.0068801894787534</v>
      </c>
      <c r="D1097" s="1099">
        <v>0.95412282112635582</v>
      </c>
      <c r="E1097" s="1099">
        <v>0.98679835825040896</v>
      </c>
      <c r="F1097" s="1099">
        <v>0.95430141457317663</v>
      </c>
      <c r="G1097" s="1099">
        <v>1.012457350851107</v>
      </c>
      <c r="H1097" s="1099">
        <v>0.97642125751997766</v>
      </c>
      <c r="I1097" s="1099">
        <v>1.0012449209258745</v>
      </c>
      <c r="K1097">
        <v>1.6838853223796069</v>
      </c>
      <c r="L1097">
        <v>0</v>
      </c>
      <c r="M1097">
        <v>1.4038296534773103E-3</v>
      </c>
      <c r="N1097">
        <v>0.12407796709978129</v>
      </c>
      <c r="O1097">
        <v>0.1256898537581112</v>
      </c>
      <c r="P1097">
        <v>1.7572451621028717E-2</v>
      </c>
      <c r="Q1097">
        <v>8.9717288579805818E-4</v>
      </c>
      <c r="R1097">
        <v>1.4001405198909747E-3</v>
      </c>
      <c r="S1097">
        <v>0.1085603115421394</v>
      </c>
      <c r="T1097">
        <v>0.98431445698122266</v>
      </c>
      <c r="U1097">
        <v>0</v>
      </c>
      <c r="V1097">
        <v>0.20817902680534481</v>
      </c>
      <c r="W1097">
        <v>8.2156240071815836E-2</v>
      </c>
      <c r="X1097">
        <v>2.8630809809006209E-2</v>
      </c>
      <c r="Y1097">
        <v>3.8107209389448963E-3</v>
      </c>
    </row>
    <row r="1098" spans="1:25" x14ac:dyDescent="0.25">
      <c r="A1098" s="1095"/>
      <c r="B1098" s="1454">
        <v>848</v>
      </c>
      <c r="C1098" s="1099">
        <v>1.0280818335095614</v>
      </c>
      <c r="D1098" s="1099">
        <v>0.97370910907263886</v>
      </c>
      <c r="E1098" s="1099">
        <v>1.007681563634975</v>
      </c>
      <c r="F1098" s="1099">
        <v>1.0088103658943972</v>
      </c>
      <c r="G1098" s="1099">
        <v>1.0110329032143528</v>
      </c>
      <c r="H1098" s="1099">
        <v>0.97442595427191392</v>
      </c>
      <c r="I1098" s="1099">
        <v>0.98666835885139326</v>
      </c>
      <c r="K1098">
        <v>1.736969800816673</v>
      </c>
      <c r="L1098">
        <v>0</v>
      </c>
      <c r="M1098">
        <v>1.3071826062304754E-3</v>
      </c>
      <c r="N1098">
        <v>0.12306199299909573</v>
      </c>
      <c r="O1098">
        <v>0.12798673755525469</v>
      </c>
      <c r="P1098">
        <v>1.8553679396351722E-2</v>
      </c>
      <c r="Q1098">
        <v>8.9066307294000525E-4</v>
      </c>
      <c r="R1098">
        <v>1.3037506652352781E-3</v>
      </c>
      <c r="S1098">
        <v>0.10381663397645852</v>
      </c>
      <c r="T1098">
        <v>1.0399097324014661</v>
      </c>
      <c r="U1098">
        <v>0</v>
      </c>
      <c r="V1098">
        <v>0.20870007523732356</v>
      </c>
      <c r="W1098">
        <v>8.0476225847619876E-2</v>
      </c>
      <c r="X1098">
        <v>3.0029112741678642E-2</v>
      </c>
      <c r="Y1098">
        <v>3.548379529479138E-3</v>
      </c>
    </row>
    <row r="1099" spans="1:25" x14ac:dyDescent="0.25">
      <c r="A1099" s="1095"/>
      <c r="B1099" s="1454">
        <v>849</v>
      </c>
      <c r="C1099" s="1099">
        <v>0.97442378337392643</v>
      </c>
      <c r="D1099" s="1099">
        <v>1.01439470233518</v>
      </c>
      <c r="E1099" s="1099">
        <v>1.0118784895260933</v>
      </c>
      <c r="F1099" s="1099">
        <v>1.0281113414335548</v>
      </c>
      <c r="G1099" s="1099">
        <v>0.97466284235695722</v>
      </c>
      <c r="H1099" s="1099">
        <v>0.99114727285144721</v>
      </c>
      <c r="I1099" s="1099">
        <v>1.0463902855650993</v>
      </c>
      <c r="K1099">
        <v>1.7833549065053687</v>
      </c>
      <c r="L1099">
        <v>0</v>
      </c>
      <c r="M1099">
        <v>1.3536803301659218E-3</v>
      </c>
      <c r="N1099">
        <v>0.12906662829603657</v>
      </c>
      <c r="O1099">
        <v>0.13036734627419527</v>
      </c>
      <c r="P1099">
        <v>1.9063002752821898E-2</v>
      </c>
      <c r="Q1099">
        <v>9.2845773540759066E-4</v>
      </c>
      <c r="R1099">
        <v>1.3501491328803722E-3</v>
      </c>
      <c r="S1099">
        <v>0.11430604891546516</v>
      </c>
      <c r="T1099">
        <v>1.0596786988756912</v>
      </c>
      <c r="U1099">
        <v>0</v>
      </c>
      <c r="V1099">
        <v>0.211258445608828</v>
      </c>
      <c r="W1099">
        <v>8.4194288406348128E-2</v>
      </c>
      <c r="X1099">
        <v>3.0820859974699411E-2</v>
      </c>
      <c r="Y1099">
        <v>3.6746608631583362E-3</v>
      </c>
    </row>
    <row r="1100" spans="1:25" x14ac:dyDescent="0.25">
      <c r="A1100" s="1095"/>
      <c r="B1100" s="1454">
        <v>850</v>
      </c>
      <c r="C1100" s="1099">
        <v>0.98165810736167136</v>
      </c>
      <c r="D1100" s="1099">
        <v>0.98706092421349423</v>
      </c>
      <c r="E1100" s="1099">
        <v>0.98248825532450612</v>
      </c>
      <c r="F1100" s="1099">
        <v>1.0086546998771149</v>
      </c>
      <c r="G1100" s="1099">
        <v>1.0116039739612612</v>
      </c>
      <c r="H1100" s="1099">
        <v>0.984527759307673</v>
      </c>
      <c r="I1100" s="1099">
        <v>1.0193550999541132</v>
      </c>
      <c r="K1100">
        <v>1.7557678441604001</v>
      </c>
      <c r="L1100">
        <v>0</v>
      </c>
      <c r="M1100">
        <v>1.4400636409451851E-3</v>
      </c>
      <c r="N1100">
        <v>0.1256335783116708</v>
      </c>
      <c r="O1100">
        <v>0.12964997273428608</v>
      </c>
      <c r="P1100">
        <v>1.8368622652634198E-2</v>
      </c>
      <c r="Q1100">
        <v>9.037349615240803E-4</v>
      </c>
      <c r="R1100">
        <v>1.4362973011169961E-3</v>
      </c>
      <c r="S1100">
        <v>0.11180008118349606</v>
      </c>
      <c r="T1100">
        <v>1.0405083943538744</v>
      </c>
      <c r="U1100">
        <v>0</v>
      </c>
      <c r="V1100">
        <v>0.2121389019925595</v>
      </c>
      <c r="W1100">
        <v>8.3402243836253095E-2</v>
      </c>
      <c r="X1100">
        <v>2.9456952695564139E-2</v>
      </c>
      <c r="Y1100">
        <v>3.9091277783623998E-3</v>
      </c>
    </row>
    <row r="1101" spans="1:25" x14ac:dyDescent="0.25">
      <c r="A1101" s="1095"/>
      <c r="B1101" s="1454">
        <v>851</v>
      </c>
      <c r="C1101" s="1099">
        <v>0.99538444276401838</v>
      </c>
      <c r="D1101" s="1099">
        <v>1.0237289166141377</v>
      </c>
      <c r="E1101" s="1099">
        <v>1.010228461485672</v>
      </c>
      <c r="F1101" s="1099">
        <v>1.002139446004096</v>
      </c>
      <c r="G1101" s="1099">
        <v>1.0048689684787893</v>
      </c>
      <c r="H1101" s="1099">
        <v>1.0096163927065338</v>
      </c>
      <c r="I1101" s="1099">
        <v>1.0029976461150647</v>
      </c>
      <c r="K1101">
        <v>1.7412576526802275</v>
      </c>
      <c r="L1101">
        <v>0</v>
      </c>
      <c r="M1101">
        <v>1.3466141518800666E-3</v>
      </c>
      <c r="N1101">
        <v>0.12776035988939385</v>
      </c>
      <c r="O1101">
        <v>0.12686848683220386</v>
      </c>
      <c r="P1101">
        <v>1.8557168554483416E-2</v>
      </c>
      <c r="Q1101">
        <v>9.0404354575163571E-4</v>
      </c>
      <c r="R1101">
        <v>1.343158127596265E-3</v>
      </c>
      <c r="S1101">
        <v>0.10790216307010651</v>
      </c>
      <c r="T1101">
        <v>1.0329579688190775</v>
      </c>
      <c r="U1101">
        <v>0</v>
      </c>
      <c r="V1101">
        <v>0.20927060812645071</v>
      </c>
      <c r="W1101">
        <v>8.3423230329863735E-2</v>
      </c>
      <c r="X1101">
        <v>2.9961445885819657E-2</v>
      </c>
      <c r="Y1101">
        <v>3.6556336513592683E-3</v>
      </c>
    </row>
    <row r="1102" spans="1:25" x14ac:dyDescent="0.25">
      <c r="A1102" s="1095"/>
      <c r="B1102" s="1454">
        <v>852</v>
      </c>
      <c r="C1102" s="1099">
        <v>0.97600495693279177</v>
      </c>
      <c r="D1102" s="1099">
        <v>0.98215703195935689</v>
      </c>
      <c r="E1102" s="1099">
        <v>0.95612885246706447</v>
      </c>
      <c r="F1102" s="1099">
        <v>1.0164253124039058</v>
      </c>
      <c r="G1102" s="1099">
        <v>1.0096933858236932</v>
      </c>
      <c r="H1102" s="1099">
        <v>0.98649276615566417</v>
      </c>
      <c r="I1102" s="1099">
        <v>0.98972758158236518</v>
      </c>
      <c r="K1102">
        <v>1.7618346867835615</v>
      </c>
      <c r="L1102">
        <v>0</v>
      </c>
      <c r="M1102">
        <v>1.537227890332088E-3</v>
      </c>
      <c r="N1102">
        <v>0.12382307590174035</v>
      </c>
      <c r="O1102">
        <v>0.1306715757143084</v>
      </c>
      <c r="P1102">
        <v>1.8100526318884959E-2</v>
      </c>
      <c r="Q1102">
        <v>8.8582679695441569E-4</v>
      </c>
      <c r="R1102">
        <v>1.533219928295792E-3</v>
      </c>
      <c r="S1102">
        <v>0.10962291512382034</v>
      </c>
      <c r="T1102">
        <v>1.0493454436294107</v>
      </c>
      <c r="U1102">
        <v>0</v>
      </c>
      <c r="V1102">
        <v>0.2130285052028075</v>
      </c>
      <c r="W1102">
        <v>8.3530495293954551E-2</v>
      </c>
      <c r="X1102">
        <v>2.8657411544707946E-2</v>
      </c>
      <c r="Y1102">
        <v>4.17291921900762E-3</v>
      </c>
    </row>
    <row r="1103" spans="1:25" x14ac:dyDescent="0.25">
      <c r="A1103" s="1095"/>
      <c r="B1103" s="1454">
        <v>853</v>
      </c>
      <c r="C1103" s="1099">
        <v>0.99061684512703607</v>
      </c>
      <c r="D1103" s="1099">
        <v>0.98213806081035271</v>
      </c>
      <c r="E1103" s="1099">
        <v>1.0001286191963186</v>
      </c>
      <c r="F1103" s="1099">
        <v>1.0144472539845297</v>
      </c>
      <c r="G1103" s="1099">
        <v>1.0204936821697408</v>
      </c>
      <c r="H1103" s="1099">
        <v>0.9792082906650198</v>
      </c>
      <c r="I1103" s="1099">
        <v>1.0383320153638933</v>
      </c>
      <c r="K1103">
        <v>1.7641664618203026</v>
      </c>
      <c r="L1103">
        <v>0</v>
      </c>
      <c r="M1103">
        <v>1.3741806294850518E-3</v>
      </c>
      <c r="N1103">
        <v>0.12645175856199259</v>
      </c>
      <c r="O1103">
        <v>0.12992033493387506</v>
      </c>
      <c r="P1103">
        <v>1.8705657639159441E-2</v>
      </c>
      <c r="Q1103">
        <v>9.1399586685023441E-4</v>
      </c>
      <c r="R1103">
        <v>1.3705750695445311E-3</v>
      </c>
      <c r="S1103">
        <v>0.11293172829251392</v>
      </c>
      <c r="T1103">
        <v>1.0459472730050148</v>
      </c>
      <c r="U1103">
        <v>0</v>
      </c>
      <c r="V1103">
        <v>0.212297609293014</v>
      </c>
      <c r="W1103">
        <v>8.30638596256566E-2</v>
      </c>
      <c r="X1103">
        <v>3.0207596632814884E-2</v>
      </c>
      <c r="Y1103">
        <v>3.7302535293499656E-3</v>
      </c>
    </row>
    <row r="1104" spans="1:25" x14ac:dyDescent="0.25">
      <c r="A1104" s="1095"/>
      <c r="B1104" s="1454">
        <v>854</v>
      </c>
      <c r="C1104" s="1099">
        <v>1.0085538109539516</v>
      </c>
      <c r="D1104" s="1099">
        <v>0.98712804184636516</v>
      </c>
      <c r="E1104" s="1099">
        <v>0.98802373273232857</v>
      </c>
      <c r="F1104" s="1099">
        <v>0.97803616341242794</v>
      </c>
      <c r="G1104" s="1099">
        <v>1.0049900451204503</v>
      </c>
      <c r="H1104" s="1099">
        <v>1.0114178283031832</v>
      </c>
      <c r="I1104" s="1099">
        <v>0.98635419716337691</v>
      </c>
      <c r="K1104">
        <v>1.7109658487821164</v>
      </c>
      <c r="L1104">
        <v>0</v>
      </c>
      <c r="M1104">
        <v>1.4228697951857662E-3</v>
      </c>
      <c r="N1104">
        <v>0.12623795359807094</v>
      </c>
      <c r="O1104">
        <v>0.12592419955792367</v>
      </c>
      <c r="P1104">
        <v>1.7896280886054512E-2</v>
      </c>
      <c r="Q1104">
        <v>8.8471350830607418E-4</v>
      </c>
      <c r="R1104">
        <v>1.4192457491633832E-3</v>
      </c>
      <c r="S1104">
        <v>0.10712026727970726</v>
      </c>
      <c r="T1104">
        <v>1.0087595938409162</v>
      </c>
      <c r="U1104">
        <v>0</v>
      </c>
      <c r="V1104">
        <v>0.20792983455829744</v>
      </c>
      <c r="W1104">
        <v>8.3524978719019066E-2</v>
      </c>
      <c r="X1104">
        <v>2.8828931804855819E-2</v>
      </c>
      <c r="Y1104">
        <v>3.8627190749872566E-3</v>
      </c>
    </row>
    <row r="1105" spans="1:25" x14ac:dyDescent="0.25">
      <c r="A1105" s="1095"/>
      <c r="B1105" s="1454">
        <v>855</v>
      </c>
      <c r="C1105" s="1099">
        <v>1.0217549005019186</v>
      </c>
      <c r="D1105" s="1099">
        <v>1.000839283891092</v>
      </c>
      <c r="E1105" s="1099">
        <v>0.99497421149833432</v>
      </c>
      <c r="F1105" s="1099">
        <v>0.98532181154127718</v>
      </c>
      <c r="G1105" s="1099">
        <v>0.97291818516614637</v>
      </c>
      <c r="H1105" s="1099">
        <v>1.0116815600178599</v>
      </c>
      <c r="I1105" s="1099">
        <v>1.0333880101534774</v>
      </c>
      <c r="K1105">
        <v>1.7150808508492594</v>
      </c>
      <c r="L1105">
        <v>0</v>
      </c>
      <c r="M1105">
        <v>1.3759726771717491E-3</v>
      </c>
      <c r="N1105">
        <v>0.12466924736550465</v>
      </c>
      <c r="O1105">
        <v>0.12522501512277937</v>
      </c>
      <c r="P1105">
        <v>1.8092531146220486E-2</v>
      </c>
      <c r="Q1105">
        <v>8.7478744111564816E-4</v>
      </c>
      <c r="R1105">
        <v>1.3724659933550668E-3</v>
      </c>
      <c r="S1105">
        <v>0.10999423402368176</v>
      </c>
      <c r="T1105">
        <v>1.0160687903839767</v>
      </c>
      <c r="U1105">
        <v>0</v>
      </c>
      <c r="V1105">
        <v>0.20529033039201788</v>
      </c>
      <c r="W1105">
        <v>8.2144711294913242E-2</v>
      </c>
      <c r="X1105">
        <v>2.8989310362247181E-2</v>
      </c>
      <c r="Y1105">
        <v>3.7354000006193768E-3</v>
      </c>
    </row>
    <row r="1106" spans="1:25" x14ac:dyDescent="0.25">
      <c r="A1106" s="1095"/>
      <c r="B1106" s="1454">
        <v>856</v>
      </c>
      <c r="C1106" s="1099">
        <v>0.98658933420395345</v>
      </c>
      <c r="D1106" s="1099">
        <v>0.9989612989245471</v>
      </c>
      <c r="E1106" s="1099">
        <v>1.0007154804592737</v>
      </c>
      <c r="F1106" s="1099">
        <v>1.016745534809935</v>
      </c>
      <c r="G1106" s="1099">
        <v>0.97713257910526763</v>
      </c>
      <c r="H1106" s="1099">
        <v>0.99708598715941932</v>
      </c>
      <c r="I1106" s="1099">
        <v>0.98298868442017695</v>
      </c>
      <c r="K1106">
        <v>1.7610493991367326</v>
      </c>
      <c r="L1106">
        <v>0</v>
      </c>
      <c r="M1106">
        <v>1.3891107254591622E-3</v>
      </c>
      <c r="N1106">
        <v>0.12805738555301982</v>
      </c>
      <c r="O1106">
        <v>0.12952036191417604</v>
      </c>
      <c r="P1106">
        <v>1.8641988717999772E-2</v>
      </c>
      <c r="Q1106">
        <v>9.1206810219866992E-4</v>
      </c>
      <c r="R1106">
        <v>1.3855193331404766E-3</v>
      </c>
      <c r="S1106">
        <v>0.10746454660844065</v>
      </c>
      <c r="T1106">
        <v>1.0482991884690183</v>
      </c>
      <c r="U1106">
        <v>0</v>
      </c>
      <c r="V1106">
        <v>0.21015144529108706</v>
      </c>
      <c r="W1106">
        <v>8.4089241267466031E-2</v>
      </c>
      <c r="X1106">
        <v>3.0145837717159792E-2</v>
      </c>
      <c r="Y1106">
        <v>3.7709268884829586E-3</v>
      </c>
    </row>
    <row r="1107" spans="1:25" x14ac:dyDescent="0.25">
      <c r="A1107" s="1095"/>
      <c r="B1107" s="1454">
        <v>857</v>
      </c>
      <c r="C1107" s="1099">
        <v>1.014607726868884</v>
      </c>
      <c r="D1107" s="1099">
        <v>1.0380027130586151</v>
      </c>
      <c r="E1107" s="1099">
        <v>1.0305091751506963</v>
      </c>
      <c r="F1107" s="1099">
        <v>1.0193847632058273</v>
      </c>
      <c r="G1107" s="1099">
        <v>1.0040172104414224</v>
      </c>
      <c r="H1107" s="1099">
        <v>0.98990504401950663</v>
      </c>
      <c r="I1107" s="1099">
        <v>1.0047511112236585</v>
      </c>
      <c r="K1107">
        <v>1.7478558943572626</v>
      </c>
      <c r="L1107">
        <v>0</v>
      </c>
      <c r="M1107">
        <v>1.2352559368462614E-3</v>
      </c>
      <c r="N1107">
        <v>0.12458291149805735</v>
      </c>
      <c r="O1107">
        <v>0.12661589026687831</v>
      </c>
      <c r="P1107">
        <v>1.9004985530103619E-2</v>
      </c>
      <c r="Q1107">
        <v>9.0055527682154717E-4</v>
      </c>
      <c r="R1107">
        <v>1.2320234479866485E-3</v>
      </c>
      <c r="S1107">
        <v>0.10403357865817446</v>
      </c>
      <c r="T1107">
        <v>1.050131545968134</v>
      </c>
      <c r="U1107">
        <v>0</v>
      </c>
      <c r="V1107">
        <v>0.20815993230898328</v>
      </c>
      <c r="W1107">
        <v>8.0389207245536221E-2</v>
      </c>
      <c r="X1107">
        <v>3.0687358404432721E-2</v>
      </c>
      <c r="Y1107">
        <v>3.3531616889991814E-3</v>
      </c>
    </row>
    <row r="1108" spans="1:25" x14ac:dyDescent="0.25">
      <c r="A1108" s="1095"/>
      <c r="B1108" s="1454">
        <v>858</v>
      </c>
      <c r="C1108" s="1099">
        <v>0.97838998803378663</v>
      </c>
      <c r="D1108" s="1099">
        <v>1.0075215372917603</v>
      </c>
      <c r="E1108" s="1099">
        <v>1.0208391654589828</v>
      </c>
      <c r="F1108" s="1099">
        <v>1.0147804478398916</v>
      </c>
      <c r="G1108" s="1099">
        <v>1.0066146098178543</v>
      </c>
      <c r="H1108" s="1099">
        <v>1.0227117135327453</v>
      </c>
      <c r="I1108" s="1099">
        <v>0.99976626812118841</v>
      </c>
      <c r="K1108">
        <v>1.7744723132372384</v>
      </c>
      <c r="L1108">
        <v>0</v>
      </c>
      <c r="M1108">
        <v>1.3698378549173349E-3</v>
      </c>
      <c r="N1108">
        <v>0.13419791693251851</v>
      </c>
      <c r="O1108">
        <v>0.12949552386350524</v>
      </c>
      <c r="P1108">
        <v>1.8965312528146577E-2</v>
      </c>
      <c r="Q1108">
        <v>9.3579116405391992E-4</v>
      </c>
      <c r="R1108">
        <v>1.3663764984862888E-3</v>
      </c>
      <c r="S1108">
        <v>0.11143130636410246</v>
      </c>
      <c r="T1108">
        <v>1.0456725956397792</v>
      </c>
      <c r="U1108">
        <v>0</v>
      </c>
      <c r="V1108">
        <v>0.21199105802628873</v>
      </c>
      <c r="W1108">
        <v>8.7082548075603811E-2</v>
      </c>
      <c r="X1108">
        <v>3.0984895596682039E-2</v>
      </c>
      <c r="Y1108">
        <v>3.718826402988006E-3</v>
      </c>
    </row>
    <row r="1109" spans="1:25" x14ac:dyDescent="0.25">
      <c r="A1109" s="1095"/>
      <c r="B1109" s="1454">
        <v>859</v>
      </c>
      <c r="C1109" s="1099">
        <v>0.98047871964409627</v>
      </c>
      <c r="D1109" s="1099">
        <v>1.0152930721192022</v>
      </c>
      <c r="E1109" s="1099">
        <v>1.0067521293995496</v>
      </c>
      <c r="F1109" s="1099">
        <v>1.0120782554574741</v>
      </c>
      <c r="G1109" s="1099">
        <v>1.0064990868618688</v>
      </c>
      <c r="H1109" s="1099">
        <v>0.99893637030314264</v>
      </c>
      <c r="I1109" s="1099">
        <v>1.030716049941627</v>
      </c>
      <c r="K1109">
        <v>1.7619666398650569</v>
      </c>
      <c r="L1109">
        <v>0</v>
      </c>
      <c r="M1109">
        <v>1.3685448531437112E-3</v>
      </c>
      <c r="N1109">
        <v>0.12848218668755995</v>
      </c>
      <c r="O1109">
        <v>0.12876626644705905</v>
      </c>
      <c r="P1109">
        <v>1.8741146432074439E-2</v>
      </c>
      <c r="Q1109">
        <v>9.1753192427977215E-4</v>
      </c>
      <c r="R1109">
        <v>1.3649991475467259E-3</v>
      </c>
      <c r="S1109">
        <v>0.11233420245568093</v>
      </c>
      <c r="T1109">
        <v>1.043306124818808</v>
      </c>
      <c r="U1109">
        <v>0</v>
      </c>
      <c r="V1109">
        <v>0.21138786006002847</v>
      </c>
      <c r="W1109">
        <v>8.4066916909263142E-2</v>
      </c>
      <c r="X1109">
        <v>3.0252872128125802E-2</v>
      </c>
      <c r="Y1109">
        <v>3.7150777077741308E-3</v>
      </c>
    </row>
    <row r="1110" spans="1:25" x14ac:dyDescent="0.25">
      <c r="A1110" s="1095"/>
      <c r="B1110" s="1454">
        <v>860</v>
      </c>
      <c r="C1110" s="1099">
        <v>1.0052303338447106</v>
      </c>
      <c r="D1110" s="1099">
        <v>1.0256751108792845</v>
      </c>
      <c r="E1110" s="1099">
        <v>1.0028025327423475</v>
      </c>
      <c r="F1110" s="1099">
        <v>0.99638602565209622</v>
      </c>
      <c r="G1110" s="1099">
        <v>0.99827114034964182</v>
      </c>
      <c r="H1110" s="1099">
        <v>1.0017353009999033</v>
      </c>
      <c r="I1110" s="1099">
        <v>1.0115354420637512</v>
      </c>
      <c r="K1110">
        <v>1.726420283619311</v>
      </c>
      <c r="L1110">
        <v>0</v>
      </c>
      <c r="M1110">
        <v>1.3424788675158981E-3</v>
      </c>
      <c r="N1110">
        <v>0.12454109402191381</v>
      </c>
      <c r="O1110">
        <v>0.12581089715835875</v>
      </c>
      <c r="P1110">
        <v>1.8345232116522128E-2</v>
      </c>
      <c r="Q1110">
        <v>8.8767198051160716E-4</v>
      </c>
      <c r="R1110">
        <v>1.3390061571412841E-3</v>
      </c>
      <c r="S1110">
        <v>0.10709083447741598</v>
      </c>
      <c r="T1110">
        <v>1.0272461342372288</v>
      </c>
      <c r="U1110">
        <v>0</v>
      </c>
      <c r="V1110">
        <v>0.20774538874415188</v>
      </c>
      <c r="W1110">
        <v>8.1679019378190554E-2</v>
      </c>
      <c r="X1110">
        <v>2.9433150858913751E-2</v>
      </c>
      <c r="Y1110">
        <v>3.6443333564775034E-3</v>
      </c>
    </row>
    <row r="1111" spans="1:25" x14ac:dyDescent="0.25">
      <c r="A1111" s="1095"/>
      <c r="B1111" s="1454">
        <v>861</v>
      </c>
      <c r="C1111" s="1099">
        <v>1.0039092391386344</v>
      </c>
      <c r="D1111" s="1099">
        <v>0.96505511949055622</v>
      </c>
      <c r="E1111" s="1099">
        <v>0.98260011445338002</v>
      </c>
      <c r="F1111" s="1099">
        <v>1.0076093309776191</v>
      </c>
      <c r="G1111" s="1099">
        <v>1.0045124894313437</v>
      </c>
      <c r="H1111" s="1099">
        <v>1.025144178852434</v>
      </c>
      <c r="I1111" s="1099">
        <v>1.0189228572484503</v>
      </c>
      <c r="K1111">
        <v>1.7621097718084198</v>
      </c>
      <c r="L1111">
        <v>0</v>
      </c>
      <c r="M1111">
        <v>1.4881729335049485E-3</v>
      </c>
      <c r="N1111">
        <v>0.12989012411150214</v>
      </c>
      <c r="O1111">
        <v>0.12944514104878466</v>
      </c>
      <c r="P1111">
        <v>1.8361833298000577E-2</v>
      </c>
      <c r="Q1111">
        <v>8.9181436965950558E-4</v>
      </c>
      <c r="R1111">
        <v>1.4844575679346537E-3</v>
      </c>
      <c r="S1111">
        <v>0.11388207276486131</v>
      </c>
      <c r="T1111">
        <v>1.0394266030823613</v>
      </c>
      <c r="U1111">
        <v>0</v>
      </c>
      <c r="V1111">
        <v>0.21051836890914077</v>
      </c>
      <c r="W1111">
        <v>8.6222152893591406E-2</v>
      </c>
      <c r="X1111">
        <v>2.9435172547476605E-2</v>
      </c>
      <c r="Y1111">
        <v>4.0402041486123728E-3</v>
      </c>
    </row>
    <row r="1112" spans="1:25" x14ac:dyDescent="0.25">
      <c r="A1112" s="1095"/>
      <c r="B1112" s="1454">
        <v>862</v>
      </c>
      <c r="C1112" s="1099">
        <v>0.98119192781084241</v>
      </c>
      <c r="D1112" s="1099">
        <v>0.98729529819419559</v>
      </c>
      <c r="E1112" s="1099">
        <v>0.98644372752993947</v>
      </c>
      <c r="F1112" s="1099">
        <v>1.0065721727111285</v>
      </c>
      <c r="G1112" s="1099">
        <v>0.98218035902409628</v>
      </c>
      <c r="H1112" s="1099">
        <v>0.99109320641409837</v>
      </c>
      <c r="I1112" s="1099">
        <v>0.99073253516030313</v>
      </c>
      <c r="K1112">
        <v>1.751324053869433</v>
      </c>
      <c r="L1112">
        <v>0</v>
      </c>
      <c r="M1112">
        <v>1.4380103908631702E-3</v>
      </c>
      <c r="N1112">
        <v>0.12696651555580413</v>
      </c>
      <c r="O1112">
        <v>0.12952001432644616</v>
      </c>
      <c r="P1112">
        <v>1.8337195849086718E-2</v>
      </c>
      <c r="Q1112">
        <v>9.0782477022203101E-4</v>
      </c>
      <c r="R1112">
        <v>1.4342733323265166E-3</v>
      </c>
      <c r="S1112">
        <v>0.10915389910791656</v>
      </c>
      <c r="T1112">
        <v>1.0382398986320076</v>
      </c>
      <c r="U1112">
        <v>0</v>
      </c>
      <c r="V1112">
        <v>0.21065089558910108</v>
      </c>
      <c r="W1112">
        <v>8.4086755966079868E-2</v>
      </c>
      <c r="X1112">
        <v>2.9561171928788828E-2</v>
      </c>
      <c r="Y1112">
        <v>3.9036192025158466E-3</v>
      </c>
    </row>
    <row r="1113" spans="1:25" x14ac:dyDescent="0.25">
      <c r="A1113" s="1095"/>
      <c r="B1113" s="1454">
        <v>863</v>
      </c>
      <c r="C1113" s="1099">
        <v>1.0320458549133897</v>
      </c>
      <c r="D1113" s="1099">
        <v>0.99779137046109179</v>
      </c>
      <c r="E1113" s="1099">
        <v>0.99594530071778631</v>
      </c>
      <c r="F1113" s="1099">
        <v>1.0282701355217643</v>
      </c>
      <c r="G1113" s="1099">
        <v>0.98638161014029568</v>
      </c>
      <c r="H1113" s="1099">
        <v>0.99949891779855249</v>
      </c>
      <c r="I1113" s="1099">
        <v>1.0050633519123595</v>
      </c>
      <c r="K1113">
        <v>1.7580033640795072</v>
      </c>
      <c r="L1113">
        <v>0</v>
      </c>
      <c r="M1113">
        <v>1.3515159016514611E-3</v>
      </c>
      <c r="N1113">
        <v>0.12281102253495511</v>
      </c>
      <c r="O1113">
        <v>0.12806926309586547</v>
      </c>
      <c r="P1113">
        <v>1.8676567014579804E-2</v>
      </c>
      <c r="Q1113">
        <v>8.6799742171089051E-4</v>
      </c>
      <c r="R1113">
        <v>1.3480469360972989E-3</v>
      </c>
      <c r="S1113">
        <v>0.10558532092239269</v>
      </c>
      <c r="T1113">
        <v>1.0603274987266096</v>
      </c>
      <c r="U1113">
        <v>0</v>
      </c>
      <c r="V1113">
        <v>0.20742513389540812</v>
      </c>
      <c r="W1113">
        <v>8.0873466432718685E-2</v>
      </c>
      <c r="X1113">
        <v>2.9701623624316019E-2</v>
      </c>
      <c r="Y1113">
        <v>3.6689393765037934E-3</v>
      </c>
    </row>
    <row r="1114" spans="1:25" x14ac:dyDescent="0.25">
      <c r="A1114" s="1095"/>
      <c r="B1114" s="1454">
        <v>864</v>
      </c>
      <c r="C1114" s="1099">
        <v>0.98906570083589906</v>
      </c>
      <c r="D1114" s="1099">
        <v>1.0211336383962348</v>
      </c>
      <c r="E1114" s="1099">
        <v>1.0025506014375947</v>
      </c>
      <c r="F1114" s="1099">
        <v>0.99356314849840599</v>
      </c>
      <c r="G1114" s="1099">
        <v>0.97505235599383544</v>
      </c>
      <c r="H1114" s="1099">
        <v>1.0148797022358882</v>
      </c>
      <c r="I1114" s="1099">
        <v>1.0248556262087207</v>
      </c>
      <c r="K1114">
        <v>1.7355072037568546</v>
      </c>
      <c r="L1114">
        <v>0</v>
      </c>
      <c r="M1114">
        <v>1.384498174817784E-3</v>
      </c>
      <c r="N1114">
        <v>0.12834557311147887</v>
      </c>
      <c r="O1114">
        <v>0.12662800676700442</v>
      </c>
      <c r="P1114">
        <v>1.8364173375556944E-2</v>
      </c>
      <c r="Q1114">
        <v>9.0354663187095072E-4</v>
      </c>
      <c r="R1114">
        <v>1.3809605892710136E-3</v>
      </c>
      <c r="S1114">
        <v>0.11140321435369595</v>
      </c>
      <c r="T1114">
        <v>1.0243432478246428</v>
      </c>
      <c r="U1114">
        <v>0</v>
      </c>
      <c r="V1114">
        <v>0.20797095571006391</v>
      </c>
      <c r="W1114">
        <v>8.4186726674016568E-2</v>
      </c>
      <c r="X1114">
        <v>2.9606777403611752E-2</v>
      </c>
      <c r="Y1114">
        <v>3.7585194904597927E-3</v>
      </c>
    </row>
    <row r="1115" spans="1:25" x14ac:dyDescent="0.25">
      <c r="A1115" s="1095"/>
      <c r="B1115" s="1454">
        <v>865</v>
      </c>
      <c r="C1115" s="1099">
        <v>1.0024810556724759</v>
      </c>
      <c r="D1115" s="1099">
        <v>1.0166914496504313</v>
      </c>
      <c r="E1115" s="1099">
        <v>1.0326924706649185</v>
      </c>
      <c r="F1115" s="1099">
        <v>0.98717831388935162</v>
      </c>
      <c r="G1115" s="1099">
        <v>0.98463521518354913</v>
      </c>
      <c r="H1115" s="1099">
        <v>1.0261972266557398</v>
      </c>
      <c r="I1115" s="1099">
        <v>1.0062705906251217</v>
      </c>
      <c r="K1115">
        <v>1.7298645939896107</v>
      </c>
      <c r="L1115">
        <v>0</v>
      </c>
      <c r="M1115">
        <v>1.3013244866201935E-3</v>
      </c>
      <c r="N1115">
        <v>0.1321252571710613</v>
      </c>
      <c r="O1115">
        <v>0.12577359677328229</v>
      </c>
      <c r="P1115">
        <v>1.8627698047755704E-2</v>
      </c>
      <c r="Q1115">
        <v>9.2109164551652171E-4</v>
      </c>
      <c r="R1115">
        <v>1.298040612815407E-3</v>
      </c>
      <c r="S1115">
        <v>0.1090874892166469</v>
      </c>
      <c r="T1115">
        <v>1.0168916290422179</v>
      </c>
      <c r="U1115">
        <v>0</v>
      </c>
      <c r="V1115">
        <v>0.20718217246205814</v>
      </c>
      <c r="W1115">
        <v>8.5148186574932588E-2</v>
      </c>
      <c r="X1115">
        <v>3.0577918280833311E-2</v>
      </c>
      <c r="Y1115">
        <v>3.5328386491105231E-3</v>
      </c>
    </row>
    <row r="1116" spans="1:25" x14ac:dyDescent="0.25">
      <c r="A1116" s="1095"/>
      <c r="B1116" s="1454">
        <v>866</v>
      </c>
      <c r="C1116" s="1099">
        <v>1.0078662010351569</v>
      </c>
      <c r="D1116" s="1099">
        <v>0.99016017679506907</v>
      </c>
      <c r="E1116" s="1099">
        <v>0.99160052879945415</v>
      </c>
      <c r="F1116" s="1099">
        <v>0.99382082022746376</v>
      </c>
      <c r="G1116" s="1099">
        <v>0.99361463698890606</v>
      </c>
      <c r="H1116" s="1099">
        <v>1.025651822708576</v>
      </c>
      <c r="I1116" s="1099">
        <v>0.98126598549042021</v>
      </c>
      <c r="K1116">
        <v>1.7331728796037502</v>
      </c>
      <c r="L1116">
        <v>0</v>
      </c>
      <c r="M1116">
        <v>1.4325725822430691E-3</v>
      </c>
      <c r="N1116">
        <v>0.12848554594326717</v>
      </c>
      <c r="O1116">
        <v>0.12703789588494077</v>
      </c>
      <c r="P1116">
        <v>1.8172473082560339E-2</v>
      </c>
      <c r="Q1116">
        <v>8.8753481504940757E-4</v>
      </c>
      <c r="R1116">
        <v>1.4289772415725654E-3</v>
      </c>
      <c r="S1116">
        <v>0.10751210367778696</v>
      </c>
      <c r="T1116">
        <v>1.0249333507135359</v>
      </c>
      <c r="U1116">
        <v>0</v>
      </c>
      <c r="V1116">
        <v>0.208181598016145</v>
      </c>
      <c r="W1116">
        <v>8.4830102674787314E-2</v>
      </c>
      <c r="X1116">
        <v>2.9246665147005618E-2</v>
      </c>
      <c r="Y1116">
        <v>3.8892049893394392E-3</v>
      </c>
    </row>
    <row r="1117" spans="1:25" x14ac:dyDescent="0.25">
      <c r="A1117" s="1095"/>
      <c r="B1117" s="1454">
        <v>867</v>
      </c>
      <c r="C1117" s="1099">
        <v>0.97555747304609752</v>
      </c>
      <c r="D1117" s="1099">
        <v>1.0265348158613359</v>
      </c>
      <c r="E1117" s="1099">
        <v>1.0017219683604954</v>
      </c>
      <c r="F1117" s="1099">
        <v>0.99835814015942503</v>
      </c>
      <c r="G1117" s="1099">
        <v>1.0128475600555111</v>
      </c>
      <c r="H1117" s="1099">
        <v>0.99181593806632973</v>
      </c>
      <c r="I1117" s="1099">
        <v>1.0145520438547202</v>
      </c>
      <c r="K1117">
        <v>1.7400262375455071</v>
      </c>
      <c r="L1117">
        <v>0</v>
      </c>
      <c r="M1117">
        <v>1.3688972762679998E-3</v>
      </c>
      <c r="N1117">
        <v>0.12657399105524791</v>
      </c>
      <c r="O1117">
        <v>0.12745815402601296</v>
      </c>
      <c r="P1117">
        <v>1.8440315498070153E-2</v>
      </c>
      <c r="Q1117">
        <v>9.1334261421303757E-4</v>
      </c>
      <c r="R1117">
        <v>1.3653121081842585E-3</v>
      </c>
      <c r="S1117">
        <v>0.10974709691608206</v>
      </c>
      <c r="T1117">
        <v>1.0293113256730553</v>
      </c>
      <c r="U1117">
        <v>0</v>
      </c>
      <c r="V1117">
        <v>0.21106324092599488</v>
      </c>
      <c r="W1117">
        <v>8.3065509160463402E-2</v>
      </c>
      <c r="X1117">
        <v>2.9740917360987249E-2</v>
      </c>
      <c r="Y1117">
        <v>3.7159294834620488E-3</v>
      </c>
    </row>
    <row r="1118" spans="1:25" x14ac:dyDescent="0.25">
      <c r="A1118" s="1095"/>
      <c r="B1118" s="1454">
        <v>868</v>
      </c>
      <c r="C1118" s="1099">
        <v>0.9941805996984967</v>
      </c>
      <c r="D1118" s="1099">
        <v>1.020815607875408</v>
      </c>
      <c r="E1118" s="1099">
        <v>1.0159947291947657</v>
      </c>
      <c r="F1118" s="1099">
        <v>0.9883706460210856</v>
      </c>
      <c r="G1118" s="1099">
        <v>1.0165917532331248</v>
      </c>
      <c r="H1118" s="1099">
        <v>0.95939985171089104</v>
      </c>
      <c r="I1118" s="1099">
        <v>1.0082752417690266</v>
      </c>
      <c r="K1118">
        <v>1.7136080074005999</v>
      </c>
      <c r="L1118">
        <v>0</v>
      </c>
      <c r="M1118">
        <v>1.266423315156506E-3</v>
      </c>
      <c r="N1118">
        <v>0.12224500001412311</v>
      </c>
      <c r="O1118">
        <v>0.12604137201327711</v>
      </c>
      <c r="P1118">
        <v>1.840148028932986E-2</v>
      </c>
      <c r="Q1118">
        <v>9.1156652597311862E-4</v>
      </c>
      <c r="R1118">
        <v>1.2630004299213156E-3</v>
      </c>
      <c r="S1118">
        <v>0.10520090636158413</v>
      </c>
      <c r="T1118">
        <v>1.0185985399919255</v>
      </c>
      <c r="U1118">
        <v>0</v>
      </c>
      <c r="V1118">
        <v>0.20932388683766848</v>
      </c>
      <c r="W1118">
        <v>7.9551595239490402E-2</v>
      </c>
      <c r="X1118">
        <v>2.9899612190195671E-2</v>
      </c>
      <c r="Y1118">
        <v>3.4374708222659942E-3</v>
      </c>
    </row>
    <row r="1119" spans="1:25" x14ac:dyDescent="0.25">
      <c r="A1119" s="1095"/>
      <c r="B1119" s="1454">
        <v>869</v>
      </c>
      <c r="C1119" s="1099">
        <v>1.0177295124495429</v>
      </c>
      <c r="D1119" s="1099">
        <v>1.0095316056614143</v>
      </c>
      <c r="E1119" s="1099">
        <v>1.0151779348796321</v>
      </c>
      <c r="F1119" s="1099">
        <v>0.96208066891620092</v>
      </c>
      <c r="G1119" s="1099">
        <v>0.9935289950359294</v>
      </c>
      <c r="H1119" s="1099">
        <v>1.0118789361393952</v>
      </c>
      <c r="I1119" s="1099">
        <v>0.96949431289761745</v>
      </c>
      <c r="K1119">
        <v>1.6837763483547314</v>
      </c>
      <c r="L1119">
        <v>0</v>
      </c>
      <c r="M1119">
        <v>1.3150507887800947E-3</v>
      </c>
      <c r="N1119">
        <v>0.12664474269333836</v>
      </c>
      <c r="O1119">
        <v>0.12334802999156944</v>
      </c>
      <c r="P1119">
        <v>1.7928882873042128E-2</v>
      </c>
      <c r="Q1119">
        <v>8.936912113584216E-4</v>
      </c>
      <c r="R1119">
        <v>1.3116864959834562E-3</v>
      </c>
      <c r="S1119">
        <v>0.1029361111307158</v>
      </c>
      <c r="T1119">
        <v>0.99152751820609675</v>
      </c>
      <c r="U1119">
        <v>0</v>
      </c>
      <c r="V1119">
        <v>0.20520152321662108</v>
      </c>
      <c r="W1119">
        <v>8.2454281422417203E-2</v>
      </c>
      <c r="X1119">
        <v>2.9274953657639834E-2</v>
      </c>
      <c r="Y1119">
        <v>3.5699782447297756E-3</v>
      </c>
    </row>
    <row r="1120" spans="1:25" x14ac:dyDescent="0.25">
      <c r="A1120" s="1095"/>
      <c r="B1120" s="1454">
        <v>870</v>
      </c>
      <c r="C1120" s="1099">
        <v>0.95729848064564904</v>
      </c>
      <c r="D1120" s="1099">
        <v>0.97763902882389653</v>
      </c>
      <c r="E1120" s="1099">
        <v>1.0423212839405958</v>
      </c>
      <c r="F1120" s="1099">
        <v>1.0301212328516391</v>
      </c>
      <c r="G1120" s="1099">
        <v>0.95148596407790464</v>
      </c>
      <c r="H1120" s="1099">
        <v>1.0135937582862393</v>
      </c>
      <c r="I1120" s="1099">
        <v>1.00774761847955</v>
      </c>
      <c r="K1120">
        <v>1.81187318623107</v>
      </c>
      <c r="L1120">
        <v>0</v>
      </c>
      <c r="M1120">
        <v>1.3497562723367793E-3</v>
      </c>
      <c r="N1120">
        <v>0.14107470390106111</v>
      </c>
      <c r="O1120">
        <v>0.13333736340448377</v>
      </c>
      <c r="P1120">
        <v>1.9559227693602292E-2</v>
      </c>
      <c r="Q1120">
        <v>9.8943261963098882E-4</v>
      </c>
      <c r="R1120">
        <v>1.3463325697934071E-3</v>
      </c>
      <c r="S1120">
        <v>0.11626830343054924</v>
      </c>
      <c r="T1120">
        <v>1.0608432463402253</v>
      </c>
      <c r="U1120">
        <v>0</v>
      </c>
      <c r="V1120">
        <v>0.21302560581143359</v>
      </c>
      <c r="W1120">
        <v>9.041188919864683E-2</v>
      </c>
      <c r="X1120">
        <v>3.270256409741442E-2</v>
      </c>
      <c r="Y1120">
        <v>3.6642734365653004E-3</v>
      </c>
    </row>
    <row r="1121" spans="1:25" x14ac:dyDescent="0.25">
      <c r="A1121" s="1095"/>
      <c r="B1121" s="1454">
        <v>871</v>
      </c>
      <c r="C1121" s="1099">
        <v>1.0303491622445764</v>
      </c>
      <c r="D1121" s="1099">
        <v>0.9902256684934263</v>
      </c>
      <c r="E1121" s="1099">
        <v>1.0300901834527503</v>
      </c>
      <c r="F1121" s="1099">
        <v>1.0020196016361804</v>
      </c>
      <c r="G1121" s="1099">
        <v>1.0111630569565104</v>
      </c>
      <c r="H1121" s="1099">
        <v>1.0158334862824254</v>
      </c>
      <c r="I1121" s="1099">
        <v>1.0006061513712436</v>
      </c>
      <c r="K1121">
        <v>1.7402184980782274</v>
      </c>
      <c r="L1121">
        <v>0</v>
      </c>
      <c r="M1121">
        <v>1.2844434853895631E-3</v>
      </c>
      <c r="N1121">
        <v>0.12939183530419598</v>
      </c>
      <c r="O1121">
        <v>0.12668229752079205</v>
      </c>
      <c r="P1121">
        <v>1.8782659459346911E-2</v>
      </c>
      <c r="Q1121">
        <v>9.0328372939119995E-4</v>
      </c>
      <c r="R1121">
        <v>1.2811969832235075E-3</v>
      </c>
      <c r="S1121">
        <v>0.10680751550453332</v>
      </c>
      <c r="T1121">
        <v>1.0322547183960642</v>
      </c>
      <c r="U1121">
        <v>0</v>
      </c>
      <c r="V1121">
        <v>0.20773245241756749</v>
      </c>
      <c r="W1121">
        <v>8.3512549976176076E-2</v>
      </c>
      <c r="X1121">
        <v>3.0667436430464549E-2</v>
      </c>
      <c r="Y1121">
        <v>3.4869958418623768E-3</v>
      </c>
    </row>
    <row r="1122" spans="1:25" x14ac:dyDescent="0.25">
      <c r="A1122" s="1095"/>
      <c r="B1122" s="1454">
        <v>872</v>
      </c>
      <c r="C1122" s="1099">
        <v>0.98442994160386788</v>
      </c>
      <c r="D1122" s="1099">
        <v>1.0261906939543501</v>
      </c>
      <c r="E1122" s="1099">
        <v>0.99852466320670408</v>
      </c>
      <c r="F1122" s="1099">
        <v>0.97780274723950322</v>
      </c>
      <c r="G1122" s="1099">
        <v>1.0397707753100882</v>
      </c>
      <c r="H1122" s="1099">
        <v>0.99574279464264226</v>
      </c>
      <c r="I1122" s="1099">
        <v>0.9805399099150397</v>
      </c>
      <c r="K1122">
        <v>1.7091977825032343</v>
      </c>
      <c r="L1122">
        <v>0</v>
      </c>
      <c r="M1122">
        <v>1.3698205556796864E-3</v>
      </c>
      <c r="N1122">
        <v>0.12544273927629709</v>
      </c>
      <c r="O1122">
        <v>0.12542805401892168</v>
      </c>
      <c r="P1122">
        <v>1.8041203498413923E-2</v>
      </c>
      <c r="Q1122">
        <v>9.0223657352046533E-4</v>
      </c>
      <c r="R1122">
        <v>1.366243578326216E-3</v>
      </c>
      <c r="S1122">
        <v>0.10532516469566557</v>
      </c>
      <c r="T1122">
        <v>1.0082115563440837</v>
      </c>
      <c r="U1122">
        <v>0</v>
      </c>
      <c r="V1122">
        <v>0.21051696079688098</v>
      </c>
      <c r="W1122">
        <v>8.2479685708151951E-2</v>
      </c>
      <c r="X1122">
        <v>2.913529393052262E-2</v>
      </c>
      <c r="Y1122">
        <v>3.7184646381294073E-3</v>
      </c>
    </row>
    <row r="1123" spans="1:25" x14ac:dyDescent="0.25">
      <c r="A1123" s="1095"/>
      <c r="B1123" s="1454">
        <v>873</v>
      </c>
      <c r="C1123" s="1099">
        <v>0.99690012692132179</v>
      </c>
      <c r="D1123" s="1099">
        <v>1.0056386865158131</v>
      </c>
      <c r="E1123" s="1099">
        <v>0.97796386815990022</v>
      </c>
      <c r="F1123" s="1099">
        <v>1.0068058250499883</v>
      </c>
      <c r="G1123" s="1099">
        <v>0.96958633504315495</v>
      </c>
      <c r="H1123" s="1099">
        <v>0.98795401457595411</v>
      </c>
      <c r="I1123" s="1099">
        <v>0.96993878975312198</v>
      </c>
      <c r="K1123">
        <v>1.7341558620606319</v>
      </c>
      <c r="L1123">
        <v>0</v>
      </c>
      <c r="M1123">
        <v>1.4222914308589683E-3</v>
      </c>
      <c r="N1123">
        <v>0.12239644687247306</v>
      </c>
      <c r="O1123">
        <v>0.12782591347843017</v>
      </c>
      <c r="P1123">
        <v>1.8121244119301994E-2</v>
      </c>
      <c r="Q1123">
        <v>8.7912699449133676E-4</v>
      </c>
      <c r="R1123">
        <v>1.4185756330404818E-3</v>
      </c>
      <c r="S1123">
        <v>0.10385381331417363</v>
      </c>
      <c r="T1123">
        <v>1.0387392310778101</v>
      </c>
      <c r="U1123">
        <v>0</v>
      </c>
      <c r="V1123">
        <v>0.20811671409847327</v>
      </c>
      <c r="W1123">
        <v>8.1475506051304325E-2</v>
      </c>
      <c r="X1123">
        <v>2.8890686612187806E-2</v>
      </c>
      <c r="Y1123">
        <v>3.8608952398044398E-3</v>
      </c>
    </row>
    <row r="1124" spans="1:25" x14ac:dyDescent="0.25">
      <c r="A1124" s="1095"/>
      <c r="B1124" s="1454">
        <v>874</v>
      </c>
      <c r="C1124" s="1099">
        <v>0.99520105219970822</v>
      </c>
      <c r="D1124" s="1099">
        <v>1.0287767440653965</v>
      </c>
      <c r="E1124" s="1099">
        <v>0.99826485806765985</v>
      </c>
      <c r="F1124" s="1099">
        <v>1.0085315340777341</v>
      </c>
      <c r="G1124" s="1099">
        <v>1.0027502304020057</v>
      </c>
      <c r="H1124" s="1099">
        <v>0.99777610008046547</v>
      </c>
      <c r="I1124" s="1099">
        <v>0.9801525138745496</v>
      </c>
      <c r="K1124">
        <v>1.7397228405875902</v>
      </c>
      <c r="L1124">
        <v>0</v>
      </c>
      <c r="M1124">
        <v>1.361288316234617E-3</v>
      </c>
      <c r="N1124">
        <v>0.12456522690004981</v>
      </c>
      <c r="O1124">
        <v>0.12708293407508076</v>
      </c>
      <c r="P1124">
        <v>1.8440057504466298E-2</v>
      </c>
      <c r="Q1124">
        <v>8.9133324346934756E-4</v>
      </c>
      <c r="R1124">
        <v>1.3577517081000299E-3</v>
      </c>
      <c r="S1124">
        <v>0.10435748652871905</v>
      </c>
      <c r="T1124">
        <v>1.0399037831613742</v>
      </c>
      <c r="U1124">
        <v>0</v>
      </c>
      <c r="V1124">
        <v>0.20933233053728578</v>
      </c>
      <c r="W1124">
        <v>8.1915377673877535E-2</v>
      </c>
      <c r="X1124">
        <v>2.9542495004683773E-2</v>
      </c>
      <c r="Y1124">
        <v>3.6953525667179953E-3</v>
      </c>
    </row>
    <row r="1125" spans="1:25" x14ac:dyDescent="0.25">
      <c r="A1125" s="1095"/>
      <c r="B1125" s="1454">
        <v>875</v>
      </c>
      <c r="C1125" s="1099">
        <v>0.98345005483930081</v>
      </c>
      <c r="D1125" s="1099">
        <v>0.98786915313612778</v>
      </c>
      <c r="E1125" s="1099">
        <v>0.98609388042903812</v>
      </c>
      <c r="F1125" s="1099">
        <v>1.035171964595744</v>
      </c>
      <c r="G1125" s="1099">
        <v>1.0107821932095815</v>
      </c>
      <c r="H1125" s="1099">
        <v>0.9800344981782535</v>
      </c>
      <c r="I1125" s="1099">
        <v>0.98525034321122018</v>
      </c>
      <c r="K1125">
        <v>1.7824714612937089</v>
      </c>
      <c r="L1125">
        <v>0</v>
      </c>
      <c r="M1125">
        <v>1.4230127374569943E-3</v>
      </c>
      <c r="N1125">
        <v>0.12550661192361653</v>
      </c>
      <c r="O1125">
        <v>0.13155056365531406</v>
      </c>
      <c r="P1125">
        <v>1.8746553608500232E-2</v>
      </c>
      <c r="Q1125">
        <v>9.0519898104692454E-4</v>
      </c>
      <c r="R1125">
        <v>1.4192824259343924E-3</v>
      </c>
      <c r="S1125">
        <v>0.10766581104741355</v>
      </c>
      <c r="T1125">
        <v>1.0677503813457982</v>
      </c>
      <c r="U1125">
        <v>0</v>
      </c>
      <c r="V1125">
        <v>0.21331589163682169</v>
      </c>
      <c r="W1125">
        <v>8.313737180180325E-2</v>
      </c>
      <c r="X1125">
        <v>3.0033988707848767E-2</v>
      </c>
      <c r="Y1125">
        <v>3.8628188970674482E-3</v>
      </c>
    </row>
    <row r="1126" spans="1:25" x14ac:dyDescent="0.25">
      <c r="A1126" s="1095"/>
      <c r="B1126" s="1454">
        <v>876</v>
      </c>
      <c r="C1126" s="1099">
        <v>1.0074846284484382</v>
      </c>
      <c r="D1126" s="1099">
        <v>1.0210497998583681</v>
      </c>
      <c r="E1126" s="1099">
        <v>0.98801034059979886</v>
      </c>
      <c r="F1126" s="1099">
        <v>0.99657778645188388</v>
      </c>
      <c r="G1126" s="1099">
        <v>0.97219182828164263</v>
      </c>
      <c r="H1126" s="1099">
        <v>0.99301968790879314</v>
      </c>
      <c r="I1126" s="1099">
        <v>0.98271133986495451</v>
      </c>
      <c r="K1126">
        <v>1.7175915364526078</v>
      </c>
      <c r="L1126">
        <v>0</v>
      </c>
      <c r="M1126">
        <v>1.3730962980472083E-3</v>
      </c>
      <c r="N1126">
        <v>0.12180978765764457</v>
      </c>
      <c r="O1126">
        <v>0.1258613739510642</v>
      </c>
      <c r="P1126">
        <v>1.8084947485327071E-2</v>
      </c>
      <c r="Q1126">
        <v>8.7375135347882561E-4</v>
      </c>
      <c r="R1126">
        <v>1.3695170069678349E-3</v>
      </c>
      <c r="S1126">
        <v>0.10349887322089449</v>
      </c>
      <c r="T1126">
        <v>1.0278840736093378</v>
      </c>
      <c r="U1126">
        <v>0</v>
      </c>
      <c r="V1126">
        <v>0.20640101817168263</v>
      </c>
      <c r="W1126">
        <v>8.0595743075935478E-2</v>
      </c>
      <c r="X1126">
        <v>2.8858173386512902E-2</v>
      </c>
      <c r="Y1126">
        <v>3.7273738318064314E-3</v>
      </c>
    </row>
    <row r="1127" spans="1:25" x14ac:dyDescent="0.25">
      <c r="A1127" s="1095"/>
      <c r="B1127" s="1454">
        <v>877</v>
      </c>
      <c r="C1127" s="1099">
        <v>0.97386156760501186</v>
      </c>
      <c r="D1127" s="1099">
        <v>0.98081620020451066</v>
      </c>
      <c r="E1127" s="1099">
        <v>1.0217251886207832</v>
      </c>
      <c r="F1127" s="1099">
        <v>1.0133624904701131</v>
      </c>
      <c r="G1127" s="1099">
        <v>0.99528066460275844</v>
      </c>
      <c r="H1127" s="1099">
        <v>0.99520228302335767</v>
      </c>
      <c r="I1127" s="1099">
        <v>0.99913594957520235</v>
      </c>
      <c r="K1127">
        <v>1.7740205099552042</v>
      </c>
      <c r="L1127">
        <v>0</v>
      </c>
      <c r="M1127">
        <v>1.3572842542837929E-3</v>
      </c>
      <c r="N1127">
        <v>0.13331617432693668</v>
      </c>
      <c r="O1127">
        <v>0.13088557896253575</v>
      </c>
      <c r="P1127">
        <v>1.8969321963910591E-2</v>
      </c>
      <c r="Q1127">
        <v>9.5116282573714638E-4</v>
      </c>
      <c r="R1127">
        <v>1.3537757097335039E-3</v>
      </c>
      <c r="S1127">
        <v>0.11171760123933323</v>
      </c>
      <c r="T1127">
        <v>1.0441853486424004</v>
      </c>
      <c r="U1127">
        <v>0</v>
      </c>
      <c r="V1127">
        <v>0.21259302734409496</v>
      </c>
      <c r="W1127">
        <v>8.6465587658584045E-2</v>
      </c>
      <c r="X1127">
        <v>3.1255684326366877E-2</v>
      </c>
      <c r="Y1127">
        <v>3.6845312098518234E-3</v>
      </c>
    </row>
    <row r="1128" spans="1:25" x14ac:dyDescent="0.25">
      <c r="A1128" s="1095"/>
      <c r="B1128" s="1454">
        <v>878</v>
      </c>
      <c r="C1128" s="1099">
        <v>0.99795426086712813</v>
      </c>
      <c r="D1128" s="1099">
        <v>0.96938055966370085</v>
      </c>
      <c r="E1128" s="1099">
        <v>1.0176367737707224</v>
      </c>
      <c r="F1128" s="1099">
        <v>0.96489913968919405</v>
      </c>
      <c r="G1128" s="1099">
        <v>0.99135103078704689</v>
      </c>
      <c r="H1128" s="1099">
        <v>0.99466055785730756</v>
      </c>
      <c r="I1128" s="1099">
        <v>0.97335525644995857</v>
      </c>
      <c r="K1128">
        <v>1.7029691443563704</v>
      </c>
      <c r="L1128">
        <v>0</v>
      </c>
      <c r="M1128">
        <v>1.3412136669117736E-3</v>
      </c>
      <c r="N1128">
        <v>0.13012255830755337</v>
      </c>
      <c r="O1128">
        <v>0.12638018499110301</v>
      </c>
      <c r="P1128">
        <v>1.8093445481969055E-2</v>
      </c>
      <c r="Q1128">
        <v>9.2866058399579713E-4</v>
      </c>
      <c r="R1128">
        <v>1.3377443408977166E-3</v>
      </c>
      <c r="S1128">
        <v>0.10677433103098403</v>
      </c>
      <c r="T1128">
        <v>0.99436288270712447</v>
      </c>
      <c r="U1128">
        <v>0</v>
      </c>
      <c r="V1128">
        <v>0.2080859068796283</v>
      </c>
      <c r="W1128">
        <v>8.4596445487373911E-2</v>
      </c>
      <c r="X1128">
        <v>2.998729910403293E-2</v>
      </c>
      <c r="Y1128">
        <v>3.640899108620125E-3</v>
      </c>
    </row>
    <row r="1129" spans="1:25" x14ac:dyDescent="0.25">
      <c r="A1129" s="1095"/>
      <c r="B1129" s="1454">
        <v>879</v>
      </c>
      <c r="C1129" s="1099">
        <v>1.0161679751341302</v>
      </c>
      <c r="D1129" s="1099">
        <v>0.98314802122818745</v>
      </c>
      <c r="E1129" s="1099">
        <v>0.9979500419481715</v>
      </c>
      <c r="F1129" s="1099">
        <v>1.0010672380152581</v>
      </c>
      <c r="G1129" s="1099">
        <v>0.97634100779183064</v>
      </c>
      <c r="H1129" s="1099">
        <v>0.99146519347076811</v>
      </c>
      <c r="I1129" s="1099">
        <v>0.980844638579774</v>
      </c>
      <c r="K1129">
        <v>1.7308684704732202</v>
      </c>
      <c r="L1129">
        <v>0</v>
      </c>
      <c r="M1129">
        <v>1.3630507291788121E-3</v>
      </c>
      <c r="N1129">
        <v>0.12460898981299767</v>
      </c>
      <c r="O1129">
        <v>0.127523482503237</v>
      </c>
      <c r="P1129">
        <v>1.8309407774794968E-2</v>
      </c>
      <c r="Q1129">
        <v>8.8863705874757046E-4</v>
      </c>
      <c r="R1129">
        <v>1.3595213633422535E-3</v>
      </c>
      <c r="S1129">
        <v>0.10482874416062304</v>
      </c>
      <c r="T1129">
        <v>1.0322166825464949</v>
      </c>
      <c r="U1129">
        <v>0</v>
      </c>
      <c r="V1129">
        <v>0.2072736070487366</v>
      </c>
      <c r="W1129">
        <v>8.1959513512801743E-2</v>
      </c>
      <c r="X1129">
        <v>2.9562766435700667E-2</v>
      </c>
      <c r="Y1129">
        <v>3.7001689849206366E-3</v>
      </c>
    </row>
    <row r="1130" spans="1:25" x14ac:dyDescent="0.25">
      <c r="A1130" s="1095"/>
      <c r="B1130" s="1454">
        <v>880</v>
      </c>
      <c r="C1130" s="1099">
        <v>0.98123263951006423</v>
      </c>
      <c r="D1130" s="1099">
        <v>1.0008472917987883</v>
      </c>
      <c r="E1130" s="1099">
        <v>0.97595792322374442</v>
      </c>
      <c r="F1130" s="1099">
        <v>1.0171457692141372</v>
      </c>
      <c r="G1130" s="1099">
        <v>1.024897128494324</v>
      </c>
      <c r="H1130" s="1099">
        <v>0.97181260383403156</v>
      </c>
      <c r="I1130" s="1099">
        <v>0.96396872051913973</v>
      </c>
      <c r="K1130">
        <v>1.7521857792262174</v>
      </c>
      <c r="L1130">
        <v>0</v>
      </c>
      <c r="M1130">
        <v>1.4307086846264924E-3</v>
      </c>
      <c r="N1130">
        <v>0.12237047058317276</v>
      </c>
      <c r="O1130">
        <v>0.12965067171438285</v>
      </c>
      <c r="P1130">
        <v>1.8302769254934067E-2</v>
      </c>
      <c r="Q1130">
        <v>8.9298984102091855E-4</v>
      </c>
      <c r="R1130">
        <v>1.4269106237587124E-3</v>
      </c>
      <c r="S1130">
        <v>0.10403350448996752</v>
      </c>
      <c r="T1130">
        <v>1.0494691893918249</v>
      </c>
      <c r="U1130">
        <v>0</v>
      </c>
      <c r="V1130">
        <v>0.21282288787351983</v>
      </c>
      <c r="W1130">
        <v>8.1557177712032441E-2</v>
      </c>
      <c r="X1130">
        <v>2.9206336089319357E-2</v>
      </c>
      <c r="Y1130">
        <v>3.883580336910511E-3</v>
      </c>
    </row>
    <row r="1131" spans="1:25" x14ac:dyDescent="0.25">
      <c r="A1131" s="1095"/>
      <c r="B1131" s="1454">
        <v>881</v>
      </c>
      <c r="C1131" s="1099">
        <v>0.9890956673372242</v>
      </c>
      <c r="D1131" s="1099">
        <v>1.0363495887531458</v>
      </c>
      <c r="E1131" s="1099">
        <v>0.97791729176603126</v>
      </c>
      <c r="F1131" s="1099">
        <v>1.0032945659847421</v>
      </c>
      <c r="G1131" s="1099">
        <v>0.98312358022229929</v>
      </c>
      <c r="H1131" s="1099">
        <v>1.0090464923729574</v>
      </c>
      <c r="I1131" s="1099">
        <v>0.99783820915495558</v>
      </c>
      <c r="K1131">
        <v>1.7347130511461033</v>
      </c>
      <c r="L1131">
        <v>0</v>
      </c>
      <c r="M1131">
        <v>1.4371913822211462E-3</v>
      </c>
      <c r="N1131">
        <v>0.12366590595597612</v>
      </c>
      <c r="O1131">
        <v>0.12658947004126223</v>
      </c>
      <c r="P1131">
        <v>1.8118677993551834E-2</v>
      </c>
      <c r="Q1131">
        <v>8.7542314300361715E-4</v>
      </c>
      <c r="R1131">
        <v>1.4334907023537305E-3</v>
      </c>
      <c r="S1131">
        <v>0.10709105790943541</v>
      </c>
      <c r="T1131">
        <v>1.0351180234146535</v>
      </c>
      <c r="U1131">
        <v>0</v>
      </c>
      <c r="V1131">
        <v>0.20835520594236678</v>
      </c>
      <c r="W1131">
        <v>8.2322864452962954E-2</v>
      </c>
      <c r="X1131">
        <v>2.8678633831033556E-2</v>
      </c>
      <c r="Y1131">
        <v>3.9014891417238243E-3</v>
      </c>
    </row>
    <row r="1132" spans="1:25" x14ac:dyDescent="0.25">
      <c r="A1132" s="1095"/>
      <c r="B1132" s="1454">
        <v>882</v>
      </c>
      <c r="C1132" s="1099">
        <v>1.0051592910977176</v>
      </c>
      <c r="D1132" s="1099">
        <v>0.99316388664741484</v>
      </c>
      <c r="E1132" s="1099">
        <v>1.001372208993569</v>
      </c>
      <c r="F1132" s="1099">
        <v>0.99530049370510609</v>
      </c>
      <c r="G1132" s="1099">
        <v>1.0041830966794503</v>
      </c>
      <c r="H1132" s="1099">
        <v>1.008207968789623</v>
      </c>
      <c r="I1132" s="1099">
        <v>1.0372858034800676</v>
      </c>
      <c r="K1132">
        <v>1.7388144277540032</v>
      </c>
      <c r="L1132">
        <v>0</v>
      </c>
      <c r="M1132">
        <v>1.3810877599208418E-3</v>
      </c>
      <c r="N1132">
        <v>0.12757452884339959</v>
      </c>
      <c r="O1132">
        <v>0.12719049364988061</v>
      </c>
      <c r="P1132">
        <v>1.840100790037277E-2</v>
      </c>
      <c r="Q1132">
        <v>8.9791543302655276E-4</v>
      </c>
      <c r="R1132">
        <v>1.3775593116432401E-3</v>
      </c>
      <c r="S1132">
        <v>0.11249108120293819</v>
      </c>
      <c r="T1132">
        <v>1.0261692120592016</v>
      </c>
      <c r="U1132">
        <v>0</v>
      </c>
      <c r="V1132">
        <v>0.20893375773826992</v>
      </c>
      <c r="W1132">
        <v>8.3739507112903372E-2</v>
      </c>
      <c r="X1132">
        <v>2.9671189928300576E-2</v>
      </c>
      <c r="Y1132">
        <v>3.7492623339878627E-3</v>
      </c>
    </row>
    <row r="1133" spans="1:25" x14ac:dyDescent="0.25">
      <c r="A1133" s="1095"/>
      <c r="B1133" s="1454">
        <v>883</v>
      </c>
      <c r="C1133" s="1099">
        <v>1.0075917293156118</v>
      </c>
      <c r="D1133" s="1099">
        <v>1.0008605749609738</v>
      </c>
      <c r="E1133" s="1099">
        <v>1.0239682939286756</v>
      </c>
      <c r="F1133" s="1099">
        <v>0.99204530138304425</v>
      </c>
      <c r="G1133" s="1099">
        <v>1.0097122213338858</v>
      </c>
      <c r="H1133" s="1099">
        <v>0.99818024458118837</v>
      </c>
      <c r="I1133" s="1099">
        <v>1.0177241915227138</v>
      </c>
      <c r="K1133">
        <v>1.7307723469343481</v>
      </c>
      <c r="L1133">
        <v>0</v>
      </c>
      <c r="M1133">
        <v>1.2954649900558811E-3</v>
      </c>
      <c r="N1133">
        <v>0.12810797683358771</v>
      </c>
      <c r="O1133">
        <v>0.12655861310287611</v>
      </c>
      <c r="P1133">
        <v>1.8600978305662871E-2</v>
      </c>
      <c r="Q1133">
        <v>9.1401003111412282E-4</v>
      </c>
      <c r="R1133">
        <v>1.2921168974343938E-3</v>
      </c>
      <c r="S1133">
        <v>0.10890617189115727</v>
      </c>
      <c r="T1133">
        <v>1.0221551244702045</v>
      </c>
      <c r="U1133">
        <v>0</v>
      </c>
      <c r="V1133">
        <v>0.20866313146845636</v>
      </c>
      <c r="W1133">
        <v>8.2978954999136018E-2</v>
      </c>
      <c r="X1133">
        <v>3.0374017676177877E-2</v>
      </c>
      <c r="Y1133">
        <v>3.5167162485956558E-3</v>
      </c>
    </row>
    <row r="1134" spans="1:25" x14ac:dyDescent="0.25">
      <c r="A1134" s="1095"/>
      <c r="B1134" s="1454">
        <v>884</v>
      </c>
      <c r="C1134" s="1099">
        <v>0.99689515076794433</v>
      </c>
      <c r="D1134" s="1099">
        <v>0.99730324979883833</v>
      </c>
      <c r="E1134" s="1099">
        <v>1.0382184622186603</v>
      </c>
      <c r="F1134" s="1099">
        <v>0.9878128018361817</v>
      </c>
      <c r="G1134" s="1099">
        <v>0.97467452374517394</v>
      </c>
      <c r="H1134" s="1099">
        <v>0.99792236133974443</v>
      </c>
      <c r="I1134" s="1099">
        <v>1.0038976615074637</v>
      </c>
      <c r="K1134">
        <v>1.7306488992756186</v>
      </c>
      <c r="L1134">
        <v>0</v>
      </c>
      <c r="M1134">
        <v>1.2717776294861296E-3</v>
      </c>
      <c r="N1134">
        <v>0.13128518411209208</v>
      </c>
      <c r="O1134">
        <v>0.12700667138880339</v>
      </c>
      <c r="P1134">
        <v>1.8712889843174329E-2</v>
      </c>
      <c r="Q1134">
        <v>9.3867707623059504E-4</v>
      </c>
      <c r="R1134">
        <v>1.2684879543944044E-3</v>
      </c>
      <c r="S1134">
        <v>0.10873630782957908</v>
      </c>
      <c r="T1134">
        <v>1.0173886735621449</v>
      </c>
      <c r="U1134">
        <v>0</v>
      </c>
      <c r="V1134">
        <v>0.20779403390923157</v>
      </c>
      <c r="W1134">
        <v>8.4336996992217556E-2</v>
      </c>
      <c r="X1134">
        <v>3.1000348182315757E-2</v>
      </c>
      <c r="Y1134">
        <v>3.4524060549197843E-3</v>
      </c>
    </row>
    <row r="1135" spans="1:25" x14ac:dyDescent="0.25">
      <c r="A1135" s="1095"/>
      <c r="B1135" s="1454">
        <v>885</v>
      </c>
      <c r="C1135" s="1099">
        <v>0.97381300175426833</v>
      </c>
      <c r="D1135" s="1099">
        <v>1.0140466158050687</v>
      </c>
      <c r="E1135" s="1099">
        <v>1.0184165835674426</v>
      </c>
      <c r="F1135" s="1099">
        <v>0.97349747978542067</v>
      </c>
      <c r="G1135" s="1099">
        <v>1.0107491683508665</v>
      </c>
      <c r="H1135" s="1099">
        <v>1.0147763084941235</v>
      </c>
      <c r="I1135" s="1099">
        <v>1.0110237829121196</v>
      </c>
      <c r="K1135">
        <v>1.7231397887915438</v>
      </c>
      <c r="L1135">
        <v>0</v>
      </c>
      <c r="M1135">
        <v>1.3618029907256897E-3</v>
      </c>
      <c r="N1135">
        <v>0.13243487880990201</v>
      </c>
      <c r="O1135">
        <v>0.1262689872115306</v>
      </c>
      <c r="P1135">
        <v>1.8326426749824386E-2</v>
      </c>
      <c r="Q1135">
        <v>9.3543673110947319E-4</v>
      </c>
      <c r="R1135">
        <v>1.3583168068251716E-3</v>
      </c>
      <c r="S1135">
        <v>0.11189724864404005</v>
      </c>
      <c r="T1135">
        <v>1.00320161715172</v>
      </c>
      <c r="U1135">
        <v>0</v>
      </c>
      <c r="V1135">
        <v>0.2102217861627321</v>
      </c>
      <c r="W1135">
        <v>8.6060418724855717E-2</v>
      </c>
      <c r="X1135">
        <v>3.0099584210567451E-2</v>
      </c>
      <c r="Y1135">
        <v>3.6968905791630873E-3</v>
      </c>
    </row>
    <row r="1136" spans="1:25" x14ac:dyDescent="0.25">
      <c r="A1136" s="1095"/>
      <c r="B1136" s="1454">
        <v>886</v>
      </c>
      <c r="C1136" s="1099">
        <v>1.026059210261828</v>
      </c>
      <c r="D1136" s="1099">
        <v>1.0353122541792212</v>
      </c>
      <c r="E1136" s="1099">
        <v>1.0199913621997569</v>
      </c>
      <c r="F1136" s="1099">
        <v>0.98137374019226131</v>
      </c>
      <c r="G1136" s="1099">
        <v>0.97658949262510919</v>
      </c>
      <c r="H1136" s="1099">
        <v>1.0055970118938278</v>
      </c>
      <c r="I1136" s="1099">
        <v>0.98231837627891405</v>
      </c>
      <c r="K1136">
        <v>1.6964698873949096</v>
      </c>
      <c r="L1136">
        <v>0</v>
      </c>
      <c r="M1136">
        <v>1.2674366670724483E-3</v>
      </c>
      <c r="N1136">
        <v>0.12384223772026166</v>
      </c>
      <c r="O1136">
        <v>0.12330276571592667</v>
      </c>
      <c r="P1136">
        <v>1.8230644768873254E-2</v>
      </c>
      <c r="Q1136">
        <v>8.8188931565191689E-4</v>
      </c>
      <c r="R1136">
        <v>1.2641660836317822E-3</v>
      </c>
      <c r="S1136">
        <v>0.10160514236464931</v>
      </c>
      <c r="T1136">
        <v>1.011273143611146</v>
      </c>
      <c r="U1136">
        <v>0</v>
      </c>
      <c r="V1136">
        <v>0.20400212359719802</v>
      </c>
      <c r="W1136">
        <v>8.0402488087112672E-2</v>
      </c>
      <c r="X1136">
        <v>2.9492079450120754E-2</v>
      </c>
      <c r="Y1136">
        <v>3.440643347408243E-3</v>
      </c>
    </row>
    <row r="1137" spans="1:25" x14ac:dyDescent="0.25">
      <c r="A1137" s="1095"/>
      <c r="B1137" s="1454">
        <v>887</v>
      </c>
      <c r="C1137" s="1099">
        <v>0.97371328713618932</v>
      </c>
      <c r="D1137" s="1099">
        <v>0.98736445367589454</v>
      </c>
      <c r="E1137" s="1099">
        <v>1.0054532471451654</v>
      </c>
      <c r="F1137" s="1099">
        <v>1.0129011279228446</v>
      </c>
      <c r="G1137" s="1099">
        <v>1.0306727521429686</v>
      </c>
      <c r="H1137" s="1099">
        <v>1.0170351645117035</v>
      </c>
      <c r="I1137" s="1099">
        <v>0.99707643432187698</v>
      </c>
      <c r="K1137">
        <v>1.7766551252550127</v>
      </c>
      <c r="L1137">
        <v>0</v>
      </c>
      <c r="M1137">
        <v>1.4293291809343255E-3</v>
      </c>
      <c r="N1137">
        <v>0.13367122983101185</v>
      </c>
      <c r="O1137">
        <v>0.13048118556195604</v>
      </c>
      <c r="P1137">
        <v>1.8775078996861518E-2</v>
      </c>
      <c r="Q1137">
        <v>9.330198245661468E-4</v>
      </c>
      <c r="R1137">
        <v>1.4257090311712839E-3</v>
      </c>
      <c r="S1137">
        <v>0.11258683119511491</v>
      </c>
      <c r="T1137">
        <v>1.0441932583688238</v>
      </c>
      <c r="U1137">
        <v>0</v>
      </c>
      <c r="V1137">
        <v>0.21404248750789662</v>
      </c>
      <c r="W1137">
        <v>8.752937003633196E-2</v>
      </c>
      <c r="X1137">
        <v>3.0565974084218694E-2</v>
      </c>
      <c r="Y1137">
        <v>3.8803099979924211E-3</v>
      </c>
    </row>
    <row r="1138" spans="1:25" x14ac:dyDescent="0.25">
      <c r="A1138" s="1095"/>
      <c r="B1138" s="1454">
        <v>888</v>
      </c>
      <c r="C1138" s="1099">
        <v>0.99820323197467509</v>
      </c>
      <c r="D1138" s="1099">
        <v>0.97110752660918997</v>
      </c>
      <c r="E1138" s="1099">
        <v>1.0302377201582245</v>
      </c>
      <c r="F1138" s="1099">
        <v>1.0025752784746405</v>
      </c>
      <c r="G1138" s="1099">
        <v>0.96341799734364253</v>
      </c>
      <c r="H1138" s="1099">
        <v>0.98688822057957459</v>
      </c>
      <c r="I1138" s="1099">
        <v>0.98878037662866736</v>
      </c>
      <c r="K1138">
        <v>1.748689278705444</v>
      </c>
      <c r="L1138">
        <v>0</v>
      </c>
      <c r="M1138">
        <v>1.299127422668248E-3</v>
      </c>
      <c r="N1138">
        <v>0.13091992001247585</v>
      </c>
      <c r="O1138">
        <v>0.12926211582291044</v>
      </c>
      <c r="P1138">
        <v>1.8823230278932769E-2</v>
      </c>
      <c r="Q1138">
        <v>9.398136747278598E-4</v>
      </c>
      <c r="R1138">
        <v>1.2957511744242129E-3</v>
      </c>
      <c r="S1138">
        <v>0.10803901759637544</v>
      </c>
      <c r="T1138">
        <v>1.0328228973779672</v>
      </c>
      <c r="U1138">
        <v>0</v>
      </c>
      <c r="V1138">
        <v>0.20869619026617578</v>
      </c>
      <c r="W1138">
        <v>8.4491576617077679E-2</v>
      </c>
      <c r="X1138">
        <v>3.1171285754522576E-2</v>
      </c>
      <c r="Y1138">
        <v>3.5266075525228566E-3</v>
      </c>
    </row>
    <row r="1139" spans="1:25" x14ac:dyDescent="0.25">
      <c r="A1139" s="1095"/>
      <c r="B1139" s="1454">
        <v>889</v>
      </c>
      <c r="C1139" s="1099">
        <v>1.0415303723227978</v>
      </c>
      <c r="D1139" s="1099">
        <v>0.98339202177366891</v>
      </c>
      <c r="E1139" s="1099">
        <v>1.0382803701600554</v>
      </c>
      <c r="F1139" s="1099">
        <v>0.96743350847120002</v>
      </c>
      <c r="G1139" s="1099">
        <v>1.0226585084518971</v>
      </c>
      <c r="H1139" s="1099">
        <v>0.99857005994234538</v>
      </c>
      <c r="I1139" s="1099">
        <v>1.0478932466691258</v>
      </c>
      <c r="K1139">
        <v>1.6973875647297794</v>
      </c>
      <c r="L1139">
        <v>0</v>
      </c>
      <c r="M1139">
        <v>1.2302971411484902E-3</v>
      </c>
      <c r="N1139">
        <v>0.12702854961050833</v>
      </c>
      <c r="O1139">
        <v>0.1238562043030749</v>
      </c>
      <c r="P1139">
        <v>1.8406059798668963E-2</v>
      </c>
      <c r="Q1139">
        <v>9.0356894117643279E-4</v>
      </c>
      <c r="R1139">
        <v>1.2271311136763379E-3</v>
      </c>
      <c r="S1139">
        <v>0.10976185548370877</v>
      </c>
      <c r="T1139">
        <v>0.99639749591410398</v>
      </c>
      <c r="U1139">
        <v>0</v>
      </c>
      <c r="V1139">
        <v>0.2058271268853272</v>
      </c>
      <c r="W1139">
        <v>8.1599641095920175E-2</v>
      </c>
      <c r="X1139">
        <v>3.0270382356998551E-2</v>
      </c>
      <c r="Y1139">
        <v>3.3398463677640866E-3</v>
      </c>
    </row>
    <row r="1140" spans="1:25" x14ac:dyDescent="0.25">
      <c r="A1140" s="1095"/>
      <c r="B1140" s="1454">
        <v>890</v>
      </c>
      <c r="C1140" s="1099">
        <v>0.99834795177843327</v>
      </c>
      <c r="D1140" s="1099">
        <v>1.0152176668550144</v>
      </c>
      <c r="E1140" s="1099">
        <v>1.0167334239573866</v>
      </c>
      <c r="F1140" s="1099">
        <v>0.99031354158910379</v>
      </c>
      <c r="G1140" s="1099">
        <v>0.9936880670920295</v>
      </c>
      <c r="H1140" s="1099">
        <v>1.0349142896216927</v>
      </c>
      <c r="I1140" s="1099">
        <v>1.0109629571317895</v>
      </c>
      <c r="K1140">
        <v>1.7365879825864772</v>
      </c>
      <c r="L1140">
        <v>0</v>
      </c>
      <c r="M1140">
        <v>1.3634066839003694E-3</v>
      </c>
      <c r="N1140">
        <v>0.13192686953954236</v>
      </c>
      <c r="O1140">
        <v>0.12622390216424825</v>
      </c>
      <c r="P1140">
        <v>1.8498641918871437E-2</v>
      </c>
      <c r="Q1140">
        <v>9.1045128525654956E-4</v>
      </c>
      <c r="R1140">
        <v>1.3599958245442579E-3</v>
      </c>
      <c r="S1140">
        <v>0.11072593156819083</v>
      </c>
      <c r="T1140">
        <v>1.0205794651713245</v>
      </c>
      <c r="U1140">
        <v>0</v>
      </c>
      <c r="V1140">
        <v>0.20812765296476227</v>
      </c>
      <c r="W1140">
        <v>8.5814922823887377E-2</v>
      </c>
      <c r="X1140">
        <v>3.0082095697841874E-2</v>
      </c>
      <c r="Y1140">
        <v>3.7014603119063971E-3</v>
      </c>
    </row>
    <row r="1141" spans="1:25" x14ac:dyDescent="0.25">
      <c r="A1141" s="1095"/>
      <c r="B1141" s="1454">
        <v>891</v>
      </c>
      <c r="C1141" s="1099">
        <v>1.0173079350108396</v>
      </c>
      <c r="D1141" s="1099">
        <v>0.99951636437944325</v>
      </c>
      <c r="E1141" s="1099">
        <v>1.0066140653111102</v>
      </c>
      <c r="F1141" s="1099">
        <v>1.0043187337648212</v>
      </c>
      <c r="G1141" s="1099">
        <v>0.99044521765018212</v>
      </c>
      <c r="H1141" s="1099">
        <v>1.0082871617010263</v>
      </c>
      <c r="I1141" s="1099">
        <v>1.0222743298912795</v>
      </c>
      <c r="K1141">
        <v>1.7412014856964213</v>
      </c>
      <c r="L1141">
        <v>0</v>
      </c>
      <c r="M1141">
        <v>1.3472621449891105E-3</v>
      </c>
      <c r="N1141">
        <v>0.12643617008631008</v>
      </c>
      <c r="O1141">
        <v>0.12698912550508132</v>
      </c>
      <c r="P1141">
        <v>1.8534854251032146E-2</v>
      </c>
      <c r="Q1141">
        <v>8.8974505510181618E-4</v>
      </c>
      <c r="R1141">
        <v>1.3438223423651368E-3</v>
      </c>
      <c r="S1141">
        <v>0.10924909524434834</v>
      </c>
      <c r="T1141">
        <v>1.035311275987155</v>
      </c>
      <c r="U1141">
        <v>0</v>
      </c>
      <c r="V1141">
        <v>0.20756067287373728</v>
      </c>
      <c r="W1141">
        <v>8.2734945033812721E-2</v>
      </c>
      <c r="X1141">
        <v>2.9841600037462734E-2</v>
      </c>
      <c r="Y1141">
        <v>3.6574414250017981E-3</v>
      </c>
    </row>
    <row r="1142" spans="1:25" x14ac:dyDescent="0.25">
      <c r="A1142" s="1095"/>
      <c r="B1142" s="1454">
        <v>892</v>
      </c>
      <c r="C1142" s="1099">
        <v>1.0148842655577017</v>
      </c>
      <c r="D1142" s="1099">
        <v>0.95639239877829108</v>
      </c>
      <c r="E1142" s="1099">
        <v>1.0351053223797098</v>
      </c>
      <c r="F1142" s="1099">
        <v>1.0119550570776543</v>
      </c>
      <c r="G1142" s="1099">
        <v>0.99362255094747787</v>
      </c>
      <c r="H1142" s="1099">
        <v>1.0042149423474145</v>
      </c>
      <c r="I1142" s="1099">
        <v>0.98304880659000182</v>
      </c>
      <c r="K1142">
        <v>1.76375128501852</v>
      </c>
      <c r="L1142">
        <v>0</v>
      </c>
      <c r="M1142">
        <v>1.301626056040847E-3</v>
      </c>
      <c r="N1142">
        <v>0.13311803744697198</v>
      </c>
      <c r="O1142">
        <v>0.12983975103527082</v>
      </c>
      <c r="P1142">
        <v>1.9037144441392852E-2</v>
      </c>
      <c r="Q1142">
        <v>9.3465389630383977E-4</v>
      </c>
      <c r="R1142">
        <v>1.2983186881480092E-3</v>
      </c>
      <c r="S1142">
        <v>0.10801954136595743</v>
      </c>
      <c r="T1142">
        <v>1.042343999386468</v>
      </c>
      <c r="U1142">
        <v>0</v>
      </c>
      <c r="V1142">
        <v>0.20972636053010862</v>
      </c>
      <c r="W1142">
        <v>8.5668279963547825E-2</v>
      </c>
      <c r="X1142">
        <v>3.1533228841892455E-2</v>
      </c>
      <c r="Y1142">
        <v>3.5335954784983577E-3</v>
      </c>
    </row>
    <row r="1143" spans="1:25" x14ac:dyDescent="0.25">
      <c r="A1143" s="1095"/>
      <c r="B1143" s="1454">
        <v>893</v>
      </c>
      <c r="C1143" s="1099">
        <v>0.98352821199385065</v>
      </c>
      <c r="D1143" s="1099">
        <v>0.9694095269220746</v>
      </c>
      <c r="E1143" s="1099">
        <v>0.99185968009939074</v>
      </c>
      <c r="F1143" s="1099">
        <v>1.0360819364661114</v>
      </c>
      <c r="G1143" s="1099">
        <v>0.98360452443372814</v>
      </c>
      <c r="H1143" s="1099">
        <v>1.0047228790124263</v>
      </c>
      <c r="I1143" s="1099">
        <v>1.023916572382755</v>
      </c>
      <c r="K1143">
        <v>1.8002237877115683</v>
      </c>
      <c r="L1143">
        <v>0</v>
      </c>
      <c r="M1143">
        <v>1.457674102653222E-3</v>
      </c>
      <c r="N1143">
        <v>0.13083435305160909</v>
      </c>
      <c r="O1143">
        <v>0.13253257956801562</v>
      </c>
      <c r="P1143">
        <v>1.892944027143326E-2</v>
      </c>
      <c r="Q1143">
        <v>9.1748280206595755E-4</v>
      </c>
      <c r="R1143">
        <v>1.4539604419859678E-3</v>
      </c>
      <c r="S1143">
        <v>0.11504445132594801</v>
      </c>
      <c r="T1143">
        <v>1.068509444531591</v>
      </c>
      <c r="U1143">
        <v>0</v>
      </c>
      <c r="V1143">
        <v>0.21264491590804652</v>
      </c>
      <c r="W1143">
        <v>8.6367466222919298E-2</v>
      </c>
      <c r="X1143">
        <v>3.0490166665450059E-2</v>
      </c>
      <c r="Y1143">
        <v>3.9572010251549177E-3</v>
      </c>
    </row>
    <row r="1144" spans="1:25" x14ac:dyDescent="0.25">
      <c r="A1144" s="1095"/>
      <c r="B1144" s="1454">
        <v>894</v>
      </c>
      <c r="C1144" s="1099">
        <v>0.96332845031284031</v>
      </c>
      <c r="D1144" s="1099">
        <v>1.023527647703171</v>
      </c>
      <c r="E1144" s="1099">
        <v>1.000105810906053</v>
      </c>
      <c r="F1144" s="1099">
        <v>0.99529760427467096</v>
      </c>
      <c r="G1144" s="1099">
        <v>1.0165111027688887</v>
      </c>
      <c r="H1144" s="1099">
        <v>1.0313779803635974</v>
      </c>
      <c r="I1144" s="1099">
        <v>1.0006361534319397</v>
      </c>
      <c r="K1144">
        <v>1.7527311324193828</v>
      </c>
      <c r="L1144">
        <v>0</v>
      </c>
      <c r="M1144">
        <v>1.4469956624914935E-3</v>
      </c>
      <c r="N1144">
        <v>0.13315679326924232</v>
      </c>
      <c r="O1144">
        <v>0.12800410387277872</v>
      </c>
      <c r="P1144">
        <v>1.8430033625506655E-2</v>
      </c>
      <c r="Q1144">
        <v>9.2447350666878775E-4</v>
      </c>
      <c r="R1144">
        <v>1.4433485112372239E-3</v>
      </c>
      <c r="S1144">
        <v>0.1125404103952633</v>
      </c>
      <c r="T1144">
        <v>1.0262036743968912</v>
      </c>
      <c r="U1144">
        <v>0</v>
      </c>
      <c r="V1144">
        <v>0.21224901339072119</v>
      </c>
      <c r="W1144">
        <v>8.7469460556311024E-2</v>
      </c>
      <c r="X1144">
        <v>2.9828497709374562E-2</v>
      </c>
      <c r="Y1144">
        <v>3.9283188478788688E-3</v>
      </c>
    </row>
    <row r="1145" spans="1:25" x14ac:dyDescent="0.25">
      <c r="A1145" s="1095"/>
      <c r="B1145" s="1454">
        <v>895</v>
      </c>
      <c r="C1145" s="1099">
        <v>0.96189975943887218</v>
      </c>
      <c r="D1145" s="1099">
        <v>0.99443417150632707</v>
      </c>
      <c r="E1145" s="1099">
        <v>1.0252906341350243</v>
      </c>
      <c r="F1145" s="1099">
        <v>1.0003831314954734</v>
      </c>
      <c r="G1145" s="1099">
        <v>0.98795858482699994</v>
      </c>
      <c r="H1145" s="1099">
        <v>1.0063146725965757</v>
      </c>
      <c r="I1145" s="1099">
        <v>0.98132327900951055</v>
      </c>
      <c r="K1145">
        <v>1.761537153585782</v>
      </c>
      <c r="L1145">
        <v>0</v>
      </c>
      <c r="M1145">
        <v>1.365107670316261E-3</v>
      </c>
      <c r="N1145">
        <v>0.13553647428335286</v>
      </c>
      <c r="O1145">
        <v>0.12990810345634229</v>
      </c>
      <c r="P1145">
        <v>1.8813390629027791E-2</v>
      </c>
      <c r="Q1145">
        <v>9.6119707996390172E-4</v>
      </c>
      <c r="R1145">
        <v>1.361601156668613E-3</v>
      </c>
      <c r="S1145">
        <v>0.1107920706650128</v>
      </c>
      <c r="T1145">
        <v>1.0307076599732379</v>
      </c>
      <c r="U1145">
        <v>0</v>
      </c>
      <c r="V1145">
        <v>0.21221523113897814</v>
      </c>
      <c r="W1145">
        <v>8.7722945506440525E-2</v>
      </c>
      <c r="X1145">
        <v>3.1177757870320722E-2</v>
      </c>
      <c r="Y1145">
        <v>3.7058294967513006E-3</v>
      </c>
    </row>
    <row r="1146" spans="1:25" x14ac:dyDescent="0.25">
      <c r="A1146" s="1095"/>
      <c r="B1146" s="1454">
        <v>896</v>
      </c>
      <c r="C1146" s="1099">
        <v>1.0375585438844781</v>
      </c>
      <c r="D1146" s="1099">
        <v>1.0148699430048755</v>
      </c>
      <c r="E1146" s="1099">
        <v>0.97863212835059588</v>
      </c>
      <c r="F1146" s="1099">
        <v>1.0361043980832421</v>
      </c>
      <c r="G1146" s="1099">
        <v>1.0019805256700616</v>
      </c>
      <c r="H1146" s="1099">
        <v>1.0214204518591992</v>
      </c>
      <c r="I1146" s="1099">
        <v>1.0046427441522559</v>
      </c>
      <c r="K1146">
        <v>1.764316929619564</v>
      </c>
      <c r="L1146">
        <v>0</v>
      </c>
      <c r="M1146">
        <v>1.4110791373964204E-3</v>
      </c>
      <c r="N1146">
        <v>0.12168897588429722</v>
      </c>
      <c r="O1146">
        <v>0.12751748037398991</v>
      </c>
      <c r="P1146">
        <v>1.8549434364609822E-2</v>
      </c>
      <c r="Q1146">
        <v>8.4218538704758557E-4</v>
      </c>
      <c r="R1146">
        <v>1.4075268851669695E-3</v>
      </c>
      <c r="S1146">
        <v>0.10539646567051816</v>
      </c>
      <c r="T1146">
        <v>1.0689460517170841</v>
      </c>
      <c r="U1146">
        <v>0</v>
      </c>
      <c r="V1146">
        <v>0.20758449760087813</v>
      </c>
      <c r="W1146">
        <v>8.0971840864650327E-2</v>
      </c>
      <c r="X1146">
        <v>2.8992725818405278E-2</v>
      </c>
      <c r="Y1146">
        <v>3.8308241903114953E-3</v>
      </c>
    </row>
    <row r="1147" spans="1:25" x14ac:dyDescent="0.25">
      <c r="A1147" s="1095"/>
      <c r="B1147" s="1454">
        <v>897</v>
      </c>
      <c r="C1147" s="1099">
        <v>0.98592773218971186</v>
      </c>
      <c r="D1147" s="1099">
        <v>1.0036481542541922</v>
      </c>
      <c r="E1147" s="1099">
        <v>1.005510104291083</v>
      </c>
      <c r="F1147" s="1099">
        <v>1.0238164790510045</v>
      </c>
      <c r="G1147" s="1099">
        <v>1.015461444171488</v>
      </c>
      <c r="H1147" s="1099">
        <v>1.0310681532591119</v>
      </c>
      <c r="I1147" s="1099">
        <v>1.0128474023273619</v>
      </c>
      <c r="K1147">
        <v>1.784586979847044</v>
      </c>
      <c r="L1147">
        <v>0</v>
      </c>
      <c r="M1147">
        <v>1.420034622661457E-3</v>
      </c>
      <c r="N1147">
        <v>0.13282902956314341</v>
      </c>
      <c r="O1147">
        <v>0.12989167887838579</v>
      </c>
      <c r="P1147">
        <v>1.8911308915355887E-2</v>
      </c>
      <c r="Q1147">
        <v>9.15505191595748E-4</v>
      </c>
      <c r="R1147">
        <v>1.4164830583237179E-3</v>
      </c>
      <c r="S1147">
        <v>0.11296651495475031</v>
      </c>
      <c r="T1147">
        <v>1.0554441026912071</v>
      </c>
      <c r="U1147">
        <v>0</v>
      </c>
      <c r="V1147">
        <v>0.21230227584655853</v>
      </c>
      <c r="W1147">
        <v>8.6974961683908308E-2</v>
      </c>
      <c r="X1147">
        <v>3.049995374523444E-2</v>
      </c>
      <c r="Y1147">
        <v>3.8551999412424769E-3</v>
      </c>
    </row>
    <row r="1148" spans="1:25" x14ac:dyDescent="0.25">
      <c r="A1148" s="1095"/>
      <c r="B1148" s="1454">
        <v>898</v>
      </c>
      <c r="C1148" s="1099">
        <v>1.0109623633036924</v>
      </c>
      <c r="D1148" s="1099">
        <v>1.0035902361596163</v>
      </c>
      <c r="E1148" s="1099">
        <v>0.99399577318790966</v>
      </c>
      <c r="F1148" s="1099">
        <v>1.0143843607501493</v>
      </c>
      <c r="G1148" s="1099">
        <v>1.0227689406512541</v>
      </c>
      <c r="H1148" s="1099">
        <v>1.0257299115275291</v>
      </c>
      <c r="I1148" s="1099">
        <v>0.97019611761520075</v>
      </c>
      <c r="K1148">
        <v>1.7537020017921301</v>
      </c>
      <c r="L1148">
        <v>0</v>
      </c>
      <c r="M1148">
        <v>1.4128273324941205E-3</v>
      </c>
      <c r="N1148">
        <v>0.12763526415289581</v>
      </c>
      <c r="O1148">
        <v>0.1278311209264896</v>
      </c>
      <c r="P1148">
        <v>1.8486170459474923E-2</v>
      </c>
      <c r="Q1148">
        <v>8.8225794971713968E-4</v>
      </c>
      <c r="R1148">
        <v>1.4092799158790523E-3</v>
      </c>
      <c r="S1148">
        <v>0.10524316593973446</v>
      </c>
      <c r="T1148">
        <v>1.046067904164103</v>
      </c>
      <c r="U1148">
        <v>0</v>
      </c>
      <c r="V1148">
        <v>0.21001103865667284</v>
      </c>
      <c r="W1148">
        <v>8.414815717426978E-2</v>
      </c>
      <c r="X1148">
        <v>2.9564874423363346E-2</v>
      </c>
      <c r="Y1148">
        <v>3.8355953620233668E-3</v>
      </c>
    </row>
    <row r="1149" spans="1:25" x14ac:dyDescent="0.25">
      <c r="A1149" s="1095"/>
      <c r="B1149" s="1454">
        <v>899</v>
      </c>
      <c r="C1149" s="1099">
        <v>0.98567283011901086</v>
      </c>
      <c r="D1149" s="1099">
        <v>0.98771004415553065</v>
      </c>
      <c r="E1149" s="1099">
        <v>1.0094880065348553</v>
      </c>
      <c r="F1149" s="1099">
        <v>0.99077951159014599</v>
      </c>
      <c r="G1149" s="1099">
        <v>0.97020235317168124</v>
      </c>
      <c r="H1149" s="1099">
        <v>1.0064782942319073</v>
      </c>
      <c r="I1149" s="1099">
        <v>0.95832630942542019</v>
      </c>
      <c r="K1149">
        <v>1.7341949816949751</v>
      </c>
      <c r="L1149">
        <v>0</v>
      </c>
      <c r="M1149">
        <v>1.3841139294352236E-3</v>
      </c>
      <c r="N1149">
        <v>0.13102553803612105</v>
      </c>
      <c r="O1149">
        <v>0.12814439866437807</v>
      </c>
      <c r="P1149">
        <v>1.835662920691913E-2</v>
      </c>
      <c r="Q1149">
        <v>9.2541800859839956E-4</v>
      </c>
      <c r="R1149">
        <v>1.3805680406580759E-3</v>
      </c>
      <c r="S1149">
        <v>0.10609735108346663</v>
      </c>
      <c r="T1149">
        <v>1.0212702790050427</v>
      </c>
      <c r="U1149">
        <v>0</v>
      </c>
      <c r="V1149">
        <v>0.20890350943160624</v>
      </c>
      <c r="W1149">
        <v>8.5592650370654888E-2</v>
      </c>
      <c r="X1149">
        <v>3.0125302674425172E-2</v>
      </c>
      <c r="Y1149">
        <v>3.7574511025389914E-3</v>
      </c>
    </row>
    <row r="1150" spans="1:25" x14ac:dyDescent="0.25">
      <c r="A1150" s="1095"/>
      <c r="B1150" s="1454">
        <v>900</v>
      </c>
      <c r="C1150" s="1099">
        <v>1.000698722336103</v>
      </c>
      <c r="D1150" s="1099">
        <v>1.0271383023904082</v>
      </c>
      <c r="E1150" s="1099">
        <v>0.99081316412483789</v>
      </c>
      <c r="F1150" s="1099">
        <v>1.009110992385075</v>
      </c>
      <c r="G1150" s="1099">
        <v>1.0024614198025497</v>
      </c>
      <c r="H1150" s="1099">
        <v>0.99844697074753586</v>
      </c>
      <c r="I1150" s="1099">
        <v>1.0249444228168338</v>
      </c>
      <c r="K1150">
        <v>1.7421811644617062</v>
      </c>
      <c r="L1150">
        <v>0</v>
      </c>
      <c r="M1150">
        <v>1.3777765857517041E-3</v>
      </c>
      <c r="N1150">
        <v>0.12326673546350274</v>
      </c>
      <c r="O1150">
        <v>0.12688811646197518</v>
      </c>
      <c r="P1150">
        <v>1.8401671540034886E-2</v>
      </c>
      <c r="Q1150">
        <v>8.8015537636291889E-4</v>
      </c>
      <c r="R1150">
        <v>1.3742023884080776E-3</v>
      </c>
      <c r="S1150">
        <v>0.10870284424780904</v>
      </c>
      <c r="T1150">
        <v>1.0407260239984253</v>
      </c>
      <c r="U1150">
        <v>0</v>
      </c>
      <c r="V1150">
        <v>0.2089119321490974</v>
      </c>
      <c r="W1150">
        <v>8.1422843539572215E-2</v>
      </c>
      <c r="X1150">
        <v>2.9244289986716025E-2</v>
      </c>
      <c r="Y1150">
        <v>3.7401258955511961E-3</v>
      </c>
    </row>
    <row r="1151" spans="1:25" x14ac:dyDescent="0.25">
      <c r="A1151" s="1095"/>
      <c r="B1151" s="1454">
        <v>901</v>
      </c>
      <c r="C1151" s="1099">
        <v>0.9936268400484739</v>
      </c>
      <c r="D1151" s="1099">
        <v>0.96859029554248066</v>
      </c>
      <c r="E1151" s="1099">
        <v>0.9645837140606216</v>
      </c>
      <c r="F1151" s="1099">
        <v>0.98910036640901056</v>
      </c>
      <c r="G1151" s="1099">
        <v>1.0274931907845277</v>
      </c>
      <c r="H1151" s="1099">
        <v>1.0044464537441244</v>
      </c>
      <c r="I1151" s="1099">
        <v>1.008905011718306</v>
      </c>
      <c r="K1151">
        <v>1.7340073876188538</v>
      </c>
      <c r="L1151">
        <v>0</v>
      </c>
      <c r="M1151">
        <v>1.5219006178987513E-3</v>
      </c>
      <c r="N1151">
        <v>0.12577600910538161</v>
      </c>
      <c r="O1151">
        <v>0.1283136958279775</v>
      </c>
      <c r="P1151">
        <v>1.785018421749222E-2</v>
      </c>
      <c r="Q1151">
        <v>8.8284121641465008E-4</v>
      </c>
      <c r="R1151">
        <v>1.5180101659823465E-3</v>
      </c>
      <c r="S1151">
        <v>0.11195751028191919</v>
      </c>
      <c r="T1151">
        <v>1.0208769749435826</v>
      </c>
      <c r="U1151">
        <v>0</v>
      </c>
      <c r="V1151">
        <v>0.21136411640980093</v>
      </c>
      <c r="W1151">
        <v>8.4409093235359708E-2</v>
      </c>
      <c r="X1151">
        <v>2.8449329572955134E-2</v>
      </c>
      <c r="Y1151">
        <v>4.1315232598872192E-3</v>
      </c>
    </row>
    <row r="1152" spans="1:25" x14ac:dyDescent="0.25">
      <c r="A1152" s="1095"/>
      <c r="B1152" s="1454">
        <v>902</v>
      </c>
      <c r="C1152" s="1099">
        <v>0.98818505323329664</v>
      </c>
      <c r="D1152" s="1099">
        <v>0.99776950694554678</v>
      </c>
      <c r="E1152" s="1099">
        <v>1.0175255889161854</v>
      </c>
      <c r="F1152" s="1099">
        <v>0.98760358379479296</v>
      </c>
      <c r="G1152" s="1099">
        <v>0.95399491894997324</v>
      </c>
      <c r="H1152" s="1099">
        <v>1.0370274095673451</v>
      </c>
      <c r="I1152" s="1099">
        <v>1.0108315615447265</v>
      </c>
      <c r="K1152">
        <v>1.7417775761908108</v>
      </c>
      <c r="L1152">
        <v>0</v>
      </c>
      <c r="M1152">
        <v>1.3905508530657172E-3</v>
      </c>
      <c r="N1152">
        <v>0.13487683460317554</v>
      </c>
      <c r="O1152">
        <v>0.12733818358096979</v>
      </c>
      <c r="P1152">
        <v>1.8494323829677414E-2</v>
      </c>
      <c r="Q1152">
        <v>9.2696940818414386E-4</v>
      </c>
      <c r="R1152">
        <v>1.3870866484790815E-3</v>
      </c>
      <c r="S1152">
        <v>0.11312285461828936</v>
      </c>
      <c r="T1152">
        <v>1.017763826816692</v>
      </c>
      <c r="U1152">
        <v>0</v>
      </c>
      <c r="V1152">
        <v>0.20745332998439023</v>
      </c>
      <c r="W1152">
        <v>8.7693053288086867E-2</v>
      </c>
      <c r="X1152">
        <v>3.033647166176124E-2</v>
      </c>
      <c r="Y1152">
        <v>3.775192604169279E-3</v>
      </c>
    </row>
    <row r="1153" spans="1:25" x14ac:dyDescent="0.25">
      <c r="A1153" s="1095"/>
      <c r="B1153" s="1454">
        <v>903</v>
      </c>
      <c r="C1153" s="1099">
        <v>0.98605861278185358</v>
      </c>
      <c r="D1153" s="1099">
        <v>1.0028516088092021</v>
      </c>
      <c r="E1153" s="1099">
        <v>0.98074321968009714</v>
      </c>
      <c r="F1153" s="1099">
        <v>0.99734292521459034</v>
      </c>
      <c r="G1153" s="1099">
        <v>0.98049033187479495</v>
      </c>
      <c r="H1153" s="1099">
        <v>1.0319906981521139</v>
      </c>
      <c r="I1153" s="1099">
        <v>0.99961047480078746</v>
      </c>
      <c r="K1153">
        <v>1.7450988452537688</v>
      </c>
      <c r="L1153">
        <v>0</v>
      </c>
      <c r="M1153">
        <v>1.4932761957697758E-3</v>
      </c>
      <c r="N1153">
        <v>0.1296044475594057</v>
      </c>
      <c r="O1153">
        <v>0.12781438327697914</v>
      </c>
      <c r="P1153">
        <v>1.814269922009492E-2</v>
      </c>
      <c r="Q1153">
        <v>8.9237628114101103E-4</v>
      </c>
      <c r="R1153">
        <v>1.4895369204970578E-3</v>
      </c>
      <c r="S1153">
        <v>0.11138619066262473</v>
      </c>
      <c r="T1153">
        <v>1.0288920810259545</v>
      </c>
      <c r="U1153">
        <v>0</v>
      </c>
      <c r="V1153">
        <v>0.20917183596228803</v>
      </c>
      <c r="W1153">
        <v>8.6128907455779086E-2</v>
      </c>
      <c r="X1153">
        <v>2.901563461289405E-2</v>
      </c>
      <c r="Y1153">
        <v>4.0540284718791142E-3</v>
      </c>
    </row>
    <row r="1154" spans="1:25" x14ac:dyDescent="0.25">
      <c r="A1154" s="1095"/>
      <c r="B1154" s="1454">
        <v>904</v>
      </c>
      <c r="C1154" s="1099">
        <v>1.0175533351012498</v>
      </c>
      <c r="D1154" s="1099">
        <v>0.97373644851757157</v>
      </c>
      <c r="E1154" s="1099">
        <v>1.0031284518933969</v>
      </c>
      <c r="F1154" s="1099">
        <v>1.0073405143952883</v>
      </c>
      <c r="G1154" s="1099">
        <v>1.0044605205315293</v>
      </c>
      <c r="H1154" s="1099">
        <v>0.99051011906403985</v>
      </c>
      <c r="I1154" s="1099">
        <v>1.0001241408548915</v>
      </c>
      <c r="K1154">
        <v>1.7446572716966176</v>
      </c>
      <c r="L1154">
        <v>0</v>
      </c>
      <c r="M1154">
        <v>1.3538945850768709E-3</v>
      </c>
      <c r="N1154">
        <v>0.12572400997969108</v>
      </c>
      <c r="O1154">
        <v>0.1283870016737734</v>
      </c>
      <c r="P1154">
        <v>1.8526934754405002E-2</v>
      </c>
      <c r="Q1154">
        <v>8.9564270686999059E-4</v>
      </c>
      <c r="R1154">
        <v>1.3503942422500952E-3</v>
      </c>
      <c r="S1154">
        <v>0.10736856375834797</v>
      </c>
      <c r="T1154">
        <v>1.0385301751189298</v>
      </c>
      <c r="U1154">
        <v>0</v>
      </c>
      <c r="V1154">
        <v>0.20914860893201884</v>
      </c>
      <c r="W1154">
        <v>8.2438889548385227E-2</v>
      </c>
      <c r="X1154">
        <v>2.9965617596959759E-2</v>
      </c>
      <c r="Y1154">
        <v>3.6753279700624405E-3</v>
      </c>
    </row>
    <row r="1155" spans="1:25" x14ac:dyDescent="0.25">
      <c r="A1155" s="1095"/>
      <c r="B1155" s="1454">
        <v>905</v>
      </c>
      <c r="C1155" s="1099">
        <v>0.96038891689930772</v>
      </c>
      <c r="D1155" s="1099">
        <v>1.0135966115525659</v>
      </c>
      <c r="E1155" s="1099">
        <v>1.0145357675905837</v>
      </c>
      <c r="F1155" s="1099">
        <v>0.98818258708960871</v>
      </c>
      <c r="G1155" s="1099">
        <v>1.0331641307210804</v>
      </c>
      <c r="H1155" s="1099">
        <v>0.99654796292102477</v>
      </c>
      <c r="I1155" s="1099">
        <v>0.97241366299949339</v>
      </c>
      <c r="K1155">
        <v>1.738252083961265</v>
      </c>
      <c r="L1155">
        <v>0</v>
      </c>
      <c r="M1155">
        <v>1.3675747271075303E-3</v>
      </c>
      <c r="N1155">
        <v>0.13144170279855619</v>
      </c>
      <c r="O1155">
        <v>0.1281214139387403</v>
      </c>
      <c r="P1155">
        <v>1.8471289743496561E-2</v>
      </c>
      <c r="Q1155">
        <v>9.4490412500977563E-4</v>
      </c>
      <c r="R1155">
        <v>1.3640105379343218E-3</v>
      </c>
      <c r="S1155">
        <v>0.10788751973306931</v>
      </c>
      <c r="T1155">
        <v>1.0184469340294562</v>
      </c>
      <c r="U1155">
        <v>0</v>
      </c>
      <c r="V1155">
        <v>0.21328091085544906</v>
      </c>
      <c r="W1155">
        <v>8.5609714497808534E-2</v>
      </c>
      <c r="X1155">
        <v>3.03388713905474E-2</v>
      </c>
      <c r="Y1155">
        <v>3.7123870383042393E-3</v>
      </c>
    </row>
    <row r="1156" spans="1:25" x14ac:dyDescent="0.25">
      <c r="A1156" s="1095"/>
      <c r="B1156" s="1454">
        <v>906</v>
      </c>
      <c r="C1156" s="1099">
        <v>1.0141908227779042</v>
      </c>
      <c r="D1156" s="1099">
        <v>0.99113988261002184</v>
      </c>
      <c r="E1156" s="1099">
        <v>1.0233030408516357</v>
      </c>
      <c r="F1156" s="1099">
        <v>0.99552262922846724</v>
      </c>
      <c r="G1156" s="1099">
        <v>1.0103081211736442</v>
      </c>
      <c r="H1156" s="1099">
        <v>1.0022925413309973</v>
      </c>
      <c r="I1156" s="1099">
        <v>1.0066802660253458</v>
      </c>
      <c r="K1156">
        <v>1.7346975911374114</v>
      </c>
      <c r="L1156">
        <v>0</v>
      </c>
      <c r="M1156">
        <v>1.3026921815849442E-3</v>
      </c>
      <c r="N1156">
        <v>0.12856671978621959</v>
      </c>
      <c r="O1156">
        <v>0.12692908747960319</v>
      </c>
      <c r="P1156">
        <v>1.8628910574498041E-2</v>
      </c>
      <c r="Q1156">
        <v>9.1099400444879944E-4</v>
      </c>
      <c r="R1156">
        <v>1.299348235254557E-3</v>
      </c>
      <c r="S1156">
        <v>0.10801571584735903</v>
      </c>
      <c r="T1156">
        <v>1.0257572168300746</v>
      </c>
      <c r="U1156">
        <v>0</v>
      </c>
      <c r="V1156">
        <v>0.20861631391266733</v>
      </c>
      <c r="W1156">
        <v>8.3308420587925688E-2</v>
      </c>
      <c r="X1156">
        <v>3.043115849461199E-2</v>
      </c>
      <c r="Y1156">
        <v>3.5363975663322686E-3</v>
      </c>
    </row>
    <row r="1157" spans="1:25" x14ac:dyDescent="0.25">
      <c r="A1157" s="1095"/>
      <c r="B1157" s="1454">
        <v>907</v>
      </c>
      <c r="C1157" s="1099">
        <v>1.0317230267693001</v>
      </c>
      <c r="D1157" s="1099">
        <v>0.99614589813980969</v>
      </c>
      <c r="E1157" s="1099">
        <v>0.998270625058437</v>
      </c>
      <c r="F1157" s="1099">
        <v>1.0095923683857622</v>
      </c>
      <c r="G1157" s="1099">
        <v>1.0138261413168668</v>
      </c>
      <c r="H1157" s="1099">
        <v>1.0131580885371916</v>
      </c>
      <c r="I1157" s="1099">
        <v>1.0329907952409814</v>
      </c>
      <c r="K1157">
        <v>1.7445185220511739</v>
      </c>
      <c r="L1157">
        <v>0</v>
      </c>
      <c r="M1157">
        <v>1.3630439996907917E-3</v>
      </c>
      <c r="N1157">
        <v>0.12473590159696127</v>
      </c>
      <c r="O1157">
        <v>0.12678212358721666</v>
      </c>
      <c r="P1157">
        <v>1.8505533166472857E-2</v>
      </c>
      <c r="Q1157">
        <v>8.7094289666611482E-4</v>
      </c>
      <c r="R1157">
        <v>1.3595883578360777E-3</v>
      </c>
      <c r="S1157">
        <v>0.10952028995557116</v>
      </c>
      <c r="T1157">
        <v>1.0409974433139253</v>
      </c>
      <c r="U1157">
        <v>0</v>
      </c>
      <c r="V1157">
        <v>0.207874773029463</v>
      </c>
      <c r="W1157">
        <v>8.2027333573641295E-2</v>
      </c>
      <c r="X1157">
        <v>2.9507285251263816E-2</v>
      </c>
      <c r="Y1157">
        <v>3.7003513218480956E-3</v>
      </c>
    </row>
    <row r="1158" spans="1:25" x14ac:dyDescent="0.25">
      <c r="A1158" s="1095"/>
      <c r="B1158" s="1454">
        <v>908</v>
      </c>
      <c r="C1158" s="1099">
        <v>0.9935708424077907</v>
      </c>
      <c r="D1158" s="1099">
        <v>0.98099653378094986</v>
      </c>
      <c r="E1158" s="1099">
        <v>1.0346874258832275</v>
      </c>
      <c r="F1158" s="1099">
        <v>1.0312577447538354</v>
      </c>
      <c r="G1158" s="1099">
        <v>1.013662906840527</v>
      </c>
      <c r="H1158" s="1099">
        <v>0.99641387921624891</v>
      </c>
      <c r="I1158" s="1099">
        <v>0.96048816962557537</v>
      </c>
      <c r="K1158">
        <v>1.7857911485328646</v>
      </c>
      <c r="L1158">
        <v>0</v>
      </c>
      <c r="M1158">
        <v>1.300565606764639E-3</v>
      </c>
      <c r="N1158">
        <v>0.13283784495004758</v>
      </c>
      <c r="O1158">
        <v>0.13124263954055207</v>
      </c>
      <c r="P1158">
        <v>1.9317632650372916E-2</v>
      </c>
      <c r="Q1158">
        <v>9.4465067417053418E-4</v>
      </c>
      <c r="R1158">
        <v>1.2972185266750416E-3</v>
      </c>
      <c r="S1158">
        <v>0.10557975319322138</v>
      </c>
      <c r="T1158">
        <v>1.0622387114443543</v>
      </c>
      <c r="U1158">
        <v>0</v>
      </c>
      <c r="V1158">
        <v>0.21273017317200477</v>
      </c>
      <c r="W1158">
        <v>8.5508622309304089E-2</v>
      </c>
      <c r="X1158">
        <v>3.1863866477287783E-2</v>
      </c>
      <c r="Y1158">
        <v>3.530601201637072E-3</v>
      </c>
    </row>
    <row r="1159" spans="1:25" x14ac:dyDescent="0.25">
      <c r="A1159" s="1095"/>
      <c r="B1159" s="1454">
        <v>909</v>
      </c>
      <c r="C1159" s="1099">
        <v>0.98654151107215127</v>
      </c>
      <c r="D1159" s="1099">
        <v>1.0221988472934374</v>
      </c>
      <c r="E1159" s="1099">
        <v>0.99663493493848998</v>
      </c>
      <c r="F1159" s="1099">
        <v>0.99039224813443905</v>
      </c>
      <c r="G1159" s="1099">
        <v>0.98947618306524843</v>
      </c>
      <c r="H1159" s="1099">
        <v>0.99660051021485097</v>
      </c>
      <c r="I1159" s="1099">
        <v>1.0231276562648699</v>
      </c>
      <c r="K1159">
        <v>1.7267586740833756</v>
      </c>
      <c r="L1159">
        <v>0</v>
      </c>
      <c r="M1159">
        <v>1.3783566664544297E-3</v>
      </c>
      <c r="N1159">
        <v>0.12550666231319163</v>
      </c>
      <c r="O1159">
        <v>0.12644971958049867</v>
      </c>
      <c r="P1159">
        <v>1.8232699590472839E-2</v>
      </c>
      <c r="Q1159">
        <v>8.9994288956758673E-4</v>
      </c>
      <c r="R1159">
        <v>1.3747677408582886E-3</v>
      </c>
      <c r="S1159">
        <v>0.11007771677406671</v>
      </c>
      <c r="T1159">
        <v>1.0212483506356045</v>
      </c>
      <c r="U1159">
        <v>0</v>
      </c>
      <c r="V1159">
        <v>0.20867357074946868</v>
      </c>
      <c r="W1159">
        <v>8.2614629588429467E-2</v>
      </c>
      <c r="X1159">
        <v>2.9317306289117304E-2</v>
      </c>
      <c r="Y1159">
        <v>3.7416645985522854E-3</v>
      </c>
    </row>
    <row r="1160" spans="1:25" x14ac:dyDescent="0.25">
      <c r="A1160" s="1095"/>
      <c r="B1160" s="1454">
        <v>910</v>
      </c>
      <c r="C1160" s="1099">
        <v>1.0323891699948027</v>
      </c>
      <c r="D1160" s="1099">
        <v>0.98159351964370078</v>
      </c>
      <c r="E1160" s="1099">
        <v>1.0335812331490044</v>
      </c>
      <c r="F1160" s="1099">
        <v>0.99249049518171062</v>
      </c>
      <c r="G1160" s="1099">
        <v>0.98956988174268168</v>
      </c>
      <c r="H1160" s="1099">
        <v>1.010984826367914</v>
      </c>
      <c r="I1160" s="1099">
        <v>1.0076227604213439</v>
      </c>
      <c r="K1160">
        <v>1.729125293598861</v>
      </c>
      <c r="L1160">
        <v>0</v>
      </c>
      <c r="M1160">
        <v>1.2722675643725796E-3</v>
      </c>
      <c r="N1160">
        <v>0.12951977435523948</v>
      </c>
      <c r="O1160">
        <v>0.12627305604286443</v>
      </c>
      <c r="P1160">
        <v>1.8682006723059807E-2</v>
      </c>
      <c r="Q1160">
        <v>9.0788698931843739E-4</v>
      </c>
      <c r="R1160">
        <v>1.2690396834299164E-3</v>
      </c>
      <c r="S1160">
        <v>0.10755189435191105</v>
      </c>
      <c r="T1160">
        <v>1.0223383465496263</v>
      </c>
      <c r="U1160">
        <v>0</v>
      </c>
      <c r="V1160">
        <v>0.20629910021869466</v>
      </c>
      <c r="W1160">
        <v>8.3426136662030012E-2</v>
      </c>
      <c r="X1160">
        <v>3.0676411907580529E-2</v>
      </c>
      <c r="Y1160">
        <v>3.4539076794770202E-3</v>
      </c>
    </row>
    <row r="1161" spans="1:25" x14ac:dyDescent="0.25">
      <c r="A1161" s="1095"/>
      <c r="B1161" s="1454">
        <v>911</v>
      </c>
      <c r="C1161" s="1099">
        <v>0.95852168834928719</v>
      </c>
      <c r="D1161" s="1099">
        <v>0.98421764795363265</v>
      </c>
      <c r="E1161" s="1099">
        <v>0.99994081432157556</v>
      </c>
      <c r="F1161" s="1099">
        <v>0.98270277075424828</v>
      </c>
      <c r="G1161" s="1099">
        <v>1.0201629585626957</v>
      </c>
      <c r="H1161" s="1099">
        <v>1.0002621075205691</v>
      </c>
      <c r="I1161" s="1099">
        <v>0.98812531854034802</v>
      </c>
      <c r="K1161">
        <v>1.7404463880517307</v>
      </c>
      <c r="L1161">
        <v>0</v>
      </c>
      <c r="M1161">
        <v>1.441263857429073E-3</v>
      </c>
      <c r="N1161">
        <v>0.13255476533948796</v>
      </c>
      <c r="O1161">
        <v>0.12909309690741419</v>
      </c>
      <c r="P1161">
        <v>1.8259417225073508E-2</v>
      </c>
      <c r="Q1161">
        <v>9.4361750962104513E-4</v>
      </c>
      <c r="R1161">
        <v>1.4375392695230153E-3</v>
      </c>
      <c r="S1161">
        <v>0.1120427970230299</v>
      </c>
      <c r="T1161">
        <v>1.0132225648699333</v>
      </c>
      <c r="U1161">
        <v>0</v>
      </c>
      <c r="V1161">
        <v>0.21338358891824627</v>
      </c>
      <c r="W1161">
        <v>8.7082533168574144E-2</v>
      </c>
      <c r="X1161">
        <v>2.9955223671306513E-2</v>
      </c>
      <c r="Y1161">
        <v>3.9125080069488073E-3</v>
      </c>
    </row>
    <row r="1162" spans="1:25" x14ac:dyDescent="0.25">
      <c r="A1162" s="1095"/>
      <c r="B1162" s="1454">
        <v>912</v>
      </c>
      <c r="C1162" s="1099">
        <v>1.0230472319141262</v>
      </c>
      <c r="D1162" s="1099">
        <v>1.0076257025890878</v>
      </c>
      <c r="E1162" s="1099">
        <v>1.0204806667522499</v>
      </c>
      <c r="F1162" s="1099">
        <v>0.98842267005149986</v>
      </c>
      <c r="G1162" s="1099">
        <v>0.99684780091770653</v>
      </c>
      <c r="H1162" s="1099">
        <v>0.98744757973695541</v>
      </c>
      <c r="I1162" s="1099">
        <v>1.0020153548148951</v>
      </c>
      <c r="K1162">
        <v>1.7117601364207546</v>
      </c>
      <c r="L1162">
        <v>0</v>
      </c>
      <c r="M1162">
        <v>1.2675232827402676E-3</v>
      </c>
      <c r="N1162">
        <v>0.12402955208927365</v>
      </c>
      <c r="O1162">
        <v>0.12518916492861423</v>
      </c>
      <c r="P1162">
        <v>1.8410460354214602E-2</v>
      </c>
      <c r="Q1162">
        <v>8.9457680588540497E-4</v>
      </c>
      <c r="R1162">
        <v>1.2642106853324815E-3</v>
      </c>
      <c r="S1162">
        <v>0.10449236790884679</v>
      </c>
      <c r="T1162">
        <v>1.0185227456567898</v>
      </c>
      <c r="U1162">
        <v>0</v>
      </c>
      <c r="V1162">
        <v>0.20637624324844414</v>
      </c>
      <c r="W1162">
        <v>8.050105479939508E-2</v>
      </c>
      <c r="X1162">
        <v>2.9906518488164495E-2</v>
      </c>
      <c r="Y1162">
        <v>3.440764738534597E-3</v>
      </c>
    </row>
    <row r="1163" spans="1:25" x14ac:dyDescent="0.25">
      <c r="A1163" s="1095"/>
      <c r="B1163" s="1454">
        <v>913</v>
      </c>
      <c r="C1163" s="1099">
        <v>0.98918710899770212</v>
      </c>
      <c r="D1163" s="1099">
        <v>1.0120565667029859</v>
      </c>
      <c r="E1163" s="1099">
        <v>0.99729365431483441</v>
      </c>
      <c r="F1163" s="1099">
        <v>0.99997098373383997</v>
      </c>
      <c r="G1163" s="1099">
        <v>0.98329541834020573</v>
      </c>
      <c r="H1163" s="1099">
        <v>0.9814045349291004</v>
      </c>
      <c r="I1163" s="1099">
        <v>1.0248499073877735</v>
      </c>
      <c r="K1163">
        <v>1.7356183805438534</v>
      </c>
      <c r="L1163">
        <v>0</v>
      </c>
      <c r="M1163">
        <v>1.3612393402296357E-3</v>
      </c>
      <c r="N1163">
        <v>0.12419095422039816</v>
      </c>
      <c r="O1163">
        <v>0.12749754019511514</v>
      </c>
      <c r="P1163">
        <v>1.8373521301348575E-2</v>
      </c>
      <c r="Q1163">
        <v>9.0173970606365777E-4</v>
      </c>
      <c r="R1163">
        <v>1.3576506127768156E-3</v>
      </c>
      <c r="S1163">
        <v>0.10963198625204108</v>
      </c>
      <c r="T1163">
        <v>1.0311058752500728</v>
      </c>
      <c r="U1163">
        <v>0</v>
      </c>
      <c r="V1163">
        <v>0.2089475896706168</v>
      </c>
      <c r="W1163">
        <v>8.1716490468944039E-2</v>
      </c>
      <c r="X1163">
        <v>2.9561194788131337E-2</v>
      </c>
      <c r="Y1163">
        <v>3.6950774185742722E-3</v>
      </c>
    </row>
    <row r="1164" spans="1:25" x14ac:dyDescent="0.25">
      <c r="A1164" s="1095"/>
      <c r="B1164" s="1454">
        <v>914</v>
      </c>
      <c r="C1164" s="1099">
        <v>0.99186057352373691</v>
      </c>
      <c r="D1164" s="1099">
        <v>0.96050456758671565</v>
      </c>
      <c r="E1164" s="1099">
        <v>1.0256425326007921</v>
      </c>
      <c r="F1164" s="1099">
        <v>0.97511674145766458</v>
      </c>
      <c r="G1164" s="1099">
        <v>0.99114743511597769</v>
      </c>
      <c r="H1164" s="1099">
        <v>0.99202649278459165</v>
      </c>
      <c r="I1164" s="1099">
        <v>1.0101923239298887</v>
      </c>
      <c r="K1164">
        <v>1.7256513319948257</v>
      </c>
      <c r="L1164">
        <v>0</v>
      </c>
      <c r="M1164">
        <v>1.3313538467281544E-3</v>
      </c>
      <c r="N1164">
        <v>0.13232295703638131</v>
      </c>
      <c r="O1164">
        <v>0.12794752983564039</v>
      </c>
      <c r="P1164">
        <v>1.8434271498725788E-2</v>
      </c>
      <c r="Q1164">
        <v>9.4553715240984211E-4</v>
      </c>
      <c r="R1164">
        <v>1.3279082287842672E-3</v>
      </c>
      <c r="S1164">
        <v>0.11198350341763086</v>
      </c>
      <c r="T1164">
        <v>1.0046654304911706</v>
      </c>
      <c r="U1164">
        <v>0</v>
      </c>
      <c r="V1164">
        <v>0.20944351146941229</v>
      </c>
      <c r="W1164">
        <v>8.5625513734551198E-2</v>
      </c>
      <c r="X1164">
        <v>3.0672394522925476E-2</v>
      </c>
      <c r="Y1164">
        <v>3.6141284539208014E-3</v>
      </c>
    </row>
    <row r="1165" spans="1:25" x14ac:dyDescent="0.25">
      <c r="A1165" s="1095"/>
      <c r="B1165" s="1454">
        <v>915</v>
      </c>
      <c r="C1165" s="1099">
        <v>0.95722794449460491</v>
      </c>
      <c r="D1165" s="1099">
        <v>0.99620425877852115</v>
      </c>
      <c r="E1165" s="1099">
        <v>0.98214526779941691</v>
      </c>
      <c r="F1165" s="1099">
        <v>0.99065067717568611</v>
      </c>
      <c r="G1165" s="1099">
        <v>1.0319706224533829</v>
      </c>
      <c r="H1165" s="1099">
        <v>0.98958351801940048</v>
      </c>
      <c r="I1165" s="1099">
        <v>0.97618301045186073</v>
      </c>
      <c r="K1165">
        <v>1.7401967999143775</v>
      </c>
      <c r="L1165">
        <v>0</v>
      </c>
      <c r="M1165">
        <v>1.4718878315726439E-3</v>
      </c>
      <c r="N1165">
        <v>0.12827668435661788</v>
      </c>
      <c r="O1165">
        <v>0.12915074526116196</v>
      </c>
      <c r="P1165">
        <v>1.8106025824580717E-2</v>
      </c>
      <c r="Q1165">
        <v>9.2305651840503072E-4</v>
      </c>
      <c r="R1165">
        <v>1.4680368561735735E-3</v>
      </c>
      <c r="S1165">
        <v>0.109269662806369</v>
      </c>
      <c r="T1165">
        <v>1.0219460777549414</v>
      </c>
      <c r="U1165">
        <v>0</v>
      </c>
      <c r="V1165">
        <v>0.21407303908810707</v>
      </c>
      <c r="W1165">
        <v>8.5174483839781823E-2</v>
      </c>
      <c r="X1165">
        <v>2.9285363055524115E-2</v>
      </c>
      <c r="Y1165">
        <v>3.9955123842848909E-3</v>
      </c>
    </row>
    <row r="1166" spans="1:25" x14ac:dyDescent="0.25">
      <c r="A1166" s="1095"/>
      <c r="B1166" s="1454">
        <v>916</v>
      </c>
      <c r="C1166" s="1099">
        <v>0.96873274817599542</v>
      </c>
      <c r="D1166" s="1099">
        <v>1.0025541286552742</v>
      </c>
      <c r="E1166" s="1099">
        <v>0.99975873719529151</v>
      </c>
      <c r="F1166" s="1099">
        <v>0.97430820609989843</v>
      </c>
      <c r="G1166" s="1099">
        <v>1.0075015429678591</v>
      </c>
      <c r="H1166" s="1099">
        <v>1.0290519444584187</v>
      </c>
      <c r="I1166" s="1099">
        <v>1.0123660790596689</v>
      </c>
      <c r="K1166">
        <v>1.730606701043097</v>
      </c>
      <c r="L1166">
        <v>0</v>
      </c>
      <c r="M1166">
        <v>1.4521537388889785E-3</v>
      </c>
      <c r="N1166">
        <v>0.13349145444708463</v>
      </c>
      <c r="O1166">
        <v>0.12704083957408566</v>
      </c>
      <c r="P1166">
        <v>1.8136463075082123E-2</v>
      </c>
      <c r="Q1166">
        <v>9.2662772219474744E-4</v>
      </c>
      <c r="R1166">
        <v>1.4484941395466458E-3</v>
      </c>
      <c r="S1166">
        <v>0.11439881037501422</v>
      </c>
      <c r="T1166">
        <v>1.0045725645986305</v>
      </c>
      <c r="U1166">
        <v>0</v>
      </c>
      <c r="V1166">
        <v>0.21084291817226519</v>
      </c>
      <c r="W1166">
        <v>8.7707387897172556E-2</v>
      </c>
      <c r="X1166">
        <v>2.9550971229026966E-2</v>
      </c>
      <c r="Y1166">
        <v>3.9423235518811989E-3</v>
      </c>
    </row>
    <row r="1167" spans="1:25" x14ac:dyDescent="0.25">
      <c r="A1167" s="1095"/>
      <c r="B1167" s="1454">
        <v>917</v>
      </c>
      <c r="C1167" s="1099">
        <v>1.0021020248265802</v>
      </c>
      <c r="D1167" s="1099">
        <v>1.0148424154840592</v>
      </c>
      <c r="E1167" s="1099">
        <v>0.9848766166168359</v>
      </c>
      <c r="F1167" s="1099">
        <v>1.0168224180621059</v>
      </c>
      <c r="G1167" s="1099">
        <v>1.037996597680106</v>
      </c>
      <c r="H1167" s="1099">
        <v>0.98383777609773315</v>
      </c>
      <c r="I1167" s="1099">
        <v>1.006782605442182</v>
      </c>
      <c r="K1167">
        <v>1.748903601226897</v>
      </c>
      <c r="L1167">
        <v>0</v>
      </c>
      <c r="M1167">
        <v>1.3833107087412896E-3</v>
      </c>
      <c r="N1167">
        <v>0.12155623893284774</v>
      </c>
      <c r="O1167">
        <v>0.12791654988299164</v>
      </c>
      <c r="P1167">
        <v>1.8430295427550987E-2</v>
      </c>
      <c r="Q1167">
        <v>8.7771269539105908E-4</v>
      </c>
      <c r="R1167">
        <v>1.3796799291337389E-3</v>
      </c>
      <c r="S1167">
        <v>0.10644832068413475</v>
      </c>
      <c r="T1167">
        <v>1.0488606770344617</v>
      </c>
      <c r="U1167">
        <v>0</v>
      </c>
      <c r="V1167">
        <v>0.21125064058987775</v>
      </c>
      <c r="W1167">
        <v>8.0579536899461873E-2</v>
      </c>
      <c r="X1167">
        <v>2.9232225904050196E-2</v>
      </c>
      <c r="Y1167">
        <v>3.7550339557356322E-3</v>
      </c>
    </row>
    <row r="1168" spans="1:25" x14ac:dyDescent="0.25">
      <c r="A1168" s="1095"/>
      <c r="B1168" s="1454">
        <v>918</v>
      </c>
      <c r="C1168" s="1099">
        <v>1.0347634285934211</v>
      </c>
      <c r="D1168" s="1099">
        <v>1.0248769941164724</v>
      </c>
      <c r="E1168" s="1099">
        <v>0.99928288739211901</v>
      </c>
      <c r="F1168" s="1099">
        <v>0.98096587773210964</v>
      </c>
      <c r="G1168" s="1099">
        <v>0.98898581713427758</v>
      </c>
      <c r="H1168" s="1099">
        <v>0.98577854178872726</v>
      </c>
      <c r="I1168" s="1099">
        <v>1.0047223668880745</v>
      </c>
      <c r="K1168">
        <v>1.6891276747838895</v>
      </c>
      <c r="L1168">
        <v>0</v>
      </c>
      <c r="M1168">
        <v>1.2947017835285559E-3</v>
      </c>
      <c r="N1168">
        <v>0.11883388598227687</v>
      </c>
      <c r="O1168">
        <v>0.12321431592499356</v>
      </c>
      <c r="P1168">
        <v>1.7968151559093558E-2</v>
      </c>
      <c r="Q1168">
        <v>8.5946523370110427E-4</v>
      </c>
      <c r="R1168">
        <v>1.2913024049969032E-3</v>
      </c>
      <c r="S1168">
        <v>0.10237737434873589</v>
      </c>
      <c r="T1168">
        <v>1.011450922502199</v>
      </c>
      <c r="U1168">
        <v>0</v>
      </c>
      <c r="V1168">
        <v>0.20412209854939184</v>
      </c>
      <c r="W1168">
        <v>7.8099073994425935E-2</v>
      </c>
      <c r="X1168">
        <v>2.8691286598923772E-2</v>
      </c>
      <c r="Y1168">
        <v>3.5144994686781669E-3</v>
      </c>
    </row>
    <row r="1169" spans="1:25" x14ac:dyDescent="0.25">
      <c r="A1169" s="1095"/>
      <c r="B1169" s="1454">
        <v>919</v>
      </c>
      <c r="C1169" s="1099">
        <v>1.0210027568960931</v>
      </c>
      <c r="D1169" s="1099">
        <v>0.9861531356335439</v>
      </c>
      <c r="E1169" s="1099">
        <v>0.99276328750090093</v>
      </c>
      <c r="F1169" s="1099">
        <v>1.0111313401213966</v>
      </c>
      <c r="G1169" s="1099">
        <v>1.0002505403063859</v>
      </c>
      <c r="H1169" s="1099">
        <v>0.99502225365257491</v>
      </c>
      <c r="I1169" s="1099">
        <v>0.97041502849259387</v>
      </c>
      <c r="K1169">
        <v>1.7403361684633587</v>
      </c>
      <c r="L1169">
        <v>0</v>
      </c>
      <c r="M1169">
        <v>1.3754311589211454E-3</v>
      </c>
      <c r="N1169">
        <v>0.12378646395799787</v>
      </c>
      <c r="O1169">
        <v>0.12787767103983008</v>
      </c>
      <c r="P1169">
        <v>1.8377100631291613E-2</v>
      </c>
      <c r="Q1169">
        <v>8.7860072179262805E-4</v>
      </c>
      <c r="R1169">
        <v>1.3718848689247506E-3</v>
      </c>
      <c r="S1169">
        <v>0.10334193816698736</v>
      </c>
      <c r="T1169">
        <v>1.0427505694630723</v>
      </c>
      <c r="U1169">
        <v>0</v>
      </c>
      <c r="V1169">
        <v>0.20845094485528795</v>
      </c>
      <c r="W1169">
        <v>8.1670813910838275E-2</v>
      </c>
      <c r="X1169">
        <v>2.9471793634767582E-2</v>
      </c>
      <c r="Y1169">
        <v>3.7338183714876729E-3</v>
      </c>
    </row>
    <row r="1170" spans="1:25" x14ac:dyDescent="0.25">
      <c r="A1170" s="1095"/>
      <c r="B1170" s="1454">
        <v>920</v>
      </c>
      <c r="C1170" s="1099">
        <v>0.99993972401844133</v>
      </c>
      <c r="D1170" s="1099">
        <v>0.98674621629177073</v>
      </c>
      <c r="E1170" s="1099">
        <v>0.9807791493050112</v>
      </c>
      <c r="F1170" s="1099">
        <v>1.0004854791426978</v>
      </c>
      <c r="G1170" s="1099">
        <v>0.98487734674646255</v>
      </c>
      <c r="H1170" s="1099">
        <v>1.0221928860248626</v>
      </c>
      <c r="I1170" s="1099">
        <v>0.99221878019111909</v>
      </c>
      <c r="K1170">
        <v>1.74373631469329</v>
      </c>
      <c r="L1170">
        <v>0</v>
      </c>
      <c r="M1170">
        <v>1.4745364767892687E-3</v>
      </c>
      <c r="N1170">
        <v>0.12799027507779082</v>
      </c>
      <c r="O1170">
        <v>0.12806951319795828</v>
      </c>
      <c r="P1170">
        <v>1.8157579733541894E-2</v>
      </c>
      <c r="Q1170">
        <v>8.857389751874197E-4</v>
      </c>
      <c r="R1170">
        <v>1.4708254288949153E-3</v>
      </c>
      <c r="S1170">
        <v>0.10954148966249268</v>
      </c>
      <c r="T1170">
        <v>1.0321329547808136</v>
      </c>
      <c r="U1170">
        <v>0</v>
      </c>
      <c r="V1170">
        <v>0.20884712116320775</v>
      </c>
      <c r="W1170">
        <v>8.5054361573634468E-2</v>
      </c>
      <c r="X1170">
        <v>2.9057889616576699E-2</v>
      </c>
      <c r="Y1170">
        <v>4.0031019599796325E-3</v>
      </c>
    </row>
    <row r="1171" spans="1:25" x14ac:dyDescent="0.25">
      <c r="A1171" s="1095"/>
      <c r="B1171" s="1454">
        <v>921</v>
      </c>
      <c r="C1171" s="1099">
        <v>1.0296534071279582</v>
      </c>
      <c r="D1171" s="1099">
        <v>0.98817774236404177</v>
      </c>
      <c r="E1171" s="1099">
        <v>1.0167617900797932</v>
      </c>
      <c r="F1171" s="1099">
        <v>0.95539505397012903</v>
      </c>
      <c r="G1171" s="1099">
        <v>1.0181710721861124</v>
      </c>
      <c r="H1171" s="1099">
        <v>0.96343050264916508</v>
      </c>
      <c r="I1171" s="1099">
        <v>1.0023331526200203</v>
      </c>
      <c r="K1171">
        <v>1.6677183760264485</v>
      </c>
      <c r="L1171">
        <v>0</v>
      </c>
      <c r="M1171">
        <v>1.2495581154787379E-3</v>
      </c>
      <c r="N1171">
        <v>0.12089989331763164</v>
      </c>
      <c r="O1171">
        <v>0.12320514324993717</v>
      </c>
      <c r="P1171">
        <v>1.7866072390776502E-2</v>
      </c>
      <c r="Q1171">
        <v>8.9238011190147964E-4</v>
      </c>
      <c r="R1171">
        <v>1.2462152515238197E-3</v>
      </c>
      <c r="S1171">
        <v>0.10330002348548102</v>
      </c>
      <c r="T1171">
        <v>0.98459300795215754</v>
      </c>
      <c r="U1171">
        <v>0</v>
      </c>
      <c r="V1171">
        <v>0.20571016896908767</v>
      </c>
      <c r="W1171">
        <v>7.8640859368435581E-2</v>
      </c>
      <c r="X1171">
        <v>2.9222382945092669E-2</v>
      </c>
      <c r="Y1171">
        <v>3.391787099900582E-3</v>
      </c>
    </row>
    <row r="1172" spans="1:25" x14ac:dyDescent="0.25">
      <c r="A1172" s="1095"/>
      <c r="B1172" s="1454">
        <v>922</v>
      </c>
      <c r="C1172" s="1099">
        <v>1.0060636242949483</v>
      </c>
      <c r="D1172" s="1099">
        <v>1.0224182290497361</v>
      </c>
      <c r="E1172" s="1099">
        <v>0.96857705470221689</v>
      </c>
      <c r="F1172" s="1099">
        <v>0.97423324927551802</v>
      </c>
      <c r="G1172" s="1099">
        <v>1.0103889120796345</v>
      </c>
      <c r="H1172" s="1099">
        <v>1.0022554640660504</v>
      </c>
      <c r="I1172" s="1099">
        <v>1.0213330612651426</v>
      </c>
      <c r="K1172">
        <v>1.6960199510294283</v>
      </c>
      <c r="L1172">
        <v>0</v>
      </c>
      <c r="M1172">
        <v>1.4406190187917958E-3</v>
      </c>
      <c r="N1172">
        <v>0.12050334994263268</v>
      </c>
      <c r="O1172">
        <v>0.12410911320977909</v>
      </c>
      <c r="P1172">
        <v>1.7591004337273917E-2</v>
      </c>
      <c r="Q1172">
        <v>8.5687139559542679E-4</v>
      </c>
      <c r="R1172">
        <v>1.4368897460139626E-3</v>
      </c>
      <c r="S1172">
        <v>0.1080986348427779</v>
      </c>
      <c r="T1172">
        <v>1.0054126867749957</v>
      </c>
      <c r="U1172">
        <v>0</v>
      </c>
      <c r="V1172">
        <v>0.20710995715592009</v>
      </c>
      <c r="W1172">
        <v>8.0673728409738313E-2</v>
      </c>
      <c r="X1172">
        <v>2.7757594015418156E-2</v>
      </c>
      <c r="Y1172">
        <v>3.9107402180725359E-3</v>
      </c>
    </row>
    <row r="1173" spans="1:25" x14ac:dyDescent="0.25">
      <c r="A1173" s="1095"/>
      <c r="B1173" s="1454">
        <v>923</v>
      </c>
      <c r="C1173" s="1099">
        <v>0.97594978275512134</v>
      </c>
      <c r="D1173" s="1099">
        <v>0.98733142358514214</v>
      </c>
      <c r="E1173" s="1099">
        <v>0.99728414428105094</v>
      </c>
      <c r="F1173" s="1099">
        <v>1.0136233579460943</v>
      </c>
      <c r="G1173" s="1099">
        <v>0.97495196576481691</v>
      </c>
      <c r="H1173" s="1099">
        <v>1.0324462389861988</v>
      </c>
      <c r="I1173" s="1099">
        <v>0.99092534150964295</v>
      </c>
      <c r="K1173">
        <v>1.7760728557261096</v>
      </c>
      <c r="L1173">
        <v>0</v>
      </c>
      <c r="M1173">
        <v>1.4728238097348426E-3</v>
      </c>
      <c r="N1173">
        <v>0.13438650294114363</v>
      </c>
      <c r="O1173">
        <v>0.13038723269925856</v>
      </c>
      <c r="P1173">
        <v>1.8637590050377736E-2</v>
      </c>
      <c r="Q1173">
        <v>9.2304869429221106E-4</v>
      </c>
      <c r="R1173">
        <v>1.4691501684427767E-3</v>
      </c>
      <c r="S1173">
        <v>0.11274306630123601</v>
      </c>
      <c r="T1173">
        <v>1.0451836143200555</v>
      </c>
      <c r="U1173">
        <v>0</v>
      </c>
      <c r="V1173">
        <v>0.21116597845747637</v>
      </c>
      <c r="W1173">
        <v>8.8425567381516856E-2</v>
      </c>
      <c r="X1173">
        <v>3.0225386068763349E-2</v>
      </c>
      <c r="Y1173">
        <v>3.9985424532783696E-3</v>
      </c>
    </row>
    <row r="1174" spans="1:25" x14ac:dyDescent="0.25">
      <c r="A1174" s="1095"/>
      <c r="B1174" s="1454">
        <v>924</v>
      </c>
      <c r="C1174" s="1099">
        <v>1.0265117693404975</v>
      </c>
      <c r="D1174" s="1099">
        <v>0.99726265370569656</v>
      </c>
      <c r="E1174" s="1099">
        <v>0.97499671691373258</v>
      </c>
      <c r="F1174" s="1099">
        <v>1.0366471942104931</v>
      </c>
      <c r="G1174" s="1099">
        <v>0.99240060645549799</v>
      </c>
      <c r="H1174" s="1099">
        <v>1.029860324013425</v>
      </c>
      <c r="I1174" s="1099">
        <v>1.0167110574093592</v>
      </c>
      <c r="K1174">
        <v>1.7771243480688108</v>
      </c>
      <c r="L1174">
        <v>0</v>
      </c>
      <c r="M1174">
        <v>1.4629332808382522E-3</v>
      </c>
      <c r="N1174">
        <v>0.12478376502228024</v>
      </c>
      <c r="O1174">
        <v>0.1289095051766519</v>
      </c>
      <c r="P1174">
        <v>1.8575238025465526E-2</v>
      </c>
      <c r="Q1174">
        <v>8.5396359123131674E-4</v>
      </c>
      <c r="R1174">
        <v>1.4592903087537541E-3</v>
      </c>
      <c r="S1174">
        <v>0.10951561882713165</v>
      </c>
      <c r="T1174">
        <v>1.069620692030647</v>
      </c>
      <c r="U1174">
        <v>0</v>
      </c>
      <c r="V1174">
        <v>0.20854845220607438</v>
      </c>
      <c r="W1174">
        <v>8.3214041146955076E-2</v>
      </c>
      <c r="X1174">
        <v>2.9135007848952055E-2</v>
      </c>
      <c r="Y1174">
        <v>3.9717071655067234E-3</v>
      </c>
    </row>
    <row r="1175" spans="1:25" x14ac:dyDescent="0.25">
      <c r="A1175" s="1095"/>
      <c r="B1175" s="1454">
        <v>925</v>
      </c>
      <c r="C1175" s="1099">
        <v>0.98011904810327477</v>
      </c>
      <c r="D1175" s="1099">
        <v>1.0010782515093275</v>
      </c>
      <c r="E1175" s="1099">
        <v>0.99254343358648345</v>
      </c>
      <c r="F1175" s="1099">
        <v>0.98206798971676235</v>
      </c>
      <c r="G1175" s="1099">
        <v>0.98172164737627943</v>
      </c>
      <c r="H1175" s="1099">
        <v>1.0109817019823684</v>
      </c>
      <c r="I1175" s="1099">
        <v>0.99414788665462028</v>
      </c>
      <c r="K1175">
        <v>1.7252196112247675</v>
      </c>
      <c r="L1175">
        <v>0</v>
      </c>
      <c r="M1175">
        <v>1.4350204035586398E-3</v>
      </c>
      <c r="N1175">
        <v>0.12906595219863556</v>
      </c>
      <c r="O1175">
        <v>0.12707869583312884</v>
      </c>
      <c r="P1175">
        <v>1.8065441951755766E-2</v>
      </c>
      <c r="Q1175">
        <v>9.0955882134177333E-4</v>
      </c>
      <c r="R1175">
        <v>1.4313466442773203E-3</v>
      </c>
      <c r="S1175">
        <v>0.1099715776410562</v>
      </c>
      <c r="T1175">
        <v>1.0127848406111963</v>
      </c>
      <c r="U1175">
        <v>0</v>
      </c>
      <c r="V1175">
        <v>0.20902770209351723</v>
      </c>
      <c r="W1175">
        <v>8.5165263706509287E-2</v>
      </c>
      <c r="X1175">
        <v>2.9258598404479436E-2</v>
      </c>
      <c r="Y1175">
        <v>3.8956537224283908E-3</v>
      </c>
    </row>
    <row r="1176" spans="1:25" x14ac:dyDescent="0.25">
      <c r="A1176" s="1095"/>
      <c r="B1176" s="1454">
        <v>926</v>
      </c>
      <c r="C1176" s="1099">
        <v>0.97881930291464014</v>
      </c>
      <c r="D1176" s="1099">
        <v>0.99336973544849549</v>
      </c>
      <c r="E1176" s="1099">
        <v>0.98242390385633038</v>
      </c>
      <c r="F1176" s="1099">
        <v>0.96514017274134445</v>
      </c>
      <c r="G1176" s="1099">
        <v>0.96228196844077429</v>
      </c>
      <c r="H1176" s="1099">
        <v>1.0374286947562157</v>
      </c>
      <c r="I1176" s="1099">
        <v>0.99620263117466035</v>
      </c>
      <c r="K1176">
        <v>1.7124226635453776</v>
      </c>
      <c r="L1176">
        <v>0</v>
      </c>
      <c r="M1176">
        <v>1.5100224448857107E-3</v>
      </c>
      <c r="N1176">
        <v>0.13172710244397057</v>
      </c>
      <c r="O1176">
        <v>0.1261461840810672</v>
      </c>
      <c r="P1176">
        <v>1.7712093227370142E-2</v>
      </c>
      <c r="Q1176">
        <v>9.0398824066258968E-4</v>
      </c>
      <c r="R1176">
        <v>1.5062542942029535E-3</v>
      </c>
      <c r="S1176">
        <v>0.11261077895731948</v>
      </c>
      <c r="T1176">
        <v>0.99562154089282551</v>
      </c>
      <c r="U1176">
        <v>0</v>
      </c>
      <c r="V1176">
        <v>0.20750656415877056</v>
      </c>
      <c r="W1176">
        <v>8.7450840284051617E-2</v>
      </c>
      <c r="X1176">
        <v>2.8647811757794173E-2</v>
      </c>
      <c r="Y1176">
        <v>4.0995276522258033E-3</v>
      </c>
    </row>
    <row r="1177" spans="1:25" x14ac:dyDescent="0.25">
      <c r="A1177" s="1095"/>
      <c r="B1177" s="1454">
        <v>927</v>
      </c>
      <c r="C1177" s="1099">
        <v>1.0183052030031794</v>
      </c>
      <c r="D1177" s="1099">
        <v>1.0346331719480775</v>
      </c>
      <c r="E1177" s="1099">
        <v>1.0396344274154958</v>
      </c>
      <c r="F1177" s="1099">
        <v>1.0191624274736548</v>
      </c>
      <c r="G1177" s="1099">
        <v>0.98205190208703341</v>
      </c>
      <c r="H1177" s="1099">
        <v>0.99776430924211734</v>
      </c>
      <c r="I1177" s="1099">
        <v>0.95791413045779816</v>
      </c>
      <c r="K1177">
        <v>1.7446027518480511</v>
      </c>
      <c r="L1177">
        <v>0</v>
      </c>
      <c r="M1177">
        <v>1.2198291710502367E-3</v>
      </c>
      <c r="N1177">
        <v>0.12645994184758172</v>
      </c>
      <c r="O1177">
        <v>0.12659743333002457</v>
      </c>
      <c r="P1177">
        <v>1.9043420053332916E-2</v>
      </c>
      <c r="Q1177">
        <v>9.0683574240547687E-4</v>
      </c>
      <c r="R1177">
        <v>1.2166650159792678E-3</v>
      </c>
      <c r="S1177">
        <v>9.9563017637462087E-2</v>
      </c>
      <c r="T1177">
        <v>1.0496356936509659</v>
      </c>
      <c r="U1177">
        <v>0</v>
      </c>
      <c r="V1177">
        <v>0.20690535543724775</v>
      </c>
      <c r="W1177">
        <v>8.117100464124162E-2</v>
      </c>
      <c r="X1177">
        <v>3.1011852562878334E-2</v>
      </c>
      <c r="Y1177">
        <v>3.3113610999808401E-3</v>
      </c>
    </row>
    <row r="1178" spans="1:25" x14ac:dyDescent="0.25">
      <c r="A1178" s="1095"/>
      <c r="B1178" s="1454">
        <v>928</v>
      </c>
      <c r="C1178" s="1099">
        <v>0.97418199700312258</v>
      </c>
      <c r="D1178" s="1099">
        <v>1.0325460967303248</v>
      </c>
      <c r="E1178" s="1099">
        <v>1.0386125866723788</v>
      </c>
      <c r="F1178" s="1099">
        <v>1.0142892436722377</v>
      </c>
      <c r="G1178" s="1099">
        <v>0.95524426736810564</v>
      </c>
      <c r="H1178" s="1099">
        <v>1.0032359899919332</v>
      </c>
      <c r="I1178" s="1099">
        <v>0.97883847761762643</v>
      </c>
      <c r="K1178">
        <v>1.7614521833489709</v>
      </c>
      <c r="L1178">
        <v>0</v>
      </c>
      <c r="M1178">
        <v>1.2813467074170163E-3</v>
      </c>
      <c r="N1178">
        <v>0.13242986116080407</v>
      </c>
      <c r="O1178">
        <v>0.12861837498686093</v>
      </c>
      <c r="P1178">
        <v>1.9089632586907383E-2</v>
      </c>
      <c r="Q1178">
        <v>9.4769065778941989E-4</v>
      </c>
      <c r="R1178">
        <v>1.2780295018286426E-3</v>
      </c>
      <c r="S1178">
        <v>0.10658600470885629</v>
      </c>
      <c r="T1178">
        <v>1.0446464110827094</v>
      </c>
      <c r="U1178">
        <v>0</v>
      </c>
      <c r="V1178">
        <v>0.20915917203512568</v>
      </c>
      <c r="W1178">
        <v>8.5052999612934346E-2</v>
      </c>
      <c r="X1178">
        <v>3.1446978720904288E-2</v>
      </c>
      <c r="Y1178">
        <v>3.4783750016655155E-3</v>
      </c>
    </row>
    <row r="1179" spans="1:25" x14ac:dyDescent="0.25">
      <c r="A1179" s="1095"/>
      <c r="B1179" s="1454">
        <v>929</v>
      </c>
      <c r="C1179" s="1099">
        <v>0.96253989652175975</v>
      </c>
      <c r="D1179" s="1099">
        <v>0.9718341601466175</v>
      </c>
      <c r="E1179" s="1099">
        <v>0.96337738009889406</v>
      </c>
      <c r="F1179" s="1099">
        <v>1.0008964809929641</v>
      </c>
      <c r="G1179" s="1099">
        <v>1.0321740987289825</v>
      </c>
      <c r="H1179" s="1099">
        <v>0.96916675404754304</v>
      </c>
      <c r="I1179" s="1099">
        <v>0.98968546041136118</v>
      </c>
      <c r="K1179">
        <v>1.749427532665687</v>
      </c>
      <c r="L1179">
        <v>0</v>
      </c>
      <c r="M1179">
        <v>1.5140960919444177E-3</v>
      </c>
      <c r="N1179">
        <v>0.12466218297078847</v>
      </c>
      <c r="O1179">
        <v>0.13073123475876175</v>
      </c>
      <c r="P1179">
        <v>1.8021794290987624E-2</v>
      </c>
      <c r="Q1179">
        <v>9.0897637078036879E-4</v>
      </c>
      <c r="R1179">
        <v>1.510075367318519E-3</v>
      </c>
      <c r="S1179">
        <v>0.11044408562999077</v>
      </c>
      <c r="T1179">
        <v>1.0330892542282728</v>
      </c>
      <c r="U1179">
        <v>0</v>
      </c>
      <c r="V1179">
        <v>0.21485161652352996</v>
      </c>
      <c r="W1179">
        <v>8.3723340209231792E-2</v>
      </c>
      <c r="X1179">
        <v>2.8889141054337299E-2</v>
      </c>
      <c r="Y1179">
        <v>4.109927353629958E-3</v>
      </c>
    </row>
    <row r="1180" spans="1:25" x14ac:dyDescent="0.25">
      <c r="A1180" s="1095"/>
      <c r="B1180" s="1454">
        <v>930</v>
      </c>
      <c r="C1180" s="1099">
        <v>0.99601546703150601</v>
      </c>
      <c r="D1180" s="1099">
        <v>1.0061883083798935</v>
      </c>
      <c r="E1180" s="1099">
        <v>0.95657240537600385</v>
      </c>
      <c r="F1180" s="1099">
        <v>1.0259394512466553</v>
      </c>
      <c r="G1180" s="1099">
        <v>1.0246229650888863</v>
      </c>
      <c r="H1180" s="1099">
        <v>1.0000272383103177</v>
      </c>
      <c r="I1180" s="1099">
        <v>1.0219690558254748</v>
      </c>
      <c r="K1180">
        <v>1.7658230336552803</v>
      </c>
      <c r="L1180">
        <v>0</v>
      </c>
      <c r="M1180">
        <v>1.5078075911048E-3</v>
      </c>
      <c r="N1180">
        <v>0.12162032400003758</v>
      </c>
      <c r="O1180">
        <v>0.12919984692995448</v>
      </c>
      <c r="P1180">
        <v>1.8230059746886199E-2</v>
      </c>
      <c r="Q1180">
        <v>8.600820212544192E-4</v>
      </c>
      <c r="R1180">
        <v>1.5039214961386749E-3</v>
      </c>
      <c r="S1180">
        <v>0.11041908728344227</v>
      </c>
      <c r="T1180">
        <v>1.0591536056178728</v>
      </c>
      <c r="U1180">
        <v>0</v>
      </c>
      <c r="V1180">
        <v>0.21176866360673505</v>
      </c>
      <c r="W1180">
        <v>8.2022141179410896E-2</v>
      </c>
      <c r="X1180">
        <v>2.8459930819747622E-2</v>
      </c>
      <c r="Y1180">
        <v>4.0931785449015122E-3</v>
      </c>
    </row>
    <row r="1181" spans="1:25" x14ac:dyDescent="0.25">
      <c r="A1181" s="1095"/>
      <c r="B1181" s="1454">
        <v>931</v>
      </c>
      <c r="C1181" s="1099">
        <v>0.99460170071811438</v>
      </c>
      <c r="D1181" s="1099">
        <v>0.99048493858931097</v>
      </c>
      <c r="E1181" s="1099">
        <v>0.98857737512285193</v>
      </c>
      <c r="F1181" s="1099">
        <v>1.0065064229385221</v>
      </c>
      <c r="G1181" s="1099">
        <v>0.97709551291055752</v>
      </c>
      <c r="H1181" s="1099">
        <v>1.0150675921236674</v>
      </c>
      <c r="I1181" s="1099">
        <v>1.0038920818627792</v>
      </c>
      <c r="K1181">
        <v>1.7527061771305821</v>
      </c>
      <c r="L1181">
        <v>0</v>
      </c>
      <c r="M1181">
        <v>1.4454468564046204E-3</v>
      </c>
      <c r="N1181">
        <v>0.12845728787685498</v>
      </c>
      <c r="O1181">
        <v>0.12866698329607115</v>
      </c>
      <c r="P1181">
        <v>1.836528104662781E-2</v>
      </c>
      <c r="Q1181">
        <v>8.9642433035509944E-4</v>
      </c>
      <c r="R1181">
        <v>1.4417811642928032E-3</v>
      </c>
      <c r="S1181">
        <v>0.11067968156567751</v>
      </c>
      <c r="T1181">
        <v>1.0381074411847848</v>
      </c>
      <c r="U1181">
        <v>0</v>
      </c>
      <c r="V1181">
        <v>0.20914995868491892</v>
      </c>
      <c r="W1181">
        <v>8.496517224090222E-2</v>
      </c>
      <c r="X1181">
        <v>2.9497559550329826E-2</v>
      </c>
      <c r="Y1181">
        <v>3.9240530461719355E-3</v>
      </c>
    </row>
    <row r="1182" spans="1:25" x14ac:dyDescent="0.25">
      <c r="A1182" s="1095"/>
      <c r="B1182" s="1454">
        <v>932</v>
      </c>
      <c r="C1182" s="1099">
        <v>0.98177222110945062</v>
      </c>
      <c r="D1182" s="1099">
        <v>1.0001100699421082</v>
      </c>
      <c r="E1182" s="1099">
        <v>1.0050179534779726</v>
      </c>
      <c r="F1182" s="1099">
        <v>1.0021706811447186</v>
      </c>
      <c r="G1182" s="1099">
        <v>0.96449196569752638</v>
      </c>
      <c r="H1182" s="1099">
        <v>0.99950757337384821</v>
      </c>
      <c r="I1182" s="1099">
        <v>1.0057945833808284</v>
      </c>
      <c r="K1182">
        <v>1.7485881229552478</v>
      </c>
      <c r="L1182">
        <v>0</v>
      </c>
      <c r="M1182">
        <v>1.3836324006265208E-3</v>
      </c>
      <c r="N1182">
        <v>0.12922102282281658</v>
      </c>
      <c r="O1182">
        <v>0.12863184479112469</v>
      </c>
      <c r="P1182">
        <v>1.8522231989289831E-2</v>
      </c>
      <c r="Q1182">
        <v>9.2021147707904943E-4</v>
      </c>
      <c r="R1182">
        <v>1.3800571110290517E-3</v>
      </c>
      <c r="S1182">
        <v>0.11048075253184382</v>
      </c>
      <c r="T1182">
        <v>1.0331442099127717</v>
      </c>
      <c r="U1182">
        <v>0</v>
      </c>
      <c r="V1182">
        <v>0.20917499011739848</v>
      </c>
      <c r="W1182">
        <v>8.4637130042379688E-2</v>
      </c>
      <c r="X1182">
        <v>3.0103244039624548E-2</v>
      </c>
      <c r="Y1182">
        <v>3.7560605205166939E-3</v>
      </c>
    </row>
    <row r="1183" spans="1:25" x14ac:dyDescent="0.25">
      <c r="A1183" s="1095"/>
      <c r="B1183" s="1454">
        <v>933</v>
      </c>
      <c r="C1183" s="1099">
        <v>1.0249312929777465</v>
      </c>
      <c r="D1183" s="1099">
        <v>0.97506499319690587</v>
      </c>
      <c r="E1183" s="1099">
        <v>1.0228852146418352</v>
      </c>
      <c r="F1183" s="1099">
        <v>1.003871901167162</v>
      </c>
      <c r="G1183" s="1099">
        <v>1.0016616462251227</v>
      </c>
      <c r="H1183" s="1099">
        <v>0.97322658029743103</v>
      </c>
      <c r="I1183" s="1099">
        <v>1.0073365689100879</v>
      </c>
      <c r="K1183">
        <v>1.7359262516346365</v>
      </c>
      <c r="L1183">
        <v>0</v>
      </c>
      <c r="M1183">
        <v>1.2669326577394548E-3</v>
      </c>
      <c r="N1183">
        <v>0.12487198768605884</v>
      </c>
      <c r="O1183">
        <v>0.12777165895563475</v>
      </c>
      <c r="P1183">
        <v>1.8711323938752467E-2</v>
      </c>
      <c r="Q1183">
        <v>9.0697465727575591E-4</v>
      </c>
      <c r="R1183">
        <v>1.2635991420091319E-3</v>
      </c>
      <c r="S1183">
        <v>0.10612144834560863</v>
      </c>
      <c r="T1183">
        <v>1.0343722424286748</v>
      </c>
      <c r="U1183">
        <v>0</v>
      </c>
      <c r="V1183">
        <v>0.20824803466423189</v>
      </c>
      <c r="W1183">
        <v>8.0934048954923551E-2</v>
      </c>
      <c r="X1183">
        <v>3.0552765200002531E-2</v>
      </c>
      <c r="Y1183">
        <v>3.4391003192036427E-3</v>
      </c>
    </row>
    <row r="1184" spans="1:25" x14ac:dyDescent="0.25">
      <c r="A1184" s="1095"/>
      <c r="B1184" s="1454">
        <v>934</v>
      </c>
      <c r="C1184" s="1099">
        <v>1.0080139051239416</v>
      </c>
      <c r="D1184" s="1099">
        <v>0.96742177693611819</v>
      </c>
      <c r="E1184" s="1099">
        <v>1.0024974909119329</v>
      </c>
      <c r="F1184" s="1099">
        <v>1.0371937323847198</v>
      </c>
      <c r="G1184" s="1099">
        <v>0.9970587277042835</v>
      </c>
      <c r="H1184" s="1099">
        <v>1.0041121012109147</v>
      </c>
      <c r="I1184" s="1099">
        <v>0.9954190367264798</v>
      </c>
      <c r="K1184">
        <v>1.7899904965604989</v>
      </c>
      <c r="L1184">
        <v>0</v>
      </c>
      <c r="M1184">
        <v>1.3950897739819061E-3</v>
      </c>
      <c r="N1184">
        <v>0.12930829846320749</v>
      </c>
      <c r="O1184">
        <v>0.13144632505078019</v>
      </c>
      <c r="P1184">
        <v>1.8996691930923525E-2</v>
      </c>
      <c r="Q1184">
        <v>9.0588276476804089E-4</v>
      </c>
      <c r="R1184">
        <v>1.3915424559813661E-3</v>
      </c>
      <c r="S1184">
        <v>0.10939324705844196</v>
      </c>
      <c r="T1184">
        <v>1.0693271192119327</v>
      </c>
      <c r="U1184">
        <v>0</v>
      </c>
      <c r="V1184">
        <v>0.21133931867998615</v>
      </c>
      <c r="W1184">
        <v>8.4820886811045729E-2</v>
      </c>
      <c r="X1184">
        <v>3.0668954064077256E-2</v>
      </c>
      <c r="Y1184">
        <v>3.787319843333949E-3</v>
      </c>
    </row>
    <row r="1185" spans="1:25" x14ac:dyDescent="0.25">
      <c r="A1185" s="1095"/>
      <c r="B1185" s="1454">
        <v>935</v>
      </c>
      <c r="C1185" s="1099">
        <v>0.99412980670909834</v>
      </c>
      <c r="D1185" s="1099">
        <v>1.0180471892044629</v>
      </c>
      <c r="E1185" s="1099">
        <v>1.0111657879461982</v>
      </c>
      <c r="F1185" s="1099">
        <v>0.97705835853958556</v>
      </c>
      <c r="G1185" s="1099">
        <v>0.99273314348360386</v>
      </c>
      <c r="H1185" s="1099">
        <v>0.99147062084160309</v>
      </c>
      <c r="I1185" s="1099">
        <v>0.99058801210917025</v>
      </c>
      <c r="K1185">
        <v>1.705881009878363</v>
      </c>
      <c r="L1185">
        <v>0</v>
      </c>
      <c r="M1185">
        <v>1.3228141373209205E-3</v>
      </c>
      <c r="N1185">
        <v>0.12585162244773085</v>
      </c>
      <c r="O1185">
        <v>0.12528634822534077</v>
      </c>
      <c r="P1185">
        <v>1.8161011551820594E-2</v>
      </c>
      <c r="Q1185">
        <v>9.0807891338752077E-4</v>
      </c>
      <c r="R1185">
        <v>1.319352786878867E-3</v>
      </c>
      <c r="S1185">
        <v>0.10566447596135706</v>
      </c>
      <c r="T1185">
        <v>1.0070786359493025</v>
      </c>
      <c r="U1185">
        <v>0</v>
      </c>
      <c r="V1185">
        <v>0.20764863484277774</v>
      </c>
      <c r="W1185">
        <v>8.2131505537796134E-2</v>
      </c>
      <c r="X1185">
        <v>2.9563314437933853E-2</v>
      </c>
      <c r="Y1185">
        <v>3.5908433613549696E-3</v>
      </c>
    </row>
    <row r="1186" spans="1:25" x14ac:dyDescent="0.25">
      <c r="A1186" s="1095"/>
      <c r="B1186" s="1454">
        <v>936</v>
      </c>
      <c r="C1186" s="1099">
        <v>1.0030544725110939</v>
      </c>
      <c r="D1186" s="1099">
        <v>1.0072584809796727</v>
      </c>
      <c r="E1186" s="1099">
        <v>0.97051127977675311</v>
      </c>
      <c r="F1186" s="1099">
        <v>0.99162067844424495</v>
      </c>
      <c r="G1186" s="1099">
        <v>1.0010543150328928</v>
      </c>
      <c r="H1186" s="1099">
        <v>0.98906668670447118</v>
      </c>
      <c r="I1186" s="1099">
        <v>0.99486727446918044</v>
      </c>
      <c r="K1186">
        <v>1.715876731924816</v>
      </c>
      <c r="L1186">
        <v>0</v>
      </c>
      <c r="M1186">
        <v>1.4346035803426253E-3</v>
      </c>
      <c r="N1186">
        <v>0.12070217415866727</v>
      </c>
      <c r="O1186">
        <v>0.12625756590783493</v>
      </c>
      <c r="P1186">
        <v>1.7839995494854221E-2</v>
      </c>
      <c r="Q1186">
        <v>8.6635698301547326E-4</v>
      </c>
      <c r="R1186">
        <v>1.4308556969431529E-3</v>
      </c>
      <c r="S1186">
        <v>0.1057736647274445</v>
      </c>
      <c r="T1186">
        <v>1.0232978219336974</v>
      </c>
      <c r="U1186">
        <v>0</v>
      </c>
      <c r="V1186">
        <v>0.20826044138235969</v>
      </c>
      <c r="W1186">
        <v>8.071172886223707E-2</v>
      </c>
      <c r="X1186">
        <v>2.8276412832477144E-2</v>
      </c>
      <c r="Y1186">
        <v>3.8943175256255314E-3</v>
      </c>
    </row>
    <row r="1187" spans="1:25" x14ac:dyDescent="0.25">
      <c r="A1187" s="1095"/>
      <c r="B1187" s="1454">
        <v>937</v>
      </c>
      <c r="C1187" s="1099">
        <v>1.0170353700711379</v>
      </c>
      <c r="D1187" s="1099">
        <v>0.96761913640115094</v>
      </c>
      <c r="E1187" s="1099">
        <v>0.96497089102783251</v>
      </c>
      <c r="F1187" s="1099">
        <v>1.0301553943884407</v>
      </c>
      <c r="G1187" s="1099">
        <v>1.0024714180115373</v>
      </c>
      <c r="H1187" s="1099">
        <v>1.0004317152756841</v>
      </c>
      <c r="I1187" s="1099">
        <v>1.000086422656264</v>
      </c>
      <c r="K1187">
        <v>1.7705695624664721</v>
      </c>
      <c r="L1187">
        <v>0</v>
      </c>
      <c r="M1187">
        <v>1.4889170035762673E-3</v>
      </c>
      <c r="N1187">
        <v>0.12319506430060541</v>
      </c>
      <c r="O1187">
        <v>0.13027976017679216</v>
      </c>
      <c r="P1187">
        <v>1.8360320531976098E-2</v>
      </c>
      <c r="Q1187">
        <v>8.6322056747223873E-4</v>
      </c>
      <c r="R1187">
        <v>1.4851176060733664E-3</v>
      </c>
      <c r="S1187">
        <v>0.10860369230384415</v>
      </c>
      <c r="T1187">
        <v>1.0632386919139729</v>
      </c>
      <c r="U1187">
        <v>0</v>
      </c>
      <c r="V1187">
        <v>0.21036763283377868</v>
      </c>
      <c r="W1187">
        <v>8.265744304306305E-2</v>
      </c>
      <c r="X1187">
        <v>2.8965535637626869E-2</v>
      </c>
      <c r="Y1187">
        <v>4.0420005548444356E-3</v>
      </c>
    </row>
    <row r="1188" spans="1:25" x14ac:dyDescent="0.25">
      <c r="A1188" s="1095"/>
      <c r="B1188" s="1454">
        <v>938</v>
      </c>
      <c r="C1188" s="1099">
        <v>0.98407678393261588</v>
      </c>
      <c r="D1188" s="1099">
        <v>1.0261867952598673</v>
      </c>
      <c r="E1188" s="1099">
        <v>0.98280843715486121</v>
      </c>
      <c r="F1188" s="1099">
        <v>1.0181044677080422</v>
      </c>
      <c r="G1188" s="1099">
        <v>1.0019769654196164</v>
      </c>
      <c r="H1188" s="1099">
        <v>1.0058517753854743</v>
      </c>
      <c r="I1188" s="1099">
        <v>1.0403531352224031</v>
      </c>
      <c r="K1188">
        <v>1.7632710681068169</v>
      </c>
      <c r="L1188">
        <v>0</v>
      </c>
      <c r="M1188">
        <v>1.4349455849853902E-3</v>
      </c>
      <c r="N1188">
        <v>0.12531331037775584</v>
      </c>
      <c r="O1188">
        <v>0.12843882269565876</v>
      </c>
      <c r="P1188">
        <v>1.849858976716157E-2</v>
      </c>
      <c r="Q1188">
        <v>8.8790169120261833E-4</v>
      </c>
      <c r="R1188">
        <v>1.4312489196436017E-3</v>
      </c>
      <c r="S1188">
        <v>0.11274569507750701</v>
      </c>
      <c r="T1188">
        <v>1.0502467303126255</v>
      </c>
      <c r="U1188">
        <v>0</v>
      </c>
      <c r="V1188">
        <v>0.21077726700016453</v>
      </c>
      <c r="W1188">
        <v>8.3173584908765863E-2</v>
      </c>
      <c r="X1188">
        <v>2.9297475193126869E-2</v>
      </c>
      <c r="Y1188">
        <v>3.8953877481903263E-3</v>
      </c>
    </row>
    <row r="1189" spans="1:25" x14ac:dyDescent="0.25">
      <c r="A1189" s="1095"/>
      <c r="B1189" s="1454">
        <v>939</v>
      </c>
      <c r="C1189" s="1099">
        <v>1.0102588012534843</v>
      </c>
      <c r="D1189" s="1099">
        <v>1.0095030810259249</v>
      </c>
      <c r="E1189" s="1099">
        <v>1.0137256771805139</v>
      </c>
      <c r="F1189" s="1099">
        <v>1.0050829125739933</v>
      </c>
      <c r="G1189" s="1099">
        <v>1.0038805822211383</v>
      </c>
      <c r="H1189" s="1099">
        <v>0.96904763031357399</v>
      </c>
      <c r="I1189" s="1099">
        <v>0.99390548283771507</v>
      </c>
      <c r="K1189">
        <v>1.7301401154593583</v>
      </c>
      <c r="L1189">
        <v>0</v>
      </c>
      <c r="M1189">
        <v>1.2765783635210715E-3</v>
      </c>
      <c r="N1189">
        <v>0.12238919279771301</v>
      </c>
      <c r="O1189">
        <v>0.12697696413395554</v>
      </c>
      <c r="P1189">
        <v>1.8576225432023259E-2</v>
      </c>
      <c r="Q1189">
        <v>8.989658758060266E-4</v>
      </c>
      <c r="R1189">
        <v>1.2731789060839132E-3</v>
      </c>
      <c r="S1189">
        <v>0.10359370706953304</v>
      </c>
      <c r="T1189">
        <v>1.0358887156902106</v>
      </c>
      <c r="U1189">
        <v>0</v>
      </c>
      <c r="V1189">
        <v>0.20855360891491662</v>
      </c>
      <c r="W1189">
        <v>7.9751659223730675E-2</v>
      </c>
      <c r="X1189">
        <v>3.0049302499858866E-2</v>
      </c>
      <c r="Y1189">
        <v>3.4651732790468193E-3</v>
      </c>
    </row>
    <row r="1190" spans="1:25" x14ac:dyDescent="0.25">
      <c r="A1190" s="1095"/>
      <c r="B1190" s="1454">
        <v>940</v>
      </c>
      <c r="C1190" s="1099">
        <v>0.9730034749931159</v>
      </c>
      <c r="D1190" s="1099">
        <v>1.011135739093816</v>
      </c>
      <c r="E1190" s="1099">
        <v>0.96998495783030991</v>
      </c>
      <c r="F1190" s="1099">
        <v>0.9897723741575668</v>
      </c>
      <c r="G1190" s="1099">
        <v>1.0180044540796072</v>
      </c>
      <c r="H1190" s="1099">
        <v>0.99650177830966402</v>
      </c>
      <c r="I1190" s="1099">
        <v>0.97961037580286148</v>
      </c>
      <c r="K1190">
        <v>1.7271740359698795</v>
      </c>
      <c r="L1190">
        <v>0</v>
      </c>
      <c r="M1190">
        <v>1.484261827565865E-3</v>
      </c>
      <c r="N1190">
        <v>0.12468270449616921</v>
      </c>
      <c r="O1190">
        <v>0.12750285445960124</v>
      </c>
      <c r="P1190">
        <v>1.787242123624699E-2</v>
      </c>
      <c r="Q1190">
        <v>8.9124848178276947E-4</v>
      </c>
      <c r="R1190">
        <v>1.4803999304613714E-3</v>
      </c>
      <c r="S1190">
        <v>0.10744413937091357</v>
      </c>
      <c r="T1190">
        <v>1.0214064229982336</v>
      </c>
      <c r="U1190">
        <v>0</v>
      </c>
      <c r="V1190">
        <v>0.21145009920576607</v>
      </c>
      <c r="W1190">
        <v>8.3400156261928121E-2</v>
      </c>
      <c r="X1190">
        <v>2.8498690759329988E-2</v>
      </c>
      <c r="Y1190">
        <v>4.0291605970099332E-3</v>
      </c>
    </row>
    <row r="1191" spans="1:25" x14ac:dyDescent="0.25">
      <c r="A1191" s="1095"/>
      <c r="B1191" s="1454">
        <v>941</v>
      </c>
      <c r="C1191" s="1099">
        <v>1.0014301499168594</v>
      </c>
      <c r="D1191" s="1099">
        <v>0.98345730028709111</v>
      </c>
      <c r="E1191" s="1099">
        <v>1.044703730284039</v>
      </c>
      <c r="F1191" s="1099">
        <v>1.0319044751686139</v>
      </c>
      <c r="G1191" s="1099">
        <v>0.98115276836418286</v>
      </c>
      <c r="H1191" s="1099">
        <v>0.99365317003738363</v>
      </c>
      <c r="I1191" s="1099">
        <v>0.98812132437506572</v>
      </c>
      <c r="K1191">
        <v>1.7847082521496733</v>
      </c>
      <c r="L1191">
        <v>0</v>
      </c>
      <c r="M1191">
        <v>1.2591904918905306E-3</v>
      </c>
      <c r="N1191">
        <v>0.13255078155982158</v>
      </c>
      <c r="O1191">
        <v>0.13079554363015192</v>
      </c>
      <c r="P1191">
        <v>1.9457509196969407E-2</v>
      </c>
      <c r="Q1191">
        <v>9.4586786068766196E-4</v>
      </c>
      <c r="R1191">
        <v>1.2559416273980064E-3</v>
      </c>
      <c r="S1191">
        <v>0.10747142204930848</v>
      </c>
      <c r="T1191">
        <v>1.0626097507903822</v>
      </c>
      <c r="U1191">
        <v>0</v>
      </c>
      <c r="V1191">
        <v>0.21046855627766742</v>
      </c>
      <c r="W1191">
        <v>8.4832918155001796E-2</v>
      </c>
      <c r="X1191">
        <v>3.2160892405443481E-2</v>
      </c>
      <c r="Y1191">
        <v>3.4182590887311712E-3</v>
      </c>
    </row>
    <row r="1192" spans="1:25" x14ac:dyDescent="0.25">
      <c r="A1192" s="1095"/>
      <c r="B1192" s="1454">
        <v>942</v>
      </c>
      <c r="C1192" s="1099">
        <v>1.0181081414157085</v>
      </c>
      <c r="D1192" s="1099">
        <v>0.98737142358999086</v>
      </c>
      <c r="E1192" s="1099">
        <v>0.98687740108084787</v>
      </c>
      <c r="F1192" s="1099">
        <v>1.0106795710596546</v>
      </c>
      <c r="G1192" s="1099">
        <v>0.98685243428403024</v>
      </c>
      <c r="H1192" s="1099">
        <v>0.95483318658769156</v>
      </c>
      <c r="I1192" s="1099">
        <v>0.9686824419425647</v>
      </c>
      <c r="K1192">
        <v>1.7276240997481322</v>
      </c>
      <c r="L1192">
        <v>0</v>
      </c>
      <c r="M1192">
        <v>1.3385219493813325E-3</v>
      </c>
      <c r="N1192">
        <v>0.11832685271044015</v>
      </c>
      <c r="O1192">
        <v>0.12791031674661585</v>
      </c>
      <c r="P1192">
        <v>1.8248940092944803E-2</v>
      </c>
      <c r="Q1192">
        <v>8.7527668434318458E-4</v>
      </c>
      <c r="R1192">
        <v>1.3349237377793981E-3</v>
      </c>
      <c r="S1192">
        <v>0.10064595711789655</v>
      </c>
      <c r="T1192">
        <v>1.0424633158759431</v>
      </c>
      <c r="U1192">
        <v>0</v>
      </c>
      <c r="V1192">
        <v>0.20796255712994111</v>
      </c>
      <c r="W1192">
        <v>7.8344512614458059E-2</v>
      </c>
      <c r="X1192">
        <v>2.9216746630404571E-2</v>
      </c>
      <c r="Y1192">
        <v>3.6332223567436305E-3</v>
      </c>
    </row>
    <row r="1193" spans="1:25" x14ac:dyDescent="0.25">
      <c r="A1193" s="1095"/>
      <c r="B1193" s="1454">
        <v>943</v>
      </c>
      <c r="C1193" s="1099">
        <v>1.0000185153488867</v>
      </c>
      <c r="D1193" s="1099">
        <v>1.0138142248422308</v>
      </c>
      <c r="E1193" s="1099">
        <v>1.0153514697978163</v>
      </c>
      <c r="F1193" s="1099">
        <v>1.0105760458656727</v>
      </c>
      <c r="G1193" s="1099">
        <v>1.0034304749556249</v>
      </c>
      <c r="H1193" s="1099">
        <v>0.97137820895368776</v>
      </c>
      <c r="I1193" s="1099">
        <v>1.0123500932758651</v>
      </c>
      <c r="K1193">
        <v>1.743016184323201</v>
      </c>
      <c r="L1193">
        <v>0</v>
      </c>
      <c r="M1193">
        <v>1.28469057316373E-3</v>
      </c>
      <c r="N1193">
        <v>0.12377315959580605</v>
      </c>
      <c r="O1193">
        <v>0.12773116755983485</v>
      </c>
      <c r="P1193">
        <v>1.8729235889309581E-2</v>
      </c>
      <c r="Q1193">
        <v>9.0814236870630563E-4</v>
      </c>
      <c r="R1193">
        <v>1.2812737222357002E-3</v>
      </c>
      <c r="S1193">
        <v>0.10645773707708588</v>
      </c>
      <c r="T1193">
        <v>1.0415020819153284</v>
      </c>
      <c r="U1193">
        <v>0</v>
      </c>
      <c r="V1193">
        <v>0.20955275608218488</v>
      </c>
      <c r="W1193">
        <v>8.0576475223636826E-2</v>
      </c>
      <c r="X1193">
        <v>3.0301640762079331E-2</v>
      </c>
      <c r="Y1193">
        <v>3.4872047001565563E-3</v>
      </c>
    </row>
    <row r="1194" spans="1:25" x14ac:dyDescent="0.25">
      <c r="A1194" s="1095"/>
      <c r="B1194" s="1454">
        <v>944</v>
      </c>
      <c r="C1194" s="1099">
        <v>0.95572347974302563</v>
      </c>
      <c r="D1194" s="1099">
        <v>0.98362567274192325</v>
      </c>
      <c r="E1194" s="1099">
        <v>1.0062945140671258</v>
      </c>
      <c r="F1194" s="1099">
        <v>0.97578133679712131</v>
      </c>
      <c r="G1194" s="1099">
        <v>0.97864141285357875</v>
      </c>
      <c r="H1194" s="1099">
        <v>1.0031728697683973</v>
      </c>
      <c r="I1194" s="1099">
        <v>1.0188059388836204</v>
      </c>
      <c r="K1194">
        <v>1.7370488744712731</v>
      </c>
      <c r="L1194">
        <v>0</v>
      </c>
      <c r="M1194">
        <v>1.4299045767874087E-3</v>
      </c>
      <c r="N1194">
        <v>0.13405901963275699</v>
      </c>
      <c r="O1194">
        <v>0.12875475656774946</v>
      </c>
      <c r="P1194">
        <v>1.8272132759375913E-2</v>
      </c>
      <c r="Q1194">
        <v>9.5285405651992757E-4</v>
      </c>
      <c r="R1194">
        <v>1.4262171290030077E-3</v>
      </c>
      <c r="S1194">
        <v>0.11606434061809751</v>
      </c>
      <c r="T1194">
        <v>1.0059024451856755</v>
      </c>
      <c r="U1194">
        <v>0</v>
      </c>
      <c r="V1194">
        <v>0.21129598397888355</v>
      </c>
      <c r="W1194">
        <v>8.7739620910793972E-2</v>
      </c>
      <c r="X1194">
        <v>3.0129715336408024E-2</v>
      </c>
      <c r="Y1194">
        <v>3.8816928727959665E-3</v>
      </c>
    </row>
    <row r="1195" spans="1:25" x14ac:dyDescent="0.25">
      <c r="A1195" s="1095"/>
      <c r="B1195" s="1454">
        <v>945</v>
      </c>
      <c r="C1195" s="1099">
        <v>1.0068626442908288</v>
      </c>
      <c r="D1195" s="1099">
        <v>1.0375825259875799</v>
      </c>
      <c r="E1195" s="1099">
        <v>0.98122451558338819</v>
      </c>
      <c r="F1195" s="1099">
        <v>1.0039050543273071</v>
      </c>
      <c r="G1195" s="1099">
        <v>0.98729925096903859</v>
      </c>
      <c r="H1195" s="1099">
        <v>1.0125377324911091</v>
      </c>
      <c r="I1195" s="1099">
        <v>1.0176855853975044</v>
      </c>
      <c r="K1195">
        <v>1.7311345442928563</v>
      </c>
      <c r="L1195">
        <v>0</v>
      </c>
      <c r="M1195">
        <v>1.4081383707283061E-3</v>
      </c>
      <c r="N1195">
        <v>0.12238604021985999</v>
      </c>
      <c r="O1195">
        <v>0.1256837540388584</v>
      </c>
      <c r="P1195">
        <v>1.8160424142065718E-2</v>
      </c>
      <c r="Q1195">
        <v>8.6255155253334083E-4</v>
      </c>
      <c r="R1195">
        <v>1.4045294838790101E-3</v>
      </c>
      <c r="S1195">
        <v>0.10756437008613118</v>
      </c>
      <c r="T1195">
        <v>1.0356471538265521</v>
      </c>
      <c r="U1195">
        <v>0</v>
      </c>
      <c r="V1195">
        <v>0.20706740803704698</v>
      </c>
      <c r="W1195">
        <v>8.1308285080761433E-2</v>
      </c>
      <c r="X1195">
        <v>2.863549994379596E-2</v>
      </c>
      <c r="Y1195">
        <v>3.8226662520987392E-3</v>
      </c>
    </row>
    <row r="1196" spans="1:25" x14ac:dyDescent="0.25">
      <c r="A1196" s="1095"/>
      <c r="B1196" s="1454">
        <v>946</v>
      </c>
      <c r="C1196" s="1099">
        <v>1.018422684612081</v>
      </c>
      <c r="D1196" s="1099">
        <v>0.96602366148252006</v>
      </c>
      <c r="E1196" s="1099">
        <v>1.025098052742941</v>
      </c>
      <c r="F1196" s="1099">
        <v>0.97382521452553672</v>
      </c>
      <c r="G1196" s="1099">
        <v>0.96640584428461795</v>
      </c>
      <c r="H1196" s="1099">
        <v>1.0123747195418407</v>
      </c>
      <c r="I1196" s="1099">
        <v>0.98644301625004194</v>
      </c>
      <c r="K1196">
        <v>1.7124224070931429</v>
      </c>
      <c r="L1196">
        <v>0</v>
      </c>
      <c r="M1196">
        <v>1.3231911137446776E-3</v>
      </c>
      <c r="N1196">
        <v>0.13130313400413163</v>
      </c>
      <c r="O1196">
        <v>0.12623008354004597</v>
      </c>
      <c r="P1196">
        <v>1.8297880348394021E-2</v>
      </c>
      <c r="Q1196">
        <v>9.1825635285756153E-4</v>
      </c>
      <c r="R1196">
        <v>1.319839246944892E-3</v>
      </c>
      <c r="S1196">
        <v>0.10767742338271408</v>
      </c>
      <c r="T1196">
        <v>1.0033501300710024</v>
      </c>
      <c r="U1196">
        <v>0</v>
      </c>
      <c r="V1196">
        <v>0.20577933953722577</v>
      </c>
      <c r="W1196">
        <v>8.4992547476282834E-2</v>
      </c>
      <c r="X1196">
        <v>3.0284796901994347E-2</v>
      </c>
      <c r="Y1196">
        <v>3.5921673452931724E-3</v>
      </c>
    </row>
    <row r="1197" spans="1:25" x14ac:dyDescent="0.25">
      <c r="A1197" s="1095"/>
      <c r="B1197" s="1454">
        <v>947</v>
      </c>
      <c r="C1197" s="1099">
        <v>0.98864101093659584</v>
      </c>
      <c r="D1197" s="1099">
        <v>1.0243119651902131</v>
      </c>
      <c r="E1197" s="1099">
        <v>0.97685579414338886</v>
      </c>
      <c r="F1197" s="1099">
        <v>0.99995807580149465</v>
      </c>
      <c r="G1197" s="1099">
        <v>0.99274745093142081</v>
      </c>
      <c r="H1197" s="1099">
        <v>0.99958144250219094</v>
      </c>
      <c r="I1197" s="1099">
        <v>1.0338992517415062</v>
      </c>
      <c r="K1197">
        <v>1.735668455809966</v>
      </c>
      <c r="L1197">
        <v>0</v>
      </c>
      <c r="M1197">
        <v>1.4368889408396374E-3</v>
      </c>
      <c r="N1197">
        <v>0.12324093740073712</v>
      </c>
      <c r="O1197">
        <v>0.12689137589896859</v>
      </c>
      <c r="P1197">
        <v>1.8121302661166037E-2</v>
      </c>
      <c r="Q1197">
        <v>8.7894871132159326E-4</v>
      </c>
      <c r="R1197">
        <v>1.4331610459019039E-3</v>
      </c>
      <c r="S1197">
        <v>0.11110981458383741</v>
      </c>
      <c r="T1197">
        <v>1.0317079736207471</v>
      </c>
      <c r="U1197">
        <v>0</v>
      </c>
      <c r="V1197">
        <v>0.20903163819312587</v>
      </c>
      <c r="W1197">
        <v>8.2092678235436575E-2</v>
      </c>
      <c r="X1197">
        <v>2.8696922474027619E-2</v>
      </c>
      <c r="Y1197">
        <v>3.9005919255331711E-3</v>
      </c>
    </row>
    <row r="1198" spans="1:25" x14ac:dyDescent="0.25">
      <c r="A1198" s="1095"/>
      <c r="B1198" s="1454">
        <v>948</v>
      </c>
      <c r="C1198" s="1099">
        <v>1.0007717249550436</v>
      </c>
      <c r="D1198" s="1099">
        <v>0.99529236000964449</v>
      </c>
      <c r="E1198" s="1099">
        <v>1.0376910664694998</v>
      </c>
      <c r="F1198" s="1099">
        <v>1.017238729433432</v>
      </c>
      <c r="G1198" s="1099">
        <v>0.98201385361824267</v>
      </c>
      <c r="H1198" s="1099">
        <v>1.0024098235053991</v>
      </c>
      <c r="I1198" s="1099">
        <v>1.0089230123662509</v>
      </c>
      <c r="K1198">
        <v>1.7674235735115009</v>
      </c>
      <c r="L1198">
        <v>0</v>
      </c>
      <c r="M1198">
        <v>1.2791380209759467E-3</v>
      </c>
      <c r="N1198">
        <v>0.13183798659185508</v>
      </c>
      <c r="O1198">
        <v>0.12913495037833195</v>
      </c>
      <c r="P1198">
        <v>1.916461116484432E-2</v>
      </c>
      <c r="Q1198">
        <v>9.3529486136483659E-4</v>
      </c>
      <c r="R1198">
        <v>1.2758548316306806E-3</v>
      </c>
      <c r="S1198">
        <v>0.10951279048149141</v>
      </c>
      <c r="T1198">
        <v>1.0477109817134203</v>
      </c>
      <c r="U1198">
        <v>0</v>
      </c>
      <c r="V1198">
        <v>0.20941814848017157</v>
      </c>
      <c r="W1198">
        <v>8.4717885156801551E-2</v>
      </c>
      <c r="X1198">
        <v>3.1521751606296874E-2</v>
      </c>
      <c r="Y1198">
        <v>3.4724562662665007E-3</v>
      </c>
    </row>
    <row r="1199" spans="1:25" x14ac:dyDescent="0.25">
      <c r="A1199" s="1095"/>
      <c r="B1199" s="1454">
        <v>949</v>
      </c>
      <c r="C1199" s="1099">
        <v>0.97019607661574325</v>
      </c>
      <c r="D1199" s="1099">
        <v>1.0066888438712889</v>
      </c>
      <c r="E1199" s="1099">
        <v>0.9617815613644245</v>
      </c>
      <c r="F1199" s="1099">
        <v>1.0144783122826999</v>
      </c>
      <c r="G1199" s="1099">
        <v>1.0182748421127992</v>
      </c>
      <c r="H1199" s="1099">
        <v>0.98210377695499373</v>
      </c>
      <c r="I1199" s="1099">
        <v>0.99303652437344392</v>
      </c>
      <c r="K1199">
        <v>1.7557663092278548</v>
      </c>
      <c r="L1199">
        <v>0</v>
      </c>
      <c r="M1199">
        <v>1.4988172890352798E-3</v>
      </c>
      <c r="N1199">
        <v>0.12281183687503654</v>
      </c>
      <c r="O1199">
        <v>0.12970712523438216</v>
      </c>
      <c r="P1199">
        <v>1.8138898553027551E-2</v>
      </c>
      <c r="Q1199">
        <v>8.8768212568442889E-4</v>
      </c>
      <c r="R1199">
        <v>1.4948711591439385E-3</v>
      </c>
      <c r="S1199">
        <v>0.10862638490324467</v>
      </c>
      <c r="T1199">
        <v>1.0471578686236804</v>
      </c>
      <c r="U1199">
        <v>0</v>
      </c>
      <c r="V1199">
        <v>0.21311601968194083</v>
      </c>
      <c r="W1199">
        <v>8.2561268611741373E-2</v>
      </c>
      <c r="X1199">
        <v>2.8694624237961836E-2</v>
      </c>
      <c r="Y1199">
        <v>4.0685465110446278E-3</v>
      </c>
    </row>
    <row r="1200" spans="1:25" x14ac:dyDescent="0.25">
      <c r="A1200" s="1095"/>
      <c r="B1200" s="1454">
        <v>950</v>
      </c>
      <c r="C1200" s="1099">
        <v>0.99267951618787631</v>
      </c>
      <c r="D1200" s="1099">
        <v>0.98156067051182161</v>
      </c>
      <c r="E1200" s="1099">
        <v>0.9813612597561896</v>
      </c>
      <c r="F1200" s="1099">
        <v>1.0257539775201618</v>
      </c>
      <c r="G1200" s="1099">
        <v>0.99765070351813279</v>
      </c>
      <c r="H1200" s="1099">
        <v>0.97448221416553238</v>
      </c>
      <c r="I1200" s="1099">
        <v>1.0370020361372281</v>
      </c>
      <c r="K1200">
        <v>1.7712648386626069</v>
      </c>
      <c r="L1200">
        <v>0</v>
      </c>
      <c r="M1200">
        <v>1.4209218088525241E-3</v>
      </c>
      <c r="N1200">
        <v>0.12353948305984137</v>
      </c>
      <c r="O1200">
        <v>0.13062156864468641</v>
      </c>
      <c r="P1200">
        <v>1.8589610638644876E-2</v>
      </c>
      <c r="Q1200">
        <v>8.9464475611865781E-4</v>
      </c>
      <c r="R1200">
        <v>1.4171802394231851E-3</v>
      </c>
      <c r="S1200">
        <v>0.1122933704186557</v>
      </c>
      <c r="T1200">
        <v>1.0581826620004322</v>
      </c>
      <c r="U1200">
        <v>0</v>
      </c>
      <c r="V1200">
        <v>0.21156958128606695</v>
      </c>
      <c r="W1200">
        <v>8.2067815756526427E-2</v>
      </c>
      <c r="X1200">
        <v>2.9652746232694222E-2</v>
      </c>
      <c r="Y1200">
        <v>3.8570974383695398E-3</v>
      </c>
    </row>
    <row r="1201" spans="1:25" x14ac:dyDescent="0.25">
      <c r="A1201" s="1095"/>
      <c r="B1201" s="1454">
        <v>951</v>
      </c>
      <c r="C1201" s="1099">
        <v>1.0051551840911344</v>
      </c>
      <c r="D1201" s="1099">
        <v>1.008367524092465</v>
      </c>
      <c r="E1201" s="1099">
        <v>0.9637582499873677</v>
      </c>
      <c r="F1201" s="1099">
        <v>0.99982217736095247</v>
      </c>
      <c r="G1201" s="1099">
        <v>1.0177297172618089</v>
      </c>
      <c r="H1201" s="1099">
        <v>1.0079496522210658</v>
      </c>
      <c r="I1201" s="1099">
        <v>1.0071015482789822</v>
      </c>
      <c r="K1201">
        <v>1.730902349363121</v>
      </c>
      <c r="L1201">
        <v>0</v>
      </c>
      <c r="M1201">
        <v>1.4797564368740446E-3</v>
      </c>
      <c r="N1201">
        <v>0.12198696075333665</v>
      </c>
      <c r="O1201">
        <v>0.12669499160743991</v>
      </c>
      <c r="P1201">
        <v>1.7907517484019423E-2</v>
      </c>
      <c r="Q1201">
        <v>8.5802988839683814E-4</v>
      </c>
      <c r="R1201">
        <v>1.4759655733291763E-3</v>
      </c>
      <c r="S1201">
        <v>0.10814239800105924</v>
      </c>
      <c r="T1201">
        <v>1.0319686617079815</v>
      </c>
      <c r="U1201">
        <v>0</v>
      </c>
      <c r="V1201">
        <v>0.20926751275930316</v>
      </c>
      <c r="W1201">
        <v>8.1907569761673779E-2</v>
      </c>
      <c r="X1201">
        <v>2.8155406524772827E-2</v>
      </c>
      <c r="Y1201">
        <v>4.017091738681533E-3</v>
      </c>
    </row>
    <row r="1202" spans="1:25" x14ac:dyDescent="0.25">
      <c r="A1202" s="1095"/>
      <c r="B1202" s="1454">
        <v>952</v>
      </c>
      <c r="C1202" s="1099">
        <v>1.0011507486824562</v>
      </c>
      <c r="D1202" s="1099">
        <v>1.0233096073155856</v>
      </c>
      <c r="E1202" s="1099">
        <v>0.95432432218893826</v>
      </c>
      <c r="F1202" s="1099">
        <v>0.99736215955465857</v>
      </c>
      <c r="G1202" s="1099">
        <v>1.0019580179924623</v>
      </c>
      <c r="H1202" s="1099">
        <v>0.99716867416424293</v>
      </c>
      <c r="I1202" s="1099">
        <v>1.0230686803100646</v>
      </c>
      <c r="K1202">
        <v>1.72204609566434</v>
      </c>
      <c r="L1202">
        <v>0</v>
      </c>
      <c r="M1202">
        <v>1.4849088889509695E-3</v>
      </c>
      <c r="N1202">
        <v>0.11895743441872231</v>
      </c>
      <c r="O1202">
        <v>0.12600890864834308</v>
      </c>
      <c r="P1202">
        <v>1.77386658200143E-2</v>
      </c>
      <c r="Q1202">
        <v>8.4788828739924664E-4</v>
      </c>
      <c r="R1202">
        <v>1.4810509113246716E-3</v>
      </c>
      <c r="S1202">
        <v>0.10848532183413784</v>
      </c>
      <c r="T1202">
        <v>1.0297207851408263</v>
      </c>
      <c r="U1202">
        <v>0</v>
      </c>
      <c r="V1202">
        <v>0.20824891057217051</v>
      </c>
      <c r="W1202">
        <v>8.0337382805507979E-2</v>
      </c>
      <c r="X1202">
        <v>2.7673723762519972E-2</v>
      </c>
      <c r="Y1202">
        <v>4.0309323523240528E-3</v>
      </c>
    </row>
    <row r="1203" spans="1:25" x14ac:dyDescent="0.25">
      <c r="A1203" s="1095"/>
      <c r="B1203" s="1454">
        <v>953</v>
      </c>
      <c r="C1203" s="1099">
        <v>0.98810959804000909</v>
      </c>
      <c r="D1203" s="1099">
        <v>1.0038874143407714</v>
      </c>
      <c r="E1203" s="1099">
        <v>1.0132480033734546</v>
      </c>
      <c r="F1203" s="1099">
        <v>0.98545526772222214</v>
      </c>
      <c r="G1203" s="1099">
        <v>1.0116806906957527</v>
      </c>
      <c r="H1203" s="1099">
        <v>0.99782443664060461</v>
      </c>
      <c r="I1203" s="1099">
        <v>0.98843658311100102</v>
      </c>
      <c r="K1203">
        <v>1.7255892242194875</v>
      </c>
      <c r="L1203">
        <v>0</v>
      </c>
      <c r="M1203">
        <v>1.3449371182918685E-3</v>
      </c>
      <c r="N1203">
        <v>0.12876625575288464</v>
      </c>
      <c r="O1203">
        <v>0.12687858654055822</v>
      </c>
      <c r="P1203">
        <v>1.8363629527035932E-2</v>
      </c>
      <c r="Q1203">
        <v>9.2071716072268997E-4</v>
      </c>
      <c r="R1203">
        <v>1.3414502351040472E-3</v>
      </c>
      <c r="S1203">
        <v>0.10745922777344628</v>
      </c>
      <c r="T1203">
        <v>1.0156732879885775</v>
      </c>
      <c r="U1203">
        <v>0</v>
      </c>
      <c r="V1203">
        <v>0.20994024441732326</v>
      </c>
      <c r="W1203">
        <v>8.3930675372181851E-2</v>
      </c>
      <c r="X1203">
        <v>3.0009101238940853E-2</v>
      </c>
      <c r="Y1203">
        <v>3.6509853310020607E-3</v>
      </c>
    </row>
    <row r="1204" spans="1:25" x14ac:dyDescent="0.25">
      <c r="A1204" s="1095"/>
      <c r="B1204" s="1454">
        <v>954</v>
      </c>
      <c r="C1204" s="1099">
        <v>0.985461894141343</v>
      </c>
      <c r="D1204" s="1099">
        <v>1.0088763373370684</v>
      </c>
      <c r="E1204" s="1099">
        <v>1.0052259682328857</v>
      </c>
      <c r="F1204" s="1099">
        <v>0.99910746189764099</v>
      </c>
      <c r="G1204" s="1099">
        <v>0.98268863495972936</v>
      </c>
      <c r="H1204" s="1099">
        <v>0.99475718859592488</v>
      </c>
      <c r="I1204" s="1099">
        <v>0.97122810957456784</v>
      </c>
      <c r="K1204">
        <v>1.7364196179440181</v>
      </c>
      <c r="L1204">
        <v>0</v>
      </c>
      <c r="M1204">
        <v>1.364356956562926E-3</v>
      </c>
      <c r="N1204">
        <v>0.12749880675531503</v>
      </c>
      <c r="O1204">
        <v>0.12780011641362118</v>
      </c>
      <c r="P1204">
        <v>1.841389760808005E-2</v>
      </c>
      <c r="Q1204">
        <v>9.1376791537426934E-4</v>
      </c>
      <c r="R1204">
        <v>1.3608089980373442E-3</v>
      </c>
      <c r="S1204">
        <v>0.10539210000184264</v>
      </c>
      <c r="T1204">
        <v>1.0299801709955771</v>
      </c>
      <c r="U1204">
        <v>0</v>
      </c>
      <c r="V1204">
        <v>0.20930945821548663</v>
      </c>
      <c r="W1204">
        <v>8.3498831531628459E-2</v>
      </c>
      <c r="X1204">
        <v>2.9912342963524713E-2</v>
      </c>
      <c r="Y1204">
        <v>3.7036735020920092E-3</v>
      </c>
    </row>
    <row r="1205" spans="1:25" x14ac:dyDescent="0.25">
      <c r="A1205" s="1095"/>
      <c r="B1205" s="1454">
        <v>955</v>
      </c>
      <c r="C1205" s="1099">
        <v>0.99178692735158536</v>
      </c>
      <c r="D1205" s="1099">
        <v>0.96351914006055184</v>
      </c>
      <c r="E1205" s="1099">
        <v>1.0104099501209882</v>
      </c>
      <c r="F1205" s="1099">
        <v>1.0002092518064183</v>
      </c>
      <c r="G1205" s="1099">
        <v>0.96978148620940341</v>
      </c>
      <c r="H1205" s="1099">
        <v>1.0027810950499687</v>
      </c>
      <c r="I1205" s="1099">
        <v>0.99161495186950432</v>
      </c>
      <c r="K1205">
        <v>1.7527514727313998</v>
      </c>
      <c r="L1205">
        <v>0</v>
      </c>
      <c r="M1205">
        <v>1.3898654395859366E-3</v>
      </c>
      <c r="N1205">
        <v>0.13193750204481336</v>
      </c>
      <c r="O1205">
        <v>0.12969360341335598</v>
      </c>
      <c r="P1205">
        <v>1.8574304090808909E-2</v>
      </c>
      <c r="Q1205">
        <v>9.2976446112597673E-4</v>
      </c>
      <c r="R1205">
        <v>1.3863130928602188E-3</v>
      </c>
      <c r="S1205">
        <v>0.11062362143299953</v>
      </c>
      <c r="T1205">
        <v>1.0309630753131593</v>
      </c>
      <c r="U1205">
        <v>0</v>
      </c>
      <c r="V1205">
        <v>0.20960771650526602</v>
      </c>
      <c r="W1205">
        <v>8.6141547067882365E-2</v>
      </c>
      <c r="X1205">
        <v>3.0510803507937417E-2</v>
      </c>
      <c r="Y1205">
        <v>3.7730872407772753E-3</v>
      </c>
    </row>
    <row r="1206" spans="1:25" x14ac:dyDescent="0.25">
      <c r="A1206" s="1095"/>
      <c r="B1206" s="1454">
        <v>956</v>
      </c>
      <c r="C1206" s="1099">
        <v>1.0266421978166875</v>
      </c>
      <c r="D1206" s="1099">
        <v>1.0453612178703726</v>
      </c>
      <c r="E1206" s="1099">
        <v>0.99451861674327546</v>
      </c>
      <c r="F1206" s="1099">
        <v>0.97585854626193635</v>
      </c>
      <c r="G1206" s="1099">
        <v>1.0291449324317223</v>
      </c>
      <c r="H1206" s="1099">
        <v>1.0010739654093701</v>
      </c>
      <c r="I1206" s="1099">
        <v>0.98637427579336034</v>
      </c>
      <c r="K1206">
        <v>1.6844925176627832</v>
      </c>
      <c r="L1206">
        <v>0</v>
      </c>
      <c r="M1206">
        <v>1.3213982766641184E-3</v>
      </c>
      <c r="N1206">
        <v>0.11955388655192792</v>
      </c>
      <c r="O1206">
        <v>0.12233402082365934</v>
      </c>
      <c r="P1206">
        <v>1.7839445282253955E-2</v>
      </c>
      <c r="Q1206">
        <v>8.5519198438957381E-4</v>
      </c>
      <c r="R1206">
        <v>1.3179652790431139E-3</v>
      </c>
      <c r="S1206">
        <v>0.10099413872861283</v>
      </c>
      <c r="T1206">
        <v>1.0063235098380297</v>
      </c>
      <c r="U1206">
        <v>0</v>
      </c>
      <c r="V1206">
        <v>0.20586324391467412</v>
      </c>
      <c r="W1206">
        <v>7.8795616273390628E-2</v>
      </c>
      <c r="X1206">
        <v>2.8349830241049347E-2</v>
      </c>
      <c r="Y1206">
        <v>3.5870670224178855E-3</v>
      </c>
    </row>
    <row r="1207" spans="1:25" x14ac:dyDescent="0.25">
      <c r="A1207" s="1095"/>
      <c r="B1207" s="1454">
        <v>957</v>
      </c>
      <c r="C1207" s="1099">
        <v>1.0037618020676595</v>
      </c>
      <c r="D1207" s="1099">
        <v>0.99317854988928067</v>
      </c>
      <c r="E1207" s="1099">
        <v>0.99709705331493514</v>
      </c>
      <c r="F1207" s="1099">
        <v>0.98240970031898434</v>
      </c>
      <c r="G1207" s="1099">
        <v>0.96456596886371948</v>
      </c>
      <c r="H1207" s="1099">
        <v>1.0016607803395712</v>
      </c>
      <c r="I1207" s="1099">
        <v>1.0058393746646384</v>
      </c>
      <c r="K1207">
        <v>1.7156847363805201</v>
      </c>
      <c r="L1207">
        <v>0</v>
      </c>
      <c r="M1207">
        <v>1.3845070968903745E-3</v>
      </c>
      <c r="N1207">
        <v>0.12624653297972691</v>
      </c>
      <c r="O1207">
        <v>0.12625941469301005</v>
      </c>
      <c r="P1207">
        <v>1.8077357653114988E-2</v>
      </c>
      <c r="Q1207">
        <v>8.9518191823838452E-4</v>
      </c>
      <c r="R1207">
        <v>1.380942287810641E-3</v>
      </c>
      <c r="S1207">
        <v>0.10867511648174778</v>
      </c>
      <c r="T1207">
        <v>1.0130035649831861</v>
      </c>
      <c r="U1207">
        <v>0</v>
      </c>
      <c r="V1207">
        <v>0.20644541061906913</v>
      </c>
      <c r="W1207">
        <v>8.3078770750866643E-2</v>
      </c>
      <c r="X1207">
        <v>2.9248481430720816E-2</v>
      </c>
      <c r="Y1207">
        <v>3.7584696799177332E-3</v>
      </c>
    </row>
    <row r="1208" spans="1:25" x14ac:dyDescent="0.25">
      <c r="A1208" s="1095"/>
      <c r="B1208" s="1454">
        <v>958</v>
      </c>
      <c r="C1208" s="1099">
        <v>1.0117957825912098</v>
      </c>
      <c r="D1208" s="1099">
        <v>0.99644346976737674</v>
      </c>
      <c r="E1208" s="1099">
        <v>0.99457530499980717</v>
      </c>
      <c r="F1208" s="1099">
        <v>0.99391818480669769</v>
      </c>
      <c r="G1208" s="1099">
        <v>1.0330690102850049</v>
      </c>
      <c r="H1208" s="1099">
        <v>0.98742256339598178</v>
      </c>
      <c r="I1208" s="1099">
        <v>0.95399770363409842</v>
      </c>
      <c r="K1208">
        <v>1.7185565694434413</v>
      </c>
      <c r="L1208">
        <v>0</v>
      </c>
      <c r="M1208">
        <v>1.3607595848696362E-3</v>
      </c>
      <c r="N1208">
        <v>0.12313483656036711</v>
      </c>
      <c r="O1208">
        <v>0.12657223560659231</v>
      </c>
      <c r="P1208">
        <v>1.814683307667897E-2</v>
      </c>
      <c r="Q1208">
        <v>8.8458781975453459E-4</v>
      </c>
      <c r="R1208">
        <v>1.3572092099963704E-3</v>
      </c>
      <c r="S1208">
        <v>0.10121575900706596</v>
      </c>
      <c r="T1208">
        <v>1.0249452614254686</v>
      </c>
      <c r="U1208">
        <v>0</v>
      </c>
      <c r="V1208">
        <v>0.20959097718852363</v>
      </c>
      <c r="W1208">
        <v>8.1153003936210347E-2</v>
      </c>
      <c r="X1208">
        <v>2.922274913193575E-2</v>
      </c>
      <c r="Y1208">
        <v>3.6938760657142869E-3</v>
      </c>
    </row>
    <row r="1209" spans="1:25" x14ac:dyDescent="0.25">
      <c r="A1209" s="1095"/>
      <c r="B1209" s="1454">
        <v>959</v>
      </c>
      <c r="C1209" s="1099">
        <v>1.0091182110619015</v>
      </c>
      <c r="D1209" s="1099">
        <v>0.97563634374301345</v>
      </c>
      <c r="E1209" s="1099">
        <v>1.0034531814749248</v>
      </c>
      <c r="F1209" s="1099">
        <v>1.0019371297025244</v>
      </c>
      <c r="G1209" s="1099">
        <v>0.99691161788034055</v>
      </c>
      <c r="H1209" s="1099">
        <v>1.0251613488787215</v>
      </c>
      <c r="I1209" s="1099">
        <v>0.98106078934069307</v>
      </c>
      <c r="K1209">
        <v>1.7487901038520135</v>
      </c>
      <c r="L1209">
        <v>0</v>
      </c>
      <c r="M1209">
        <v>1.4087461573636466E-3</v>
      </c>
      <c r="N1209">
        <v>0.13095692323160882</v>
      </c>
      <c r="O1209">
        <v>0.12832191065202431</v>
      </c>
      <c r="P1209">
        <v>1.846894812576852E-2</v>
      </c>
      <c r="Q1209">
        <v>9.0272875731994492E-4</v>
      </c>
      <c r="R1209">
        <v>1.4052216824989422E-3</v>
      </c>
      <c r="S1209">
        <v>0.1083854248364943</v>
      </c>
      <c r="T1209">
        <v>1.0329498487062481</v>
      </c>
      <c r="U1209">
        <v>0</v>
      </c>
      <c r="V1209">
        <v>0.2091435373975227</v>
      </c>
      <c r="W1209">
        <v>8.5853651209723894E-2</v>
      </c>
      <c r="X1209">
        <v>2.9986105221608796E-2</v>
      </c>
      <c r="Y1209">
        <v>3.8245501885589817E-3</v>
      </c>
    </row>
    <row r="1210" spans="1:25" x14ac:dyDescent="0.25">
      <c r="A1210" s="1095"/>
      <c r="B1210" s="1454">
        <v>960</v>
      </c>
      <c r="C1210" s="1099">
        <v>0.99178267217110827</v>
      </c>
      <c r="D1210" s="1099">
        <v>0.97645287417723603</v>
      </c>
      <c r="E1210" s="1099">
        <v>1.0116121195596477</v>
      </c>
      <c r="F1210" s="1099">
        <v>1.0109849091675487</v>
      </c>
      <c r="G1210" s="1099">
        <v>0.98944043581835939</v>
      </c>
      <c r="H1210" s="1099">
        <v>0.99130319787758958</v>
      </c>
      <c r="I1210" s="1099">
        <v>1.0224131427277865</v>
      </c>
      <c r="K1210">
        <v>1.7633548647516835</v>
      </c>
      <c r="L1210">
        <v>0</v>
      </c>
      <c r="M1210">
        <v>1.3611514503655212E-3</v>
      </c>
      <c r="N1210">
        <v>0.12967713995611088</v>
      </c>
      <c r="O1210">
        <v>0.1299131295242047</v>
      </c>
      <c r="P1210">
        <v>1.8782384172550171E-2</v>
      </c>
      <c r="Q1210">
        <v>9.2596927872584363E-4</v>
      </c>
      <c r="R1210">
        <v>1.35762680025735E-3</v>
      </c>
      <c r="S1210">
        <v>0.11235909599249151</v>
      </c>
      <c r="T1210">
        <v>1.0420343242365848</v>
      </c>
      <c r="U1210">
        <v>0</v>
      </c>
      <c r="V1210">
        <v>0.21072540968048961</v>
      </c>
      <c r="W1210">
        <v>8.4605814588701242E-2</v>
      </c>
      <c r="X1210">
        <v>3.0640109363184492E-2</v>
      </c>
      <c r="Y1210">
        <v>3.6950126087460801E-3</v>
      </c>
    </row>
    <row r="1211" spans="1:25" x14ac:dyDescent="0.25">
      <c r="A1211" s="1095"/>
      <c r="B1211" s="1454">
        <v>961</v>
      </c>
      <c r="C1211" s="1099">
        <v>0.97119693712149047</v>
      </c>
      <c r="D1211" s="1099">
        <v>1.0265922926874906</v>
      </c>
      <c r="E1211" s="1099">
        <v>0.98481654977475463</v>
      </c>
      <c r="F1211" s="1099">
        <v>1.0080303017272825</v>
      </c>
      <c r="G1211" s="1099">
        <v>0.98095775495287785</v>
      </c>
      <c r="H1211" s="1099">
        <v>0.9984559238514783</v>
      </c>
      <c r="I1211" s="1099">
        <v>0.96245412952112064</v>
      </c>
      <c r="K1211">
        <v>1.7454213093816664</v>
      </c>
      <c r="L1211">
        <v>0</v>
      </c>
      <c r="M1211">
        <v>1.4342080013294419E-3</v>
      </c>
      <c r="N1211">
        <v>0.12600892898240415</v>
      </c>
      <c r="O1211">
        <v>0.12835125688983476</v>
      </c>
      <c r="P1211">
        <v>1.8276014783760067E-2</v>
      </c>
      <c r="Q1211">
        <v>9.0142581982526743E-4</v>
      </c>
      <c r="R1211">
        <v>1.4304784314325607E-3</v>
      </c>
      <c r="S1211">
        <v>0.10502958203152725</v>
      </c>
      <c r="T1211">
        <v>1.0397933641181736</v>
      </c>
      <c r="U1211">
        <v>0</v>
      </c>
      <c r="V1211">
        <v>0.21035831326243343</v>
      </c>
      <c r="W1211">
        <v>8.3534239795353141E-2</v>
      </c>
      <c r="X1211">
        <v>2.9278622534980803E-2</v>
      </c>
      <c r="Y1211">
        <v>3.8932907332712421E-3</v>
      </c>
    </row>
    <row r="1212" spans="1:25" x14ac:dyDescent="0.25">
      <c r="A1212" s="1095"/>
      <c r="B1212" s="1454">
        <v>962</v>
      </c>
      <c r="C1212" s="1099">
        <v>1.0270436888511161</v>
      </c>
      <c r="D1212" s="1099">
        <v>1.0100793719084038</v>
      </c>
      <c r="E1212" s="1099">
        <v>0.99520992784125195</v>
      </c>
      <c r="F1212" s="1099">
        <v>0.99281557440519974</v>
      </c>
      <c r="G1212" s="1099">
        <v>0.98929262717821809</v>
      </c>
      <c r="H1212" s="1099">
        <v>1.0307962532394634</v>
      </c>
      <c r="I1212" s="1099">
        <v>0.97900287008214204</v>
      </c>
      <c r="K1212">
        <v>1.7196356237901083</v>
      </c>
      <c r="L1212">
        <v>0</v>
      </c>
      <c r="M1212">
        <v>1.3880147626684279E-3</v>
      </c>
      <c r="N1212">
        <v>0.12585568736765185</v>
      </c>
      <c r="O1212">
        <v>0.12511732189463359</v>
      </c>
      <c r="P1212">
        <v>1.8131489573764495E-2</v>
      </c>
      <c r="Q1212">
        <v>8.6730191099660791E-4</v>
      </c>
      <c r="R1212">
        <v>1.3845406350183667E-3</v>
      </c>
      <c r="S1212">
        <v>0.10442102288245375</v>
      </c>
      <c r="T1212">
        <v>1.0237894052205965</v>
      </c>
      <c r="U1212">
        <v>0</v>
      </c>
      <c r="V1212">
        <v>0.20577752294212678</v>
      </c>
      <c r="W1212">
        <v>8.2914795940971911E-2</v>
      </c>
      <c r="X1212">
        <v>2.8996286989742034E-2</v>
      </c>
      <c r="Y1212">
        <v>3.7682631948223241E-3</v>
      </c>
    </row>
    <row r="1213" spans="1:25" x14ac:dyDescent="0.25">
      <c r="A1213" s="1095"/>
      <c r="B1213" s="1454">
        <v>963</v>
      </c>
      <c r="C1213" s="1099">
        <v>1.0107780753044926</v>
      </c>
      <c r="D1213" s="1099">
        <v>1.0143004446767316</v>
      </c>
      <c r="E1213" s="1099">
        <v>0.99099478892603543</v>
      </c>
      <c r="F1213" s="1099">
        <v>1.0011983790004735</v>
      </c>
      <c r="G1213" s="1099">
        <v>1.010571148638205</v>
      </c>
      <c r="H1213" s="1099">
        <v>1.0336853470868761</v>
      </c>
      <c r="I1213" s="1099">
        <v>0.96317547335085507</v>
      </c>
      <c r="K1213">
        <v>1.7351277871372455</v>
      </c>
      <c r="L1213">
        <v>0</v>
      </c>
      <c r="M1213">
        <v>1.4223758250446977E-3</v>
      </c>
      <c r="N1213">
        <v>0.12733893063944568</v>
      </c>
      <c r="O1213">
        <v>0.12635546098015848</v>
      </c>
      <c r="P1213">
        <v>1.8226822347590578E-2</v>
      </c>
      <c r="Q1213">
        <v>8.7593923839440215E-4</v>
      </c>
      <c r="R1213">
        <v>1.4188207596230922E-3</v>
      </c>
      <c r="S1213">
        <v>0.10426159208226289</v>
      </c>
      <c r="T1213">
        <v>1.0325600567895932</v>
      </c>
      <c r="U1213">
        <v>0</v>
      </c>
      <c r="V1213">
        <v>0.20842986705783764</v>
      </c>
      <c r="W1213">
        <v>8.4103554289664942E-2</v>
      </c>
      <c r="X1213">
        <v>2.9117556384163138E-2</v>
      </c>
      <c r="Y1213">
        <v>3.861562393556347E-3</v>
      </c>
    </row>
    <row r="1214" spans="1:25" x14ac:dyDescent="0.25">
      <c r="A1214" s="1095"/>
      <c r="B1214" s="1454">
        <v>964</v>
      </c>
      <c r="C1214" s="1099">
        <v>0.97141696561017143</v>
      </c>
      <c r="D1214" s="1099">
        <v>0.99884434858630811</v>
      </c>
      <c r="E1214" s="1099">
        <v>1.0207585969036275</v>
      </c>
      <c r="F1214" s="1099">
        <v>0.98213818261322627</v>
      </c>
      <c r="G1214" s="1099">
        <v>1.005888665006422</v>
      </c>
      <c r="H1214" s="1099">
        <v>1.004157739091758</v>
      </c>
      <c r="I1214" s="1099">
        <v>0.96624973815887139</v>
      </c>
      <c r="K1214">
        <v>1.7311254646088587</v>
      </c>
      <c r="L1214">
        <v>0</v>
      </c>
      <c r="M1214">
        <v>1.3570191502903495E-3</v>
      </c>
      <c r="N1214">
        <v>0.1329029451818742</v>
      </c>
      <c r="O1214">
        <v>0.1277633356896844</v>
      </c>
      <c r="P1214">
        <v>1.8431991901879732E-2</v>
      </c>
      <c r="Q1214">
        <v>9.456969427821554E-4</v>
      </c>
      <c r="R1214">
        <v>1.3535202782530844E-3</v>
      </c>
      <c r="S1214">
        <v>0.10751483011132683</v>
      </c>
      <c r="T1214">
        <v>1.0120389315492173</v>
      </c>
      <c r="U1214">
        <v>0</v>
      </c>
      <c r="V1214">
        <v>0.21111729675000326</v>
      </c>
      <c r="W1214">
        <v>8.6246288973855001E-2</v>
      </c>
      <c r="X1214">
        <v>3.04838103707081E-2</v>
      </c>
      <c r="Y1214">
        <v>3.6838360095650855E-3</v>
      </c>
    </row>
    <row r="1215" spans="1:25" x14ac:dyDescent="0.25">
      <c r="A1215" s="1095"/>
      <c r="B1215" s="1454">
        <v>965</v>
      </c>
      <c r="C1215" s="1099">
        <v>0.99408642483832177</v>
      </c>
      <c r="D1215" s="1099">
        <v>1.0070405468000589</v>
      </c>
      <c r="E1215" s="1099">
        <v>0.99220319654356626</v>
      </c>
      <c r="F1215" s="1099">
        <v>1.0215534873334475</v>
      </c>
      <c r="G1215" s="1099">
        <v>1.032053008840411</v>
      </c>
      <c r="H1215" s="1099">
        <v>1.0001991643037309</v>
      </c>
      <c r="I1215" s="1099">
        <v>1.0087496894412897</v>
      </c>
      <c r="K1215">
        <v>1.7661896608133365</v>
      </c>
      <c r="L1215">
        <v>0</v>
      </c>
      <c r="M1215">
        <v>1.4023372419924823E-3</v>
      </c>
      <c r="N1215">
        <v>0.12599442590333582</v>
      </c>
      <c r="O1215">
        <v>0.12908129280674641</v>
      </c>
      <c r="P1215">
        <v>1.8644714309190919E-2</v>
      </c>
      <c r="Q1215">
        <v>8.9433469361782192E-4</v>
      </c>
      <c r="R1215">
        <v>1.3987211459910828E-3</v>
      </c>
      <c r="S1215">
        <v>0.10918317367429367</v>
      </c>
      <c r="T1215">
        <v>1.0535157658729271</v>
      </c>
      <c r="U1215">
        <v>0</v>
      </c>
      <c r="V1215">
        <v>0.21214523432726312</v>
      </c>
      <c r="W1215">
        <v>8.3155406472112531E-2</v>
      </c>
      <c r="X1215">
        <v>2.9772070978764376E-2</v>
      </c>
      <c r="Y1215">
        <v>3.8068578710858717E-3</v>
      </c>
    </row>
    <row r="1216" spans="1:25" x14ac:dyDescent="0.25">
      <c r="A1216" s="1095"/>
      <c r="B1216" s="1454">
        <v>966</v>
      </c>
      <c r="C1216" s="1099">
        <v>1.0117535145310905</v>
      </c>
      <c r="D1216" s="1099">
        <v>0.98639741888054144</v>
      </c>
      <c r="E1216" s="1099">
        <v>1.0329121087344935</v>
      </c>
      <c r="F1216" s="1099">
        <v>0.99876781960896732</v>
      </c>
      <c r="G1216" s="1099">
        <v>1.0012538128229265</v>
      </c>
      <c r="H1216" s="1099">
        <v>0.98058457160813994</v>
      </c>
      <c r="I1216" s="1099">
        <v>0.99942654783804696</v>
      </c>
      <c r="K1216">
        <v>1.735233549608433</v>
      </c>
      <c r="L1216">
        <v>0</v>
      </c>
      <c r="M1216">
        <v>1.2558815228760681E-3</v>
      </c>
      <c r="N1216">
        <v>0.12758331291844377</v>
      </c>
      <c r="O1216">
        <v>0.12756082165713864</v>
      </c>
      <c r="P1216">
        <v>1.8780305464508425E-2</v>
      </c>
      <c r="Q1216">
        <v>9.2396684191754894E-4</v>
      </c>
      <c r="R1216">
        <v>1.252589643142475E-3</v>
      </c>
      <c r="S1216">
        <v>0.10632517795085182</v>
      </c>
      <c r="T1216">
        <v>1.0288236619857742</v>
      </c>
      <c r="U1216">
        <v>0</v>
      </c>
      <c r="V1216">
        <v>0.20872259966319132</v>
      </c>
      <c r="W1216">
        <v>8.2210669318143303E-2</v>
      </c>
      <c r="X1216">
        <v>3.0897189595629319E-2</v>
      </c>
      <c r="Y1216">
        <v>3.4091360925689275E-3</v>
      </c>
    </row>
    <row r="1217" spans="1:25" x14ac:dyDescent="0.25">
      <c r="A1217" s="1095"/>
      <c r="B1217" s="1454">
        <v>967</v>
      </c>
      <c r="C1217" s="1099">
        <v>1.0277471247143395</v>
      </c>
      <c r="D1217" s="1099">
        <v>0.98901735976935412</v>
      </c>
      <c r="E1217" s="1099">
        <v>1.0148441046128849</v>
      </c>
      <c r="F1217" s="1099">
        <v>1.0030596628956749</v>
      </c>
      <c r="G1217" s="1099">
        <v>1.0352409330573362</v>
      </c>
      <c r="H1217" s="1099">
        <v>1.0409584258073399</v>
      </c>
      <c r="I1217" s="1099">
        <v>0.96611378689772076</v>
      </c>
      <c r="K1217">
        <v>1.7447659758339331</v>
      </c>
      <c r="L1217">
        <v>0</v>
      </c>
      <c r="M1217">
        <v>1.3629114248588389E-3</v>
      </c>
      <c r="N1217">
        <v>0.13113384825139876</v>
      </c>
      <c r="O1217">
        <v>0.12688436245983811</v>
      </c>
      <c r="P1217">
        <v>1.8591334126712711E-2</v>
      </c>
      <c r="Q1217">
        <v>8.9197126877602691E-4</v>
      </c>
      <c r="R1217">
        <v>1.3595501214639736E-3</v>
      </c>
      <c r="S1217">
        <v>0.10509705697873908</v>
      </c>
      <c r="T1217">
        <v>1.033770580128468</v>
      </c>
      <c r="U1217">
        <v>0</v>
      </c>
      <c r="V1217">
        <v>0.20915286817122528</v>
      </c>
      <c r="W1217">
        <v>8.5393734407188407E-2</v>
      </c>
      <c r="X1217">
        <v>3.0153334089933759E-2</v>
      </c>
      <c r="Y1217">
        <v>3.7002472550478455E-3</v>
      </c>
    </row>
    <row r="1218" spans="1:25" x14ac:dyDescent="0.25">
      <c r="A1218" s="1095"/>
      <c r="B1218" s="1454">
        <v>968</v>
      </c>
      <c r="C1218" s="1099">
        <v>1.0165544558630142</v>
      </c>
      <c r="D1218" s="1099">
        <v>0.97708273507974597</v>
      </c>
      <c r="E1218" s="1099">
        <v>0.97284801375412733</v>
      </c>
      <c r="F1218" s="1099">
        <v>0.97270944508960511</v>
      </c>
      <c r="G1218" s="1099">
        <v>0.97726843695631094</v>
      </c>
      <c r="H1218" s="1099">
        <v>0.9784542667200451</v>
      </c>
      <c r="I1218" s="1099">
        <v>1.0416431035491627</v>
      </c>
      <c r="K1218">
        <v>1.696564424670953</v>
      </c>
      <c r="L1218">
        <v>0</v>
      </c>
      <c r="M1218">
        <v>1.4179591845810881E-3</v>
      </c>
      <c r="N1218">
        <v>0.1201469884697705</v>
      </c>
      <c r="O1218">
        <v>0.12551473047632841</v>
      </c>
      <c r="P1218">
        <v>1.7642580934918058E-2</v>
      </c>
      <c r="Q1218">
        <v>8.6744675560480585E-4</v>
      </c>
      <c r="R1218">
        <v>1.4142338255889063E-3</v>
      </c>
      <c r="S1218">
        <v>0.11054219343112692</v>
      </c>
      <c r="T1218">
        <v>1.0037129810700458</v>
      </c>
      <c r="U1218">
        <v>0</v>
      </c>
      <c r="V1218">
        <v>0.20591087969272603</v>
      </c>
      <c r="W1218">
        <v>8.0226456449961625E-2</v>
      </c>
      <c r="X1218">
        <v>2.8154814478262714E-2</v>
      </c>
      <c r="Y1218">
        <v>3.8490782711976925E-3</v>
      </c>
    </row>
    <row r="1219" spans="1:25" x14ac:dyDescent="0.25">
      <c r="A1219" s="1095"/>
      <c r="B1219" s="1454">
        <v>969</v>
      </c>
      <c r="C1219" s="1099">
        <v>1.017217892382519</v>
      </c>
      <c r="D1219" s="1099">
        <v>1.0398063962173865</v>
      </c>
      <c r="E1219" s="1099">
        <v>1.0177097481645991</v>
      </c>
      <c r="F1219" s="1099">
        <v>1.0195752081807603</v>
      </c>
      <c r="G1219" s="1099">
        <v>0.96985080569626181</v>
      </c>
      <c r="H1219" s="1099">
        <v>1.0085192171803341</v>
      </c>
      <c r="I1219" s="1099">
        <v>0.99550413830636919</v>
      </c>
      <c r="K1219">
        <v>1.746850883501349</v>
      </c>
      <c r="L1219">
        <v>0</v>
      </c>
      <c r="M1219">
        <v>1.2880996092371575E-3</v>
      </c>
      <c r="N1219">
        <v>0.1249992653595117</v>
      </c>
      <c r="O1219">
        <v>0.12636836162550918</v>
      </c>
      <c r="P1219">
        <v>1.880799713154483E-2</v>
      </c>
      <c r="Q1219">
        <v>8.8593720254697664E-4</v>
      </c>
      <c r="R1219">
        <v>1.2847906412213849E-3</v>
      </c>
      <c r="S1219">
        <v>0.10394160067507451</v>
      </c>
      <c r="T1219">
        <v>1.0507063432483075</v>
      </c>
      <c r="U1219">
        <v>0</v>
      </c>
      <c r="V1219">
        <v>0.20621591462809738</v>
      </c>
      <c r="W1219">
        <v>8.1262168466098891E-2</v>
      </c>
      <c r="X1219">
        <v>3.0169827538388764E-2</v>
      </c>
      <c r="Y1219">
        <v>3.4967765942835573E-3</v>
      </c>
    </row>
    <row r="1220" spans="1:25" x14ac:dyDescent="0.25">
      <c r="A1220" s="1095"/>
      <c r="B1220" s="1454">
        <v>970</v>
      </c>
      <c r="C1220" s="1099">
        <v>1.0397307160813274</v>
      </c>
      <c r="D1220" s="1099">
        <v>1.007023101167011</v>
      </c>
      <c r="E1220" s="1099">
        <v>0.97819463307844345</v>
      </c>
      <c r="F1220" s="1099">
        <v>1.0048197714075739</v>
      </c>
      <c r="G1220" s="1099">
        <v>0.96002565266012385</v>
      </c>
      <c r="H1220" s="1099">
        <v>0.98560883026315593</v>
      </c>
      <c r="I1220" s="1099">
        <v>1.0257520887123774</v>
      </c>
      <c r="K1220">
        <v>1.7179873309271063</v>
      </c>
      <c r="L1220">
        <v>0</v>
      </c>
      <c r="M1220">
        <v>1.3631126494399537E-3</v>
      </c>
      <c r="N1220">
        <v>0.11738589522249326</v>
      </c>
      <c r="O1220">
        <v>0.12545770119247071</v>
      </c>
      <c r="P1220">
        <v>1.8060833642981163E-2</v>
      </c>
      <c r="Q1220">
        <v>8.4265255323957768E-4</v>
      </c>
      <c r="R1220">
        <v>1.3595535780592267E-3</v>
      </c>
      <c r="S1220">
        <v>0.10527447897448805</v>
      </c>
      <c r="T1220">
        <v>1.0366831399588161</v>
      </c>
      <c r="U1220">
        <v>0</v>
      </c>
      <c r="V1220">
        <v>0.20401387835000234</v>
      </c>
      <c r="W1220">
        <v>7.8129233756073918E-2</v>
      </c>
      <c r="X1220">
        <v>2.8442819685157623E-2</v>
      </c>
      <c r="Y1220">
        <v>3.700256662760657E-3</v>
      </c>
    </row>
    <row r="1221" spans="1:25" x14ac:dyDescent="0.25">
      <c r="A1221" s="1095"/>
      <c r="B1221" s="1454">
        <v>971</v>
      </c>
      <c r="C1221" s="1099">
        <v>0.98815700789416372</v>
      </c>
      <c r="D1221" s="1099">
        <v>1.0002288939701771</v>
      </c>
      <c r="E1221" s="1099">
        <v>0.99355687751566035</v>
      </c>
      <c r="F1221" s="1099">
        <v>1.012564741420682</v>
      </c>
      <c r="G1221" s="1099">
        <v>0.99836464047005291</v>
      </c>
      <c r="H1221" s="1099">
        <v>0.99879268182611725</v>
      </c>
      <c r="I1221" s="1099">
        <v>0.99802687861767614</v>
      </c>
      <c r="K1221">
        <v>1.7568390989134672</v>
      </c>
      <c r="L1221">
        <v>0</v>
      </c>
      <c r="M1221">
        <v>1.4086808883678808E-3</v>
      </c>
      <c r="N1221">
        <v>0.12708287391028852</v>
      </c>
      <c r="O1221">
        <v>0.1290291824257396</v>
      </c>
      <c r="P1221">
        <v>1.8515250267255624E-2</v>
      </c>
      <c r="Q1221">
        <v>9.0341884059247693E-4</v>
      </c>
      <c r="R1221">
        <v>1.4050434215418768E-3</v>
      </c>
      <c r="S1221">
        <v>0.10894196401788779</v>
      </c>
      <c r="T1221">
        <v>1.0442047437134838</v>
      </c>
      <c r="U1221">
        <v>0</v>
      </c>
      <c r="V1221">
        <v>0.21076342334749984</v>
      </c>
      <c r="W1221">
        <v>8.380594007118275E-2</v>
      </c>
      <c r="X1221">
        <v>2.9771874765362142E-2</v>
      </c>
      <c r="Y1221">
        <v>3.8240650209975589E-3</v>
      </c>
    </row>
    <row r="1222" spans="1:25" x14ac:dyDescent="0.25">
      <c r="A1222" s="1095"/>
      <c r="B1222" s="1454">
        <v>972</v>
      </c>
      <c r="C1222" s="1099">
        <v>1.0088750474217065</v>
      </c>
      <c r="D1222" s="1099">
        <v>1.0377669822503206</v>
      </c>
      <c r="E1222" s="1099">
        <v>0.99925989336637222</v>
      </c>
      <c r="F1222" s="1099">
        <v>1.03399042123247</v>
      </c>
      <c r="G1222" s="1099">
        <v>0.98480108650638087</v>
      </c>
      <c r="H1222" s="1099">
        <v>0.99933271744951502</v>
      </c>
      <c r="I1222" s="1099">
        <v>0.95293707518627269</v>
      </c>
      <c r="K1222">
        <v>1.7589849420996315</v>
      </c>
      <c r="L1222">
        <v>0</v>
      </c>
      <c r="M1222">
        <v>1.3394180203183796E-3</v>
      </c>
      <c r="N1222">
        <v>0.12293397583901454</v>
      </c>
      <c r="O1222">
        <v>0.12787075066804687</v>
      </c>
      <c r="P1222">
        <v>1.8736540393465992E-2</v>
      </c>
      <c r="Q1222">
        <v>8.7710261243227909E-4</v>
      </c>
      <c r="R1222">
        <v>1.3359486337883874E-3</v>
      </c>
      <c r="S1222">
        <v>9.9849489599708227E-2</v>
      </c>
      <c r="T1222">
        <v>1.0661239936912306</v>
      </c>
      <c r="U1222">
        <v>0</v>
      </c>
      <c r="V1222">
        <v>0.20836770515107086</v>
      </c>
      <c r="W1222">
        <v>8.0794807675683381E-2</v>
      </c>
      <c r="X1222">
        <v>2.9798034069685182E-2</v>
      </c>
      <c r="Y1222">
        <v>3.6360117858232209E-3</v>
      </c>
    </row>
    <row r="1223" spans="1:25" x14ac:dyDescent="0.25">
      <c r="A1223" s="1095"/>
      <c r="B1223" s="1454">
        <v>973</v>
      </c>
      <c r="C1223" s="1099">
        <v>0.99671914427297814</v>
      </c>
      <c r="D1223" s="1099">
        <v>1.0052860361604987</v>
      </c>
      <c r="E1223" s="1099">
        <v>0.97243930812539525</v>
      </c>
      <c r="F1223" s="1099">
        <v>0.99691291257818992</v>
      </c>
      <c r="G1223" s="1099">
        <v>1.0018440173505225</v>
      </c>
      <c r="H1223" s="1099">
        <v>0.99188699787938372</v>
      </c>
      <c r="I1223" s="1099">
        <v>1.0018748721725681</v>
      </c>
      <c r="K1223">
        <v>1.7275374865041127</v>
      </c>
      <c r="L1223">
        <v>0</v>
      </c>
      <c r="M1223">
        <v>1.4436487241172209E-3</v>
      </c>
      <c r="N1223">
        <v>0.12217528459867283</v>
      </c>
      <c r="O1223">
        <v>0.12707642783106801</v>
      </c>
      <c r="P1223">
        <v>1.7974015097450596E-2</v>
      </c>
      <c r="Q1223">
        <v>8.7432039237628158E-4</v>
      </c>
      <c r="R1223">
        <v>1.439889058249683E-3</v>
      </c>
      <c r="S1223">
        <v>0.10752134851372645</v>
      </c>
      <c r="T1223">
        <v>1.0287003398820893</v>
      </c>
      <c r="U1223">
        <v>0</v>
      </c>
      <c r="V1223">
        <v>0.20916904790058977</v>
      </c>
      <c r="W1223">
        <v>8.1601075914931653E-2</v>
      </c>
      <c r="X1223">
        <v>2.853048268181866E-2</v>
      </c>
      <c r="Y1223">
        <v>3.918903357255153E-3</v>
      </c>
    </row>
    <row r="1224" spans="1:25" x14ac:dyDescent="0.25">
      <c r="A1224" s="1095"/>
      <c r="B1224" s="1454">
        <v>974</v>
      </c>
      <c r="C1224" s="1099">
        <v>0.96278767760426598</v>
      </c>
      <c r="D1224" s="1099">
        <v>1.0180783686214898</v>
      </c>
      <c r="E1224" s="1099">
        <v>0.97334839722930055</v>
      </c>
      <c r="F1224" s="1099">
        <v>1.0453183657582354</v>
      </c>
      <c r="G1224" s="1099">
        <v>1.0367756034874254</v>
      </c>
      <c r="H1224" s="1099">
        <v>0.97840586882353753</v>
      </c>
      <c r="I1224" s="1099">
        <v>0.99729521943694321</v>
      </c>
      <c r="K1224">
        <v>1.7958680943070076</v>
      </c>
      <c r="L1224">
        <v>0</v>
      </c>
      <c r="M1224">
        <v>1.462322363641278E-3</v>
      </c>
      <c r="N1224">
        <v>0.12409182703569473</v>
      </c>
      <c r="O1224">
        <v>0.13196701245343176</v>
      </c>
      <c r="P1224">
        <v>1.8765419671302363E-2</v>
      </c>
      <c r="Q1224">
        <v>9.0142911335779573E-4</v>
      </c>
      <c r="R1224">
        <v>1.4584570971152616E-3</v>
      </c>
      <c r="S1224">
        <v>0.10906242629077856</v>
      </c>
      <c r="T1224">
        <v>1.0786202239993734</v>
      </c>
      <c r="U1224">
        <v>0</v>
      </c>
      <c r="V1224">
        <v>0.2159736463437858</v>
      </c>
      <c r="W1224">
        <v>8.2835397380242065E-2</v>
      </c>
      <c r="X1224">
        <v>2.9685137847472953E-2</v>
      </c>
      <c r="Y1224">
        <v>3.969439438094891E-3</v>
      </c>
    </row>
    <row r="1225" spans="1:25" x14ac:dyDescent="0.25">
      <c r="A1225" s="1095"/>
      <c r="B1225" s="1454">
        <v>975</v>
      </c>
      <c r="C1225" s="1099">
        <v>1.0118989919280783</v>
      </c>
      <c r="D1225" s="1099">
        <v>1.0210085721372273</v>
      </c>
      <c r="E1225" s="1099">
        <v>0.97565657367734637</v>
      </c>
      <c r="F1225" s="1099">
        <v>0.99450054862081316</v>
      </c>
      <c r="G1225" s="1099">
        <v>0.99261037708331779</v>
      </c>
      <c r="H1225" s="1099">
        <v>1.020756916232977</v>
      </c>
      <c r="I1225" s="1099">
        <v>1.0263334438927667</v>
      </c>
      <c r="K1225">
        <v>1.7244662280571499</v>
      </c>
      <c r="L1225">
        <v>0</v>
      </c>
      <c r="M1225">
        <v>1.4419475739576298E-3</v>
      </c>
      <c r="N1225">
        <v>0.12323404401893412</v>
      </c>
      <c r="O1225">
        <v>0.12543186260449346</v>
      </c>
      <c r="P1225">
        <v>1.798020161302807E-2</v>
      </c>
      <c r="Q1225">
        <v>8.587747283190035E-4</v>
      </c>
      <c r="R1225">
        <v>1.4382916045426856E-3</v>
      </c>
      <c r="S1225">
        <v>0.10955684195248909</v>
      </c>
      <c r="T1225">
        <v>1.0261134619135934</v>
      </c>
      <c r="U1225">
        <v>0</v>
      </c>
      <c r="V1225">
        <v>0.20688046012817457</v>
      </c>
      <c r="W1225">
        <v>8.214772623080055E-2</v>
      </c>
      <c r="X1225">
        <v>2.8351955221864764E-2</v>
      </c>
      <c r="Y1225">
        <v>3.9145556148651789E-3</v>
      </c>
    </row>
    <row r="1226" spans="1:25" x14ac:dyDescent="0.25">
      <c r="A1226" s="1095"/>
      <c r="B1226" s="1454">
        <v>976</v>
      </c>
      <c r="C1226" s="1099">
        <v>0.98346951882301048</v>
      </c>
      <c r="D1226" s="1099">
        <v>0.98870001553270692</v>
      </c>
      <c r="E1226" s="1099">
        <v>1.0102892209175307</v>
      </c>
      <c r="F1226" s="1099">
        <v>0.99284775424815075</v>
      </c>
      <c r="G1226" s="1099">
        <v>0.99269726159007698</v>
      </c>
      <c r="H1226" s="1099">
        <v>1.0326256545663468</v>
      </c>
      <c r="I1226" s="1099">
        <v>1.0142623569635574</v>
      </c>
      <c r="K1226">
        <v>1.752725862182932</v>
      </c>
      <c r="L1226">
        <v>0</v>
      </c>
      <c r="M1226">
        <v>1.4200388076183745E-3</v>
      </c>
      <c r="N1226">
        <v>0.13476057782164766</v>
      </c>
      <c r="O1226">
        <v>0.12837401928076486</v>
      </c>
      <c r="P1226">
        <v>1.8528876493666947E-2</v>
      </c>
      <c r="Q1226">
        <v>9.2788611550436708E-4</v>
      </c>
      <c r="R1226">
        <v>1.4164923066764385E-3</v>
      </c>
      <c r="S1226">
        <v>0.11436618204585657</v>
      </c>
      <c r="T1226">
        <v>1.0233787573002484</v>
      </c>
      <c r="U1226">
        <v>0</v>
      </c>
      <c r="V1226">
        <v>0.21026225622635783</v>
      </c>
      <c r="W1226">
        <v>8.7990985885900111E-2</v>
      </c>
      <c r="X1226">
        <v>3.0284642401716383E-2</v>
      </c>
      <c r="Y1226">
        <v>3.8552251122098641E-3</v>
      </c>
    </row>
    <row r="1227" spans="1:25" x14ac:dyDescent="0.25">
      <c r="A1227" s="1095"/>
      <c r="B1227" s="1454">
        <v>977</v>
      </c>
      <c r="C1227" s="1099">
        <v>1.0146510927440775</v>
      </c>
      <c r="D1227" s="1099">
        <v>1.0080563542158758</v>
      </c>
      <c r="E1227" s="1099">
        <v>1.0340619863043934</v>
      </c>
      <c r="F1227" s="1099">
        <v>0.99523268695267531</v>
      </c>
      <c r="G1227" s="1099">
        <v>0.98781020603845104</v>
      </c>
      <c r="H1227" s="1099">
        <v>1.0257759440231464</v>
      </c>
      <c r="I1227" s="1099">
        <v>0.99347618091724232</v>
      </c>
      <c r="K1227">
        <v>1.7354661268222669</v>
      </c>
      <c r="L1227">
        <v>0</v>
      </c>
      <c r="M1227">
        <v>1.2901506278316067E-3</v>
      </c>
      <c r="N1227">
        <v>0.13153349861312549</v>
      </c>
      <c r="O1227">
        <v>0.12615811099389482</v>
      </c>
      <c r="P1227">
        <v>1.8730810109162863E-2</v>
      </c>
      <c r="Q1227">
        <v>9.1442876373626629E-4</v>
      </c>
      <c r="R1227">
        <v>1.2869043352958644E-3</v>
      </c>
      <c r="S1227">
        <v>0.10706192585176731</v>
      </c>
      <c r="T1227">
        <v>1.0251492620076412</v>
      </c>
      <c r="U1227">
        <v>0</v>
      </c>
      <c r="V1227">
        <v>0.20700279628270113</v>
      </c>
      <c r="W1227">
        <v>8.4699645264518258E-2</v>
      </c>
      <c r="X1227">
        <v>3.0716365855480435E-2</v>
      </c>
      <c r="Y1227">
        <v>3.5025293727752268E-3</v>
      </c>
    </row>
    <row r="1228" spans="1:25" x14ac:dyDescent="0.25">
      <c r="A1228" s="1095"/>
      <c r="B1228" s="1454">
        <v>978</v>
      </c>
      <c r="C1228" s="1099">
        <v>1.011980626249952</v>
      </c>
      <c r="D1228" s="1099">
        <v>1.0013294438311202</v>
      </c>
      <c r="E1228" s="1099">
        <v>0.99585043136501983</v>
      </c>
      <c r="F1228" s="1099">
        <v>0.95579924254382642</v>
      </c>
      <c r="G1228" s="1099">
        <v>1.0060181270554847</v>
      </c>
      <c r="H1228" s="1099">
        <v>1.0355195444828649</v>
      </c>
      <c r="I1228" s="1099">
        <v>0.99746525391014995</v>
      </c>
      <c r="K1228">
        <v>1.6877870759623326</v>
      </c>
      <c r="L1228">
        <v>0</v>
      </c>
      <c r="M1228">
        <v>1.41409467900898E-3</v>
      </c>
      <c r="N1228">
        <v>0.12846942048806914</v>
      </c>
      <c r="O1228">
        <v>0.12343465842909489</v>
      </c>
      <c r="P1228">
        <v>1.7681984932036637E-2</v>
      </c>
      <c r="Q1228">
        <v>8.8386822714310489E-4</v>
      </c>
      <c r="R1228">
        <v>1.4105612424739047E-3</v>
      </c>
      <c r="S1228">
        <v>0.10855943934777537</v>
      </c>
      <c r="T1228">
        <v>0.98559995883749374</v>
      </c>
      <c r="U1228">
        <v>0</v>
      </c>
      <c r="V1228">
        <v>0.20612616655076588</v>
      </c>
      <c r="W1228">
        <v>8.460441821348999E-2</v>
      </c>
      <c r="X1228">
        <v>2.8591611662374065E-2</v>
      </c>
      <c r="Y1228">
        <v>3.8390827106253556E-3</v>
      </c>
    </row>
    <row r="1229" spans="1:25" x14ac:dyDescent="0.25">
      <c r="A1229" s="1095"/>
      <c r="B1229" s="1454">
        <v>979</v>
      </c>
      <c r="C1229" s="1099">
        <v>1.0030602217941875</v>
      </c>
      <c r="D1229" s="1099">
        <v>0.97308308112503594</v>
      </c>
      <c r="E1229" s="1099">
        <v>1.0418700814404893</v>
      </c>
      <c r="F1229" s="1099">
        <v>0.98577985412891278</v>
      </c>
      <c r="G1229" s="1099">
        <v>0.98296605992351205</v>
      </c>
      <c r="H1229" s="1099">
        <v>0.99196201175543197</v>
      </c>
      <c r="I1229" s="1099">
        <v>0.99892432393822894</v>
      </c>
      <c r="K1229">
        <v>1.731075057426261</v>
      </c>
      <c r="L1229">
        <v>0</v>
      </c>
      <c r="M1229">
        <v>1.2654326106607118E-3</v>
      </c>
      <c r="N1229">
        <v>0.13207469104698047</v>
      </c>
      <c r="O1229">
        <v>0.12766716485731963</v>
      </c>
      <c r="P1229">
        <v>1.8739276841669771E-2</v>
      </c>
      <c r="Q1229">
        <v>9.4562586434373576E-4</v>
      </c>
      <c r="R1229">
        <v>1.2621559091176506E-3</v>
      </c>
      <c r="S1229">
        <v>0.10878512491108712</v>
      </c>
      <c r="T1229">
        <v>1.0151921128217387</v>
      </c>
      <c r="U1229">
        <v>0</v>
      </c>
      <c r="V1229">
        <v>0.20831482165948451</v>
      </c>
      <c r="W1229">
        <v>8.4665928212729627E-2</v>
      </c>
      <c r="X1229">
        <v>3.1258415597415982E-2</v>
      </c>
      <c r="Y1229">
        <v>3.4351723150346258E-3</v>
      </c>
    </row>
    <row r="1230" spans="1:25" x14ac:dyDescent="0.25">
      <c r="A1230" s="1095"/>
      <c r="B1230" s="1454">
        <v>980</v>
      </c>
      <c r="C1230" s="1099">
        <v>0.98912568683974733</v>
      </c>
      <c r="D1230" s="1099">
        <v>1.037495393822202</v>
      </c>
      <c r="E1230" s="1099">
        <v>1.0310190976474247</v>
      </c>
      <c r="F1230" s="1099">
        <v>0.96892259673412395</v>
      </c>
      <c r="G1230" s="1099">
        <v>1.0130152563092591</v>
      </c>
      <c r="H1230" s="1099">
        <v>1.0046605665066688</v>
      </c>
      <c r="I1230" s="1099">
        <v>1.0221993916910932</v>
      </c>
      <c r="K1230">
        <v>1.7046665413183473</v>
      </c>
      <c r="L1230">
        <v>0</v>
      </c>
      <c r="M1230">
        <v>1.2769473786295575E-3</v>
      </c>
      <c r="N1230">
        <v>0.12898876142579166</v>
      </c>
      <c r="O1230">
        <v>0.12415192364285724</v>
      </c>
      <c r="P1230">
        <v>1.8358186605900259E-2</v>
      </c>
      <c r="Q1230">
        <v>9.2441689732215317E-4</v>
      </c>
      <c r="R1230">
        <v>1.2736344877793903E-3</v>
      </c>
      <c r="S1230">
        <v>0.1092018728525338</v>
      </c>
      <c r="T1230">
        <v>0.99813309754338841</v>
      </c>
      <c r="U1230">
        <v>0</v>
      </c>
      <c r="V1230">
        <v>0.20813031581226418</v>
      </c>
      <c r="W1230">
        <v>8.3207537487136204E-2</v>
      </c>
      <c r="X1230">
        <v>3.0107328719764334E-2</v>
      </c>
      <c r="Y1230">
        <v>3.4664132222394419E-3</v>
      </c>
    </row>
    <row r="1231" spans="1:25" x14ac:dyDescent="0.25">
      <c r="A1231" s="1095"/>
      <c r="B1231" s="1454">
        <v>981</v>
      </c>
      <c r="C1231" s="1099">
        <v>0.99677971045780456</v>
      </c>
      <c r="D1231" s="1099">
        <v>0.97999808383410325</v>
      </c>
      <c r="E1231" s="1099">
        <v>1.0104887348964786</v>
      </c>
      <c r="F1231" s="1099">
        <v>0.99435009804203389</v>
      </c>
      <c r="G1231" s="1099">
        <v>0.97340316013147044</v>
      </c>
      <c r="H1231" s="1099">
        <v>0.95323019839781398</v>
      </c>
      <c r="I1231" s="1099">
        <v>0.99994188045128307</v>
      </c>
      <c r="K1231">
        <v>1.7251392661418232</v>
      </c>
      <c r="L1231">
        <v>0</v>
      </c>
      <c r="M1231">
        <v>1.3012088060282171E-3</v>
      </c>
      <c r="N1231">
        <v>0.12353331717631978</v>
      </c>
      <c r="O1231">
        <v>0.12819733359534255</v>
      </c>
      <c r="P1231">
        <v>1.8418310590886066E-2</v>
      </c>
      <c r="Q1231">
        <v>9.1892794435736785E-4</v>
      </c>
      <c r="R1231">
        <v>1.2976987221215879E-3</v>
      </c>
      <c r="S1231">
        <v>0.10631950586237639</v>
      </c>
      <c r="T1231">
        <v>1.0249214633911921</v>
      </c>
      <c r="U1231">
        <v>0</v>
      </c>
      <c r="V1231">
        <v>0.20852921741220845</v>
      </c>
      <c r="W1231">
        <v>8.0650737712706255E-2</v>
      </c>
      <c r="X1231">
        <v>3.0122054404995303E-2</v>
      </c>
      <c r="Y1231">
        <v>3.5319081353461855E-3</v>
      </c>
    </row>
    <row r="1232" spans="1:25" x14ac:dyDescent="0.25">
      <c r="A1232" s="1095"/>
      <c r="B1232" s="1454">
        <v>982</v>
      </c>
      <c r="C1232" s="1099">
        <v>0.99653902762520774</v>
      </c>
      <c r="D1232" s="1099">
        <v>1.0145314786306134</v>
      </c>
      <c r="E1232" s="1099">
        <v>1.0196515545330418</v>
      </c>
      <c r="F1232" s="1099">
        <v>0.99960962456225244</v>
      </c>
      <c r="G1232" s="1099">
        <v>1.0116351190385069</v>
      </c>
      <c r="H1232" s="1099">
        <v>0.9940907624960198</v>
      </c>
      <c r="I1232" s="1099">
        <v>1.0318983443177099</v>
      </c>
      <c r="K1232">
        <v>1.7408546349407572</v>
      </c>
      <c r="L1232">
        <v>0</v>
      </c>
      <c r="M1232">
        <v>1.3054381599614752E-3</v>
      </c>
      <c r="N1232">
        <v>0.12742189515600169</v>
      </c>
      <c r="O1232">
        <v>0.12706640054056417</v>
      </c>
      <c r="P1232">
        <v>1.8686412749743853E-2</v>
      </c>
      <c r="Q1232">
        <v>9.1508854371991479E-4</v>
      </c>
      <c r="R1232">
        <v>1.3020408691470651E-3</v>
      </c>
      <c r="S1232">
        <v>0.11039673351113509</v>
      </c>
      <c r="T1232">
        <v>1.0300745163537446</v>
      </c>
      <c r="U1232">
        <v>0</v>
      </c>
      <c r="V1232">
        <v>0.20966375277684743</v>
      </c>
      <c r="W1232">
        <v>8.2742970850682648E-2</v>
      </c>
      <c r="X1232">
        <v>3.0346535720971242E-2</v>
      </c>
      <c r="Y1232">
        <v>3.5437260281611514E-3</v>
      </c>
    </row>
    <row r="1233" spans="1:25" x14ac:dyDescent="0.25">
      <c r="A1233" s="1095"/>
      <c r="B1233" s="1454">
        <v>983</v>
      </c>
      <c r="C1233" s="1099">
        <v>1.0012554469074775</v>
      </c>
      <c r="D1233" s="1099">
        <v>0.96795101878787515</v>
      </c>
      <c r="E1233" s="1099">
        <v>1.0338868179136067</v>
      </c>
      <c r="F1233" s="1099">
        <v>0.98809393161683456</v>
      </c>
      <c r="G1233" s="1099">
        <v>0.98611666962368905</v>
      </c>
      <c r="H1233" s="1099">
        <v>0.97085838215196674</v>
      </c>
      <c r="I1233" s="1099">
        <v>1.0316235946364842</v>
      </c>
      <c r="K1233">
        <v>1.7322799287474751</v>
      </c>
      <c r="L1233">
        <v>0</v>
      </c>
      <c r="M1233">
        <v>1.2655676673480468E-3</v>
      </c>
      <c r="N1233">
        <v>0.1289427370450511</v>
      </c>
      <c r="O1233">
        <v>0.12814564016612653</v>
      </c>
      <c r="P1233">
        <v>1.8711996734808549E-2</v>
      </c>
      <c r="Q1233">
        <v>9.4166584828083333E-4</v>
      </c>
      <c r="R1233">
        <v>1.2622228633221834E-3</v>
      </c>
      <c r="S1233">
        <v>0.11135765636776371</v>
      </c>
      <c r="T1233">
        <v>1.0178008876916607</v>
      </c>
      <c r="U1233">
        <v>0</v>
      </c>
      <c r="V1233">
        <v>0.20887641477779001</v>
      </c>
      <c r="W1233">
        <v>8.3039767825271768E-2</v>
      </c>
      <c r="X1233">
        <v>3.1031152552437088E-2</v>
      </c>
      <c r="Y1233">
        <v>3.4353545423079154E-3</v>
      </c>
    </row>
    <row r="1234" spans="1:25" x14ac:dyDescent="0.25">
      <c r="A1234" s="1095"/>
      <c r="B1234" s="1454">
        <v>984</v>
      </c>
      <c r="C1234" s="1099">
        <v>0.97192977524124291</v>
      </c>
      <c r="D1234" s="1099">
        <v>1.0065807090925931</v>
      </c>
      <c r="E1234" s="1099">
        <v>1.0105187716857655</v>
      </c>
      <c r="F1234" s="1099">
        <v>1.0346767114779978</v>
      </c>
      <c r="G1234" s="1099">
        <v>1.0328168480996625</v>
      </c>
      <c r="H1234" s="1099">
        <v>0.97590816099029165</v>
      </c>
      <c r="I1234" s="1099">
        <v>0.99349838478123265</v>
      </c>
      <c r="K1234">
        <v>1.7869618215810921</v>
      </c>
      <c r="L1234">
        <v>0</v>
      </c>
      <c r="M1234">
        <v>1.3466399360492528E-3</v>
      </c>
      <c r="N1234">
        <v>0.12786481563636823</v>
      </c>
      <c r="O1234">
        <v>0.13135725865208597</v>
      </c>
      <c r="P1234">
        <v>1.9104017019904065E-2</v>
      </c>
      <c r="Q1234">
        <v>9.3241630590313836E-4</v>
      </c>
      <c r="R1234">
        <v>1.3430786623930455E-3</v>
      </c>
      <c r="S1234">
        <v>0.10826430203913318</v>
      </c>
      <c r="T1234">
        <v>1.066487007295406</v>
      </c>
      <c r="U1234">
        <v>0</v>
      </c>
      <c r="V1234">
        <v>0.2148692134906672</v>
      </c>
      <c r="W1234">
        <v>8.3477149043933885E-2</v>
      </c>
      <c r="X1234">
        <v>3.095378599807555E-2</v>
      </c>
      <c r="Y1234">
        <v>3.6554173732718026E-3</v>
      </c>
    </row>
    <row r="1235" spans="1:25" x14ac:dyDescent="0.25">
      <c r="A1235" s="1095"/>
      <c r="B1235" s="1454">
        <v>985</v>
      </c>
      <c r="C1235" s="1099">
        <v>0.97789927046435632</v>
      </c>
      <c r="D1235" s="1099">
        <v>1.0102106151358072</v>
      </c>
      <c r="E1235" s="1099">
        <v>1.0228953609914644</v>
      </c>
      <c r="F1235" s="1099">
        <v>0.97769057692480965</v>
      </c>
      <c r="G1235" s="1099">
        <v>0.99116263360996426</v>
      </c>
      <c r="H1235" s="1099">
        <v>1.0242932138874232</v>
      </c>
      <c r="I1235" s="1099">
        <v>0.97199121155255341</v>
      </c>
      <c r="K1235">
        <v>1.7256317723915413</v>
      </c>
      <c r="L1235">
        <v>0</v>
      </c>
      <c r="M1235">
        <v>1.3601416982182213E-3</v>
      </c>
      <c r="N1235">
        <v>0.13407625768072254</v>
      </c>
      <c r="O1235">
        <v>0.12656627124903794</v>
      </c>
      <c r="P1235">
        <v>1.8378672574796043E-2</v>
      </c>
      <c r="Q1235">
        <v>9.3723597745843051E-4</v>
      </c>
      <c r="R1235">
        <v>1.3566970678808353E-3</v>
      </c>
      <c r="S1235">
        <v>0.10809147003636962</v>
      </c>
      <c r="T1235">
        <v>1.0073951706453843</v>
      </c>
      <c r="U1235">
        <v>0</v>
      </c>
      <c r="V1235">
        <v>0.20926244410730657</v>
      </c>
      <c r="W1235">
        <v>8.6899154366743739E-2</v>
      </c>
      <c r="X1235">
        <v>3.0336058200353792E-2</v>
      </c>
      <c r="Y1235">
        <v>3.6924821837034053E-3</v>
      </c>
    </row>
    <row r="1236" spans="1:25" x14ac:dyDescent="0.25">
      <c r="A1236" s="1095"/>
      <c r="B1236" s="1454">
        <v>986</v>
      </c>
      <c r="C1236" s="1099">
        <v>1.007342448160627</v>
      </c>
      <c r="D1236" s="1099">
        <v>1.031486360498995</v>
      </c>
      <c r="E1236" s="1099">
        <v>0.99982427520318196</v>
      </c>
      <c r="F1236" s="1099">
        <v>0.98178580425270245</v>
      </c>
      <c r="G1236" s="1099">
        <v>1.0162018037772973</v>
      </c>
      <c r="H1236" s="1099">
        <v>0.97531896748994085</v>
      </c>
      <c r="I1236" s="1099">
        <v>1.020300109019036</v>
      </c>
      <c r="K1236">
        <v>1.7001407116074616</v>
      </c>
      <c r="L1236">
        <v>0</v>
      </c>
      <c r="M1236">
        <v>1.3066599426203322E-3</v>
      </c>
      <c r="N1236">
        <v>0.12012334685701297</v>
      </c>
      <c r="O1236">
        <v>0.12434501315584126</v>
      </c>
      <c r="P1236">
        <v>1.807560206726172E-2</v>
      </c>
      <c r="Q1236">
        <v>8.8108820027473541E-4</v>
      </c>
      <c r="R1236">
        <v>1.3031809053225068E-3</v>
      </c>
      <c r="S1236">
        <v>0.10550319839628713</v>
      </c>
      <c r="T1236">
        <v>1.0122805217948845</v>
      </c>
      <c r="U1236">
        <v>0</v>
      </c>
      <c r="V1236">
        <v>0.20750982775069801</v>
      </c>
      <c r="W1236">
        <v>7.8921115763240124E-2</v>
      </c>
      <c r="X1236">
        <v>2.8957647828438848E-2</v>
      </c>
      <c r="Y1236">
        <v>3.5468288308178808E-3</v>
      </c>
    </row>
    <row r="1237" spans="1:25" x14ac:dyDescent="0.25">
      <c r="A1237" s="1095"/>
      <c r="B1237" s="1454">
        <v>987</v>
      </c>
      <c r="C1237" s="1099">
        <v>1.0087727723267725</v>
      </c>
      <c r="D1237" s="1099">
        <v>0.99464416756051155</v>
      </c>
      <c r="E1237" s="1099">
        <v>1.0259997493364226</v>
      </c>
      <c r="F1237" s="1099">
        <v>0.98327960092395306</v>
      </c>
      <c r="G1237" s="1099">
        <v>0.99137928998618674</v>
      </c>
      <c r="H1237" s="1099">
        <v>0.99079418315119938</v>
      </c>
      <c r="I1237" s="1099">
        <v>1.0123319885343987</v>
      </c>
      <c r="K1237">
        <v>1.7180488253247659</v>
      </c>
      <c r="L1237">
        <v>0</v>
      </c>
      <c r="M1237">
        <v>1.2827874116743509E-3</v>
      </c>
      <c r="N1237">
        <v>0.12763152128974189</v>
      </c>
      <c r="O1237">
        <v>0.12612571107230969</v>
      </c>
      <c r="P1237">
        <v>1.8472989200881168E-2</v>
      </c>
      <c r="Q1237">
        <v>9.1712220500126003E-4</v>
      </c>
      <c r="R1237">
        <v>1.2794490452549842E-3</v>
      </c>
      <c r="S1237">
        <v>0.1080565068494781</v>
      </c>
      <c r="T1237">
        <v>1.0130654742276028</v>
      </c>
      <c r="U1237">
        <v>0</v>
      </c>
      <c r="V1237">
        <v>0.20741329810948533</v>
      </c>
      <c r="W1237">
        <v>8.2572529556347501E-2</v>
      </c>
      <c r="X1237">
        <v>3.0314772649415723E-2</v>
      </c>
      <c r="Y1237">
        <v>3.4822385309196515E-3</v>
      </c>
    </row>
    <row r="1238" spans="1:25" x14ac:dyDescent="0.25">
      <c r="A1238" s="1095"/>
      <c r="B1238" s="1454">
        <v>988</v>
      </c>
      <c r="C1238" s="1099">
        <v>0.99609563933046996</v>
      </c>
      <c r="D1238" s="1099">
        <v>1.0184962094011756</v>
      </c>
      <c r="E1238" s="1099">
        <v>1.0070331980885185</v>
      </c>
      <c r="F1238" s="1099">
        <v>1.0179151670760747</v>
      </c>
      <c r="G1238" s="1099">
        <v>0.98208077962847418</v>
      </c>
      <c r="H1238" s="1099">
        <v>0.98319643098481346</v>
      </c>
      <c r="I1238" s="1099">
        <v>0.98219233162869324</v>
      </c>
      <c r="K1238">
        <v>1.7500519751159238</v>
      </c>
      <c r="L1238">
        <v>0</v>
      </c>
      <c r="M1238">
        <v>1.3249739773421355E-3</v>
      </c>
      <c r="N1238">
        <v>0.12449248000312205</v>
      </c>
      <c r="O1238">
        <v>0.12823455605012293</v>
      </c>
      <c r="P1238">
        <v>1.8684122922958166E-2</v>
      </c>
      <c r="Q1238">
        <v>9.0227144945684702E-4</v>
      </c>
      <c r="R1238">
        <v>1.3214902902821842E-3</v>
      </c>
      <c r="S1238">
        <v>0.10420940448371653</v>
      </c>
      <c r="T1238">
        <v>1.0493146890991805</v>
      </c>
      <c r="U1238">
        <v>0</v>
      </c>
      <c r="V1238">
        <v>0.20906602077184458</v>
      </c>
      <c r="W1238">
        <v>8.1442887559792024E-2</v>
      </c>
      <c r="X1238">
        <v>3.011236552179777E-2</v>
      </c>
      <c r="Y1238">
        <v>3.5966609409909919E-3</v>
      </c>
    </row>
    <row r="1239" spans="1:25" x14ac:dyDescent="0.25">
      <c r="A1239" s="1095"/>
      <c r="B1239" s="1454">
        <v>989</v>
      </c>
      <c r="C1239" s="1099">
        <v>1.014078454113112</v>
      </c>
      <c r="D1239" s="1099">
        <v>1.0150672649056769</v>
      </c>
      <c r="E1239" s="1099">
        <v>1.0036007375182558</v>
      </c>
      <c r="F1239" s="1099">
        <v>0.95712231746128162</v>
      </c>
      <c r="G1239" s="1099">
        <v>0.95959939841685726</v>
      </c>
      <c r="H1239" s="1099">
        <v>0.98075803806905859</v>
      </c>
      <c r="I1239" s="1099">
        <v>0.99922304770322745</v>
      </c>
      <c r="K1239">
        <v>1.6686861691648298</v>
      </c>
      <c r="L1239">
        <v>0</v>
      </c>
      <c r="M1239">
        <v>1.3051575671424401E-3</v>
      </c>
      <c r="N1239">
        <v>0.12136410656428635</v>
      </c>
      <c r="O1239">
        <v>0.12286491481847908</v>
      </c>
      <c r="P1239">
        <v>1.769958525851462E-2</v>
      </c>
      <c r="Q1239">
        <v>8.8432385724496654E-4</v>
      </c>
      <c r="R1239">
        <v>1.301706533721942E-3</v>
      </c>
      <c r="S1239">
        <v>0.10392667577346687</v>
      </c>
      <c r="T1239">
        <v>0.98674371086586476</v>
      </c>
      <c r="U1239">
        <v>0</v>
      </c>
      <c r="V1239">
        <v>0.20340763051419955</v>
      </c>
      <c r="W1239">
        <v>7.9557767626402098E-2</v>
      </c>
      <c r="X1239">
        <v>2.8698088842441186E-2</v>
      </c>
      <c r="Y1239">
        <v>3.5428160773476095E-3</v>
      </c>
    </row>
    <row r="1240" spans="1:25" x14ac:dyDescent="0.25">
      <c r="A1240" s="1095"/>
      <c r="B1240" s="1454">
        <v>990</v>
      </c>
      <c r="C1240" s="1099">
        <v>1.0078150383961046</v>
      </c>
      <c r="D1240" s="1099">
        <v>1.0130634838766199</v>
      </c>
      <c r="E1240" s="1099">
        <v>0.99145798418620601</v>
      </c>
      <c r="F1240" s="1099">
        <v>0.99151155048595996</v>
      </c>
      <c r="G1240" s="1099">
        <v>1.0171130641755253</v>
      </c>
      <c r="H1240" s="1099">
        <v>0.9744754492644675</v>
      </c>
      <c r="I1240" s="1099">
        <v>1.0019093432278359</v>
      </c>
      <c r="K1240">
        <v>1.713076248668592</v>
      </c>
      <c r="L1240">
        <v>0</v>
      </c>
      <c r="M1240">
        <v>1.3430801305349422E-3</v>
      </c>
      <c r="N1240">
        <v>0.12038983350354866</v>
      </c>
      <c r="O1240">
        <v>0.12582757483279494</v>
      </c>
      <c r="P1240">
        <v>1.8104784228479342E-2</v>
      </c>
      <c r="Q1240">
        <v>8.7936765434895299E-4</v>
      </c>
      <c r="R1240">
        <v>1.3395162933500077E-3</v>
      </c>
      <c r="S1240">
        <v>0.10469917377615855</v>
      </c>
      <c r="T1240">
        <v>1.0225560241468097</v>
      </c>
      <c r="U1240">
        <v>0</v>
      </c>
      <c r="V1240">
        <v>0.20852230923643955</v>
      </c>
      <c r="W1240">
        <v>7.9491844281237775E-2</v>
      </c>
      <c r="X1240">
        <v>2.8963179066886433E-2</v>
      </c>
      <c r="Y1240">
        <v>3.6457217790712942E-3</v>
      </c>
    </row>
    <row r="1241" spans="1:25" x14ac:dyDescent="0.25">
      <c r="A1241" s="1095"/>
      <c r="B1241" s="1454">
        <v>991</v>
      </c>
      <c r="C1241" s="1099">
        <v>1.0059056173658605</v>
      </c>
      <c r="D1241" s="1099">
        <v>0.97389937277159722</v>
      </c>
      <c r="E1241" s="1099">
        <v>1.0032547032411301</v>
      </c>
      <c r="F1241" s="1099">
        <v>0.9836472642064813</v>
      </c>
      <c r="G1241" s="1099">
        <v>1.0361173838909536</v>
      </c>
      <c r="H1241" s="1099">
        <v>1.0007353473989751</v>
      </c>
      <c r="I1241" s="1099">
        <v>0.98179137018225071</v>
      </c>
      <c r="K1241">
        <v>1.7233854435270668</v>
      </c>
      <c r="L1241">
        <v>0</v>
      </c>
      <c r="M1241">
        <v>1.3789501682146422E-3</v>
      </c>
      <c r="N1241">
        <v>0.12810190387740733</v>
      </c>
      <c r="O1241">
        <v>0.12716434969903453</v>
      </c>
      <c r="P1241">
        <v>1.820817987580494E-2</v>
      </c>
      <c r="Q1241">
        <v>9.0607141716237294E-4</v>
      </c>
      <c r="R1241">
        <v>1.3754104582740416E-3</v>
      </c>
      <c r="S1241">
        <v>0.10710588768382687</v>
      </c>
      <c r="T1241">
        <v>1.0140996455902545</v>
      </c>
      <c r="U1241">
        <v>0</v>
      </c>
      <c r="V1241">
        <v>0.21039970332522259</v>
      </c>
      <c r="W1241">
        <v>8.3991819037470439E-2</v>
      </c>
      <c r="X1241">
        <v>2.9668008867335983E-2</v>
      </c>
      <c r="Y1241">
        <v>3.7434138634862258E-3</v>
      </c>
    </row>
    <row r="1242" spans="1:25" x14ac:dyDescent="0.25">
      <c r="A1242" s="1095"/>
      <c r="B1242" s="1454">
        <v>992</v>
      </c>
      <c r="C1242" s="1099">
        <v>0.98450899636388578</v>
      </c>
      <c r="D1242" s="1099">
        <v>0.98766080784302124</v>
      </c>
      <c r="E1242" s="1099">
        <v>0.96113079790204481</v>
      </c>
      <c r="F1242" s="1099">
        <v>1.0087799515383933</v>
      </c>
      <c r="G1242" s="1099">
        <v>1.0094999675051768</v>
      </c>
      <c r="H1242" s="1099">
        <v>1.0471646790381444</v>
      </c>
      <c r="I1242" s="1099">
        <v>1.0013767114479799</v>
      </c>
      <c r="K1242">
        <v>1.7665759460636721</v>
      </c>
      <c r="L1242">
        <v>0</v>
      </c>
      <c r="M1242">
        <v>1.5959531607304444E-3</v>
      </c>
      <c r="N1242">
        <v>0.13053628326896247</v>
      </c>
      <c r="O1242">
        <v>0.12939218072745168</v>
      </c>
      <c r="P1242">
        <v>1.8103843437988792E-2</v>
      </c>
      <c r="Q1242">
        <v>8.8087267435172333E-4</v>
      </c>
      <c r="R1242">
        <v>1.5920293429719256E-3</v>
      </c>
      <c r="S1242">
        <v>0.11392853008094744</v>
      </c>
      <c r="T1242">
        <v>1.0412962177564655</v>
      </c>
      <c r="U1242">
        <v>0</v>
      </c>
      <c r="V1242">
        <v>0.21171433208719545</v>
      </c>
      <c r="W1242">
        <v>8.7789092439968797E-2</v>
      </c>
      <c r="X1242">
        <v>2.8605538348861353E-2</v>
      </c>
      <c r="Y1242">
        <v>4.3329790592377179E-3</v>
      </c>
    </row>
    <row r="1243" spans="1:25" x14ac:dyDescent="0.25">
      <c r="A1243" s="1095"/>
      <c r="B1243" s="1454">
        <v>993</v>
      </c>
      <c r="C1243" s="1099">
        <v>1.0107655306998975</v>
      </c>
      <c r="D1243" s="1099">
        <v>1.0192432418876616</v>
      </c>
      <c r="E1243" s="1099">
        <v>1.0136265387057866</v>
      </c>
      <c r="F1243" s="1099">
        <v>1.0239873121539529</v>
      </c>
      <c r="G1243" s="1099">
        <v>0.97602334946037528</v>
      </c>
      <c r="H1243" s="1099">
        <v>1.0169406853901586</v>
      </c>
      <c r="I1243" s="1099">
        <v>1.0103469119770299</v>
      </c>
      <c r="K1243">
        <v>1.7641605477200799</v>
      </c>
      <c r="L1243">
        <v>0</v>
      </c>
      <c r="M1243">
        <v>1.3338206487934071E-3</v>
      </c>
      <c r="N1243">
        <v>0.12785491309770958</v>
      </c>
      <c r="O1243">
        <v>0.12792469244447785</v>
      </c>
      <c r="P1243">
        <v>1.8895196615068416E-2</v>
      </c>
      <c r="Q1243">
        <v>8.9497938703320676E-4</v>
      </c>
      <c r="R1243">
        <v>1.3304352233911715E-3</v>
      </c>
      <c r="S1243">
        <v>0.10805467809634083</v>
      </c>
      <c r="T1243">
        <v>1.0553755118836623</v>
      </c>
      <c r="U1243">
        <v>0</v>
      </c>
      <c r="V1243">
        <v>0.20785379113420227</v>
      </c>
      <c r="W1243">
        <v>8.3318106867074901E-2</v>
      </c>
      <c r="X1243">
        <v>3.0371057519694447E-2</v>
      </c>
      <c r="Y1243">
        <v>3.6210061002172472E-3</v>
      </c>
    </row>
    <row r="1244" spans="1:25" x14ac:dyDescent="0.25">
      <c r="A1244" s="1095"/>
      <c r="B1244" s="1454">
        <v>994</v>
      </c>
      <c r="C1244" s="1099">
        <v>1.0304647482546085</v>
      </c>
      <c r="D1244" s="1099">
        <v>1.006486505614506</v>
      </c>
      <c r="E1244" s="1099">
        <v>1.0098044819400374</v>
      </c>
      <c r="F1244" s="1099">
        <v>1.002044227530595</v>
      </c>
      <c r="G1244" s="1099">
        <v>0.98329489719572849</v>
      </c>
      <c r="H1244" s="1099">
        <v>0.9953148174068045</v>
      </c>
      <c r="I1244" s="1099">
        <v>1.0259246916733586</v>
      </c>
      <c r="K1244">
        <v>1.7277261719503001</v>
      </c>
      <c r="L1244">
        <v>0</v>
      </c>
      <c r="M1244">
        <v>1.3000278566715779E-3</v>
      </c>
      <c r="N1244">
        <v>0.12318007478673922</v>
      </c>
      <c r="O1244">
        <v>0.1258548740264572</v>
      </c>
      <c r="P1244">
        <v>1.8489686017515258E-2</v>
      </c>
      <c r="Q1244">
        <v>8.7883626722081852E-4</v>
      </c>
      <c r="R1244">
        <v>1.2966637648860642E-3</v>
      </c>
      <c r="S1244">
        <v>0.10693793319858408</v>
      </c>
      <c r="T1244">
        <v>1.0328723250418548</v>
      </c>
      <c r="U1244">
        <v>0</v>
      </c>
      <c r="V1244">
        <v>0.2058343456355877</v>
      </c>
      <c r="W1244">
        <v>8.0452568987014902E-2</v>
      </c>
      <c r="X1244">
        <v>2.9699800758186366E-2</v>
      </c>
      <c r="Y1244">
        <v>3.5290913229246495E-3</v>
      </c>
    </row>
    <row r="1245" spans="1:25" x14ac:dyDescent="0.25">
      <c r="A1245" s="1095"/>
      <c r="B1245" s="1454">
        <v>995</v>
      </c>
      <c r="C1245" s="1099">
        <v>1.0182474946318905</v>
      </c>
      <c r="D1245" s="1099">
        <v>1.0348083601547744</v>
      </c>
      <c r="E1245" s="1099">
        <v>1.0098765214302272</v>
      </c>
      <c r="F1245" s="1099">
        <v>0.98720266895590292</v>
      </c>
      <c r="G1245" s="1099">
        <v>0.96949303309912993</v>
      </c>
      <c r="H1245" s="1099">
        <v>1.0051588614800286</v>
      </c>
      <c r="I1245" s="1099">
        <v>1.0004384880581794</v>
      </c>
      <c r="K1245">
        <v>1.7067354654276645</v>
      </c>
      <c r="L1245">
        <v>0</v>
      </c>
      <c r="M1245">
        <v>1.3039544477532693E-3</v>
      </c>
      <c r="N1245">
        <v>0.12357974987693511</v>
      </c>
      <c r="O1245">
        <v>0.12410117383798658</v>
      </c>
      <c r="P1245">
        <v>1.822614230628648E-2</v>
      </c>
      <c r="Q1245">
        <v>8.7962839353828196E-4</v>
      </c>
      <c r="R1245">
        <v>1.300588077807764E-3</v>
      </c>
      <c r="S1245">
        <v>0.10425008200993514</v>
      </c>
      <c r="T1245">
        <v>1.017572069542694</v>
      </c>
      <c r="U1245">
        <v>0</v>
      </c>
      <c r="V1245">
        <v>0.20457128074427813</v>
      </c>
      <c r="W1245">
        <v>8.0710179601290136E-2</v>
      </c>
      <c r="X1245">
        <v>2.9308753475617653E-2</v>
      </c>
      <c r="Y1245">
        <v>3.5397720090481095E-3</v>
      </c>
    </row>
    <row r="1246" spans="1:25" x14ac:dyDescent="0.25">
      <c r="A1246" s="1095"/>
      <c r="B1246" s="1454">
        <v>996</v>
      </c>
      <c r="C1246" s="1099">
        <v>0.95808488715700679</v>
      </c>
      <c r="D1246" s="1099">
        <v>0.99005460556330016</v>
      </c>
      <c r="E1246" s="1099">
        <v>0.99890989845378997</v>
      </c>
      <c r="F1246" s="1099">
        <v>0.96445559830390759</v>
      </c>
      <c r="G1246" s="1099">
        <v>0.98238349625026067</v>
      </c>
      <c r="H1246" s="1099">
        <v>1.0309176339360289</v>
      </c>
      <c r="I1246" s="1099">
        <v>1.0153976123700694</v>
      </c>
      <c r="K1246">
        <v>1.7268813982252256</v>
      </c>
      <c r="L1246">
        <v>0</v>
      </c>
      <c r="M1246">
        <v>1.4815698885034328E-3</v>
      </c>
      <c r="N1246">
        <v>0.13584749468588805</v>
      </c>
      <c r="O1246">
        <v>0.12741161836041864</v>
      </c>
      <c r="P1246">
        <v>1.8015528182224128E-2</v>
      </c>
      <c r="Q1246">
        <v>9.4081103739196523E-4</v>
      </c>
      <c r="R1246">
        <v>1.4778444481808447E-3</v>
      </c>
      <c r="S1246">
        <v>0.11690598845321079</v>
      </c>
      <c r="T1246">
        <v>0.99443826376866507</v>
      </c>
      <c r="U1246">
        <v>0</v>
      </c>
      <c r="V1246">
        <v>0.21043748074491631</v>
      </c>
      <c r="W1246">
        <v>8.9300432818324699E-2</v>
      </c>
      <c r="X1246">
        <v>2.9565300197851682E-2</v>
      </c>
      <c r="Y1246">
        <v>4.0222054166568462E-3</v>
      </c>
    </row>
    <row r="1247" spans="1:25" x14ac:dyDescent="0.25">
      <c r="A1247" s="1095"/>
      <c r="B1247" s="1454">
        <v>997</v>
      </c>
      <c r="C1247" s="1099">
        <v>1.0337419058934851</v>
      </c>
      <c r="D1247" s="1099">
        <v>1.0288480973445369</v>
      </c>
      <c r="E1247" s="1099">
        <v>0.97335826193015584</v>
      </c>
      <c r="F1247" s="1099">
        <v>0.98550117265306025</v>
      </c>
      <c r="G1247" s="1099">
        <v>0.99552296122759287</v>
      </c>
      <c r="H1247" s="1099">
        <v>1.0299822743572375</v>
      </c>
      <c r="I1247" s="1099">
        <v>0.97514176242492623</v>
      </c>
      <c r="K1247">
        <v>1.6988842543951643</v>
      </c>
      <c r="L1247">
        <v>0</v>
      </c>
      <c r="M1247">
        <v>1.4259179474709418E-3</v>
      </c>
      <c r="N1247">
        <v>0.12102186208346187</v>
      </c>
      <c r="O1247">
        <v>0.12333368940446861</v>
      </c>
      <c r="P1247">
        <v>1.7694460869542395E-2</v>
      </c>
      <c r="Q1247">
        <v>8.3603886612107763E-4</v>
      </c>
      <c r="R1247">
        <v>1.422333180099389E-3</v>
      </c>
      <c r="S1247">
        <v>0.10206973910902864</v>
      </c>
      <c r="T1247">
        <v>1.0168970719711503</v>
      </c>
      <c r="U1247">
        <v>0</v>
      </c>
      <c r="V1247">
        <v>0.20457160927480486</v>
      </c>
      <c r="W1247">
        <v>8.0785610525290041E-2</v>
      </c>
      <c r="X1247">
        <v>2.7806635014442169E-2</v>
      </c>
      <c r="Y1247">
        <v>3.8711220442237287E-3</v>
      </c>
    </row>
    <row r="1248" spans="1:25" x14ac:dyDescent="0.25">
      <c r="A1248" s="1095"/>
      <c r="B1248" s="1454">
        <v>998</v>
      </c>
      <c r="C1248" s="1099">
        <v>1.001239622868753</v>
      </c>
      <c r="D1248" s="1099">
        <v>1.0343742261884026</v>
      </c>
      <c r="E1248" s="1099">
        <v>0.99023846615048228</v>
      </c>
      <c r="F1248" s="1099">
        <v>0.99981275087992905</v>
      </c>
      <c r="G1248" s="1099">
        <v>1.0278782054167956</v>
      </c>
      <c r="H1248" s="1099">
        <v>0.9674211910595033</v>
      </c>
      <c r="I1248" s="1099">
        <v>0.96791998327625517</v>
      </c>
      <c r="K1248">
        <v>1.7151740421184076</v>
      </c>
      <c r="L1248">
        <v>0</v>
      </c>
      <c r="M1248">
        <v>1.3293308576414707E-3</v>
      </c>
      <c r="N1248">
        <v>0.11871537054028851</v>
      </c>
      <c r="O1248">
        <v>0.12583826506279316</v>
      </c>
      <c r="P1248">
        <v>1.8153557328025847E-2</v>
      </c>
      <c r="Q1248">
        <v>8.7668801961501082E-4</v>
      </c>
      <c r="R1248">
        <v>1.3257643653055646E-3</v>
      </c>
      <c r="S1248">
        <v>0.10005135185369887</v>
      </c>
      <c r="T1248">
        <v>1.0311537154543506</v>
      </c>
      <c r="U1248">
        <v>0</v>
      </c>
      <c r="V1248">
        <v>0.20940296740066022</v>
      </c>
      <c r="W1248">
        <v>7.8443466876868553E-2</v>
      </c>
      <c r="X1248">
        <v>2.8933932510184567E-2</v>
      </c>
      <c r="Y1248">
        <v>3.6082935642561807E-3</v>
      </c>
    </row>
    <row r="1249" spans="1:25" x14ac:dyDescent="0.25">
      <c r="A1249" s="1095"/>
      <c r="B1249" s="1454">
        <v>999</v>
      </c>
      <c r="C1249" s="1099">
        <v>1.0162793512183679</v>
      </c>
      <c r="D1249" s="1099">
        <v>1.0139342133812113</v>
      </c>
      <c r="E1249" s="1099">
        <v>1.0206509340352097</v>
      </c>
      <c r="F1249" s="1099">
        <v>0.9908735981422232</v>
      </c>
      <c r="G1249" s="1099">
        <v>0.98937873618661865</v>
      </c>
      <c r="H1249" s="1099">
        <v>1.003330680302966</v>
      </c>
      <c r="I1249" s="1099">
        <v>0.9935116181097845</v>
      </c>
      <c r="K1249">
        <v>1.7191885341728017</v>
      </c>
      <c r="L1249">
        <v>0</v>
      </c>
      <c r="M1249">
        <v>1.2908443273325851E-3</v>
      </c>
      <c r="N1249">
        <v>0.12638120456473112</v>
      </c>
      <c r="O1249">
        <v>0.12543353666788026</v>
      </c>
      <c r="P1249">
        <v>1.8455856358988734E-2</v>
      </c>
      <c r="Q1249">
        <v>8.9844570125299382E-4</v>
      </c>
      <c r="R1249">
        <v>1.2875191626875524E-3</v>
      </c>
      <c r="S1249">
        <v>0.10494906893436305</v>
      </c>
      <c r="T1249">
        <v>1.0210433985716376</v>
      </c>
      <c r="U1249">
        <v>0</v>
      </c>
      <c r="V1249">
        <v>0.20651071820546379</v>
      </c>
      <c r="W1249">
        <v>8.2019221507769205E-2</v>
      </c>
      <c r="X1249">
        <v>2.9996206095100626E-2</v>
      </c>
      <c r="Y1249">
        <v>3.5042027302576054E-3</v>
      </c>
    </row>
    <row r="1250" spans="1:25" x14ac:dyDescent="0.25">
      <c r="A1250" s="1095"/>
      <c r="B1250" s="1454">
        <v>1000</v>
      </c>
      <c r="C1250" s="1099">
        <v>1.0136962162498728</v>
      </c>
      <c r="D1250" s="1099">
        <v>1.0119907642444317</v>
      </c>
      <c r="E1250" s="1099">
        <v>1.0021497108704842</v>
      </c>
      <c r="F1250" s="1099">
        <v>0.98650063667463372</v>
      </c>
      <c r="G1250" s="1099">
        <v>1.0113845150029264</v>
      </c>
      <c r="H1250" s="1099">
        <v>1.0248593179855094</v>
      </c>
      <c r="I1250" s="1099">
        <v>1.0211071509616543</v>
      </c>
      <c r="K1250">
        <v>1.7224824738478932</v>
      </c>
      <c r="L1250">
        <v>0</v>
      </c>
      <c r="M1250">
        <v>1.3744633676868638E-3</v>
      </c>
      <c r="N1250">
        <v>0.12726530172255038</v>
      </c>
      <c r="O1250">
        <v>0.12524698255666494</v>
      </c>
      <c r="P1250">
        <v>1.8230521256267559E-2</v>
      </c>
      <c r="Q1250">
        <v>8.8440260760312098E-4</v>
      </c>
      <c r="R1250">
        <v>1.3709964146537625E-3</v>
      </c>
      <c r="S1250">
        <v>0.10969857299787024</v>
      </c>
      <c r="T1250">
        <v>1.0170736715665301</v>
      </c>
      <c r="U1250">
        <v>0</v>
      </c>
      <c r="V1250">
        <v>0.20756401690752532</v>
      </c>
      <c r="W1250">
        <v>8.349799133695314E-2</v>
      </c>
      <c r="X1250">
        <v>2.9293079557121692E-2</v>
      </c>
      <c r="Y1250">
        <v>3.7314002918409162E-3</v>
      </c>
    </row>
    <row r="1251" spans="1:25" x14ac:dyDescent="0.25">
      <c r="A1251" s="1095"/>
      <c r="B1251" s="1454">
        <v>1001</v>
      </c>
      <c r="C1251" s="1099">
        <v>0.98594960466020276</v>
      </c>
      <c r="D1251" s="1099">
        <v>1.0179915675028557</v>
      </c>
      <c r="E1251" s="1099">
        <v>1.0084145256086416</v>
      </c>
      <c r="F1251" s="1099">
        <v>0.99468848249235764</v>
      </c>
      <c r="G1251" s="1099">
        <v>1.0125999614164496</v>
      </c>
      <c r="H1251" s="1099">
        <v>1.0278761829101604</v>
      </c>
      <c r="I1251" s="1099">
        <v>0.97139063508018564</v>
      </c>
      <c r="K1251">
        <v>1.7398389585230745</v>
      </c>
      <c r="L1251">
        <v>0</v>
      </c>
      <c r="M1251">
        <v>1.3919298481550669E-3</v>
      </c>
      <c r="N1251">
        <v>0.13134432620875494</v>
      </c>
      <c r="O1251">
        <v>0.12703917560516051</v>
      </c>
      <c r="P1251">
        <v>1.842842042841281E-2</v>
      </c>
      <c r="Q1251">
        <v>9.1303843978384727E-4</v>
      </c>
      <c r="R1251">
        <v>1.3884196980809343E-3</v>
      </c>
      <c r="S1251">
        <v>0.10700942699368024</v>
      </c>
      <c r="T1251">
        <v>1.0253310043588104</v>
      </c>
      <c r="U1251">
        <v>0</v>
      </c>
      <c r="V1251">
        <v>0.21022257269285885</v>
      </c>
      <c r="W1251">
        <v>8.585527388858219E-2</v>
      </c>
      <c r="X1251">
        <v>2.9920409331355629E-2</v>
      </c>
      <c r="Y1251">
        <v>3.7788207257458393E-3</v>
      </c>
    </row>
    <row r="1252" spans="1:25" x14ac:dyDescent="0.25">
      <c r="A1252" s="1095"/>
      <c r="B1252" s="1454">
        <v>1002</v>
      </c>
      <c r="C1252" s="1099">
        <v>1.0263375933246972</v>
      </c>
      <c r="D1252" s="1099">
        <v>1.0369236914391222</v>
      </c>
      <c r="E1252" s="1099">
        <v>0.95270588534425904</v>
      </c>
      <c r="F1252" s="1099">
        <v>0.99212403229204993</v>
      </c>
      <c r="G1252" s="1099">
        <v>0.97190093460721194</v>
      </c>
      <c r="H1252" s="1099">
        <v>0.97824237006212889</v>
      </c>
      <c r="I1252" s="1099">
        <v>1.0121333241246029</v>
      </c>
      <c r="K1252">
        <v>1.6934878057140956</v>
      </c>
      <c r="L1252">
        <v>0</v>
      </c>
      <c r="M1252">
        <v>1.4168157390123319E-3</v>
      </c>
      <c r="N1252">
        <v>0.11294091880959801</v>
      </c>
      <c r="O1252">
        <v>0.12375768727027338</v>
      </c>
      <c r="P1252">
        <v>1.751423464226835E-2</v>
      </c>
      <c r="Q1252">
        <v>8.2130570756057722E-4</v>
      </c>
      <c r="R1252">
        <v>1.4130597855947619E-3</v>
      </c>
      <c r="S1252">
        <v>0.10266289827387932</v>
      </c>
      <c r="T1252">
        <v>1.0243626786872966</v>
      </c>
      <c r="U1252">
        <v>0</v>
      </c>
      <c r="V1252">
        <v>0.20407356283372902</v>
      </c>
      <c r="W1252">
        <v>7.6350317697613621E-2</v>
      </c>
      <c r="X1252">
        <v>2.7162074823938925E-2</v>
      </c>
      <c r="Y1252">
        <v>3.8458829213558108E-3</v>
      </c>
    </row>
    <row r="1253" spans="1:25" x14ac:dyDescent="0.25">
      <c r="A1253" s="1095"/>
      <c r="B1253" s="1454">
        <v>1003</v>
      </c>
      <c r="C1253" s="1099">
        <v>0.99609375857856919</v>
      </c>
      <c r="D1253" s="1099">
        <v>1.0011389295264679</v>
      </c>
      <c r="E1253" s="1099">
        <v>0.98280510846270419</v>
      </c>
      <c r="F1253" s="1099">
        <v>0.99779137898642434</v>
      </c>
      <c r="G1253" s="1099">
        <v>1.018704013538223</v>
      </c>
      <c r="H1253" s="1099">
        <v>1.0053774707214824</v>
      </c>
      <c r="I1253" s="1099">
        <v>0.97740865571757007</v>
      </c>
      <c r="K1253">
        <v>1.7337483435077181</v>
      </c>
      <c r="L1253">
        <v>0</v>
      </c>
      <c r="M1253">
        <v>1.436694371652635E-3</v>
      </c>
      <c r="N1253">
        <v>0.12546588852125468</v>
      </c>
      <c r="O1253">
        <v>0.12741006466067381</v>
      </c>
      <c r="P1253">
        <v>1.8120631707702162E-2</v>
      </c>
      <c r="Q1253">
        <v>8.8590054097388365E-4</v>
      </c>
      <c r="R1253">
        <v>1.4330059995993204E-3</v>
      </c>
      <c r="S1253">
        <v>0.10617282124707389</v>
      </c>
      <c r="T1253">
        <v>1.0292924437596749</v>
      </c>
      <c r="U1253">
        <v>0</v>
      </c>
      <c r="V1253">
        <v>0.21023980852306529</v>
      </c>
      <c r="W1253">
        <v>8.327502185271915E-2</v>
      </c>
      <c r="X1253">
        <v>2.8989281126026268E-2</v>
      </c>
      <c r="Y1253">
        <v>3.9001699406085405E-3</v>
      </c>
    </row>
    <row r="1254" spans="1:25" x14ac:dyDescent="0.25">
      <c r="A1254" s="1095"/>
      <c r="B1254" s="1454">
        <v>1004</v>
      </c>
      <c r="C1254" s="1099">
        <v>0.99645681489608595</v>
      </c>
      <c r="D1254" s="1099">
        <v>1.0197745597453673</v>
      </c>
      <c r="E1254" s="1099">
        <v>1.0090022883766596</v>
      </c>
      <c r="F1254" s="1099">
        <v>1.0097456234763031</v>
      </c>
      <c r="G1254" s="1099">
        <v>0.97174411758373092</v>
      </c>
      <c r="H1254" s="1099">
        <v>1.0131832011793507</v>
      </c>
      <c r="I1254" s="1099">
        <v>0.99572068986089757</v>
      </c>
      <c r="K1254">
        <v>1.7494672638496163</v>
      </c>
      <c r="L1254">
        <v>0</v>
      </c>
      <c r="M1254">
        <v>1.3574352913341401E-3</v>
      </c>
      <c r="N1254">
        <v>0.12831278232409529</v>
      </c>
      <c r="O1254">
        <v>0.12755571297860208</v>
      </c>
      <c r="P1254">
        <v>1.8627403636524206E-2</v>
      </c>
      <c r="Q1254">
        <v>9.0332646454678188E-4</v>
      </c>
      <c r="R1254">
        <v>1.3539688191499906E-3</v>
      </c>
      <c r="S1254">
        <v>0.10755497632229921</v>
      </c>
      <c r="T1254">
        <v>1.0408345088217061</v>
      </c>
      <c r="U1254">
        <v>0</v>
      </c>
      <c r="V1254">
        <v>0.20808234713863136</v>
      </c>
      <c r="W1254">
        <v>8.3844563498388702E-2</v>
      </c>
      <c r="X1254">
        <v>3.0070052346982758E-2</v>
      </c>
      <c r="Y1254">
        <v>3.6850567900249972E-3</v>
      </c>
    </row>
    <row r="1255" spans="1:25" x14ac:dyDescent="0.25">
      <c r="A1255" s="1095"/>
      <c r="B1255" s="1454">
        <v>1005</v>
      </c>
      <c r="C1255" s="1099">
        <v>1.0474633618613076</v>
      </c>
      <c r="D1255" s="1099">
        <v>1.044198499381459</v>
      </c>
      <c r="E1255" s="1099">
        <v>0.9828860390735048</v>
      </c>
      <c r="F1255" s="1099">
        <v>0.9883369287339675</v>
      </c>
      <c r="G1255" s="1099">
        <v>1.013246929364203</v>
      </c>
      <c r="H1255" s="1099">
        <v>1.0045338911097645</v>
      </c>
      <c r="I1255" s="1099">
        <v>0.98188311614965684</v>
      </c>
      <c r="K1255">
        <v>1.6891821536341665</v>
      </c>
      <c r="L1255">
        <v>0</v>
      </c>
      <c r="M1255">
        <v>1.3356127549327362E-3</v>
      </c>
      <c r="N1255">
        <v>0.11666533025816804</v>
      </c>
      <c r="O1255">
        <v>0.12226439802703218</v>
      </c>
      <c r="P1255">
        <v>1.7810746070791625E-2</v>
      </c>
      <c r="Q1255">
        <v>8.2845254246217623E-4</v>
      </c>
      <c r="R1255">
        <v>1.332164432214656E-3</v>
      </c>
      <c r="S1255">
        <v>9.897200403695014E-2</v>
      </c>
      <c r="T1255">
        <v>1.0195370903238534</v>
      </c>
      <c r="U1255">
        <v>0</v>
      </c>
      <c r="V1255">
        <v>0.20410644197741207</v>
      </c>
      <c r="W1255">
        <v>7.7430083638052469E-2</v>
      </c>
      <c r="X1255">
        <v>2.7945342645559486E-2</v>
      </c>
      <c r="Y1255">
        <v>3.6257124366012392E-3</v>
      </c>
    </row>
    <row r="1256" spans="1:25" x14ac:dyDescent="0.25">
      <c r="A1256" s="1095"/>
      <c r="B1256" s="1454">
        <v>1006</v>
      </c>
      <c r="C1256" s="1099">
        <v>1.0070306720848026</v>
      </c>
      <c r="D1256" s="1099">
        <v>0.98068760155820922</v>
      </c>
      <c r="E1256" s="1099">
        <v>0.99065038992154719</v>
      </c>
      <c r="F1256" s="1099">
        <v>0.9951124493700233</v>
      </c>
      <c r="G1256" s="1099">
        <v>1.011277634963818</v>
      </c>
      <c r="H1256" s="1099">
        <v>1.0160937452606715</v>
      </c>
      <c r="I1256" s="1099">
        <v>1.0303226152503846</v>
      </c>
      <c r="K1256">
        <v>1.7412854675084837</v>
      </c>
      <c r="L1256">
        <v>0</v>
      </c>
      <c r="M1256">
        <v>1.4313358815210011E-3</v>
      </c>
      <c r="N1256">
        <v>0.12800398111412001</v>
      </c>
      <c r="O1256">
        <v>0.12761519404208574</v>
      </c>
      <c r="P1256">
        <v>1.8269113549565313E-2</v>
      </c>
      <c r="Q1256">
        <v>8.9081112455495742E-4</v>
      </c>
      <c r="R1256">
        <v>1.427716578919151E-3</v>
      </c>
      <c r="S1256">
        <v>0.11296339364378502</v>
      </c>
      <c r="T1256">
        <v>1.0262937722632484</v>
      </c>
      <c r="U1256">
        <v>0</v>
      </c>
      <c r="V1256">
        <v>0.2094597197731515</v>
      </c>
      <c r="W1256">
        <v>8.4560233212904137E-2</v>
      </c>
      <c r="X1256">
        <v>2.9347094206496189E-2</v>
      </c>
      <c r="Y1256">
        <v>3.8857738811741774E-3</v>
      </c>
    </row>
    <row r="1257" spans="1:25" x14ac:dyDescent="0.25">
      <c r="A1257" s="1095"/>
      <c r="B1257" s="1454">
        <v>1007</v>
      </c>
      <c r="C1257" s="1099">
        <v>1.0143542243871602</v>
      </c>
      <c r="D1257" s="1099">
        <v>1.0132253836679657</v>
      </c>
      <c r="E1257" s="1099">
        <v>1.0036482009613668</v>
      </c>
      <c r="F1257" s="1099">
        <v>0.9666862766643135</v>
      </c>
      <c r="G1257" s="1099">
        <v>1.0435829115570665</v>
      </c>
      <c r="H1257" s="1099">
        <v>0.96445693224068796</v>
      </c>
      <c r="I1257" s="1099">
        <v>1.0281153129305352</v>
      </c>
      <c r="K1257">
        <v>1.6833203957115259</v>
      </c>
      <c r="L1257">
        <v>0</v>
      </c>
      <c r="M1257">
        <v>1.2854995642966255E-3</v>
      </c>
      <c r="N1257">
        <v>0.11954832278022745</v>
      </c>
      <c r="O1257">
        <v>0.12366255947974511</v>
      </c>
      <c r="P1257">
        <v>1.7925461334424488E-2</v>
      </c>
      <c r="Q1257">
        <v>8.8476939132655697E-4</v>
      </c>
      <c r="R1257">
        <v>1.2820473018755709E-3</v>
      </c>
      <c r="S1257">
        <v>0.10594005747824807</v>
      </c>
      <c r="T1257">
        <v>0.99660230020239793</v>
      </c>
      <c r="U1257">
        <v>0</v>
      </c>
      <c r="V1257">
        <v>0.20800273752160428</v>
      </c>
      <c r="W1257">
        <v>7.8365263183061543E-2</v>
      </c>
      <c r="X1257">
        <v>2.8903066473984277E-2</v>
      </c>
      <c r="Y1257">
        <v>3.4893101289258234E-3</v>
      </c>
    </row>
    <row r="1258" spans="1:25" x14ac:dyDescent="0.25">
      <c r="A1258" s="1095"/>
      <c r="B1258" s="1454">
        <v>1008</v>
      </c>
      <c r="C1258" s="1099">
        <v>1.0409868035495216</v>
      </c>
      <c r="D1258" s="1099">
        <v>0.98761357057285082</v>
      </c>
      <c r="E1258" s="1099">
        <v>0.97845638322351036</v>
      </c>
      <c r="F1258" s="1099">
        <v>1.0030679632034791</v>
      </c>
      <c r="G1258" s="1099">
        <v>0.97673820286101831</v>
      </c>
      <c r="H1258" s="1099">
        <v>0.99123025736114445</v>
      </c>
      <c r="I1258" s="1099">
        <v>1.0112840787869009</v>
      </c>
      <c r="K1258">
        <v>1.7214768257133817</v>
      </c>
      <c r="L1258">
        <v>0</v>
      </c>
      <c r="M1258">
        <v>1.3843100151224434E-3</v>
      </c>
      <c r="N1258">
        <v>0.11930870976060133</v>
      </c>
      <c r="O1258">
        <v>0.12615099679319902</v>
      </c>
      <c r="P1258">
        <v>1.8056567172557724E-2</v>
      </c>
      <c r="Q1258">
        <v>8.484463358936936E-4</v>
      </c>
      <c r="R1258">
        <v>1.3807293945190067E-3</v>
      </c>
      <c r="S1258">
        <v>0.10530706103999171</v>
      </c>
      <c r="T1258">
        <v>1.0348678062067092</v>
      </c>
      <c r="U1258">
        <v>0</v>
      </c>
      <c r="V1258">
        <v>0.20521000272218554</v>
      </c>
      <c r="W1258">
        <v>7.9396446611596269E-2</v>
      </c>
      <c r="X1258">
        <v>2.857647943669097E-2</v>
      </c>
      <c r="Y1258">
        <v>3.7578902545581591E-3</v>
      </c>
    </row>
    <row r="1259" spans="1:25" x14ac:dyDescent="0.25">
      <c r="A1259" s="1095"/>
      <c r="B1259" s="1454">
        <v>1009</v>
      </c>
      <c r="C1259" s="1099">
        <v>1.0137450798588961</v>
      </c>
      <c r="D1259" s="1099">
        <v>1.0039329868264535</v>
      </c>
      <c r="E1259" s="1099">
        <v>0.98847514592952002</v>
      </c>
      <c r="F1259" s="1099">
        <v>1.0073758851773471</v>
      </c>
      <c r="G1259" s="1099">
        <v>1.0153252576880167</v>
      </c>
      <c r="H1259" s="1099">
        <v>0.99760122858160816</v>
      </c>
      <c r="I1259" s="1099">
        <v>1.0382737105335051</v>
      </c>
      <c r="K1259">
        <v>1.742072354985551</v>
      </c>
      <c r="L1259">
        <v>0</v>
      </c>
      <c r="M1259">
        <v>1.3852820875885122E-3</v>
      </c>
      <c r="N1259">
        <v>0.12306660888687301</v>
      </c>
      <c r="O1259">
        <v>0.12712197673522915</v>
      </c>
      <c r="P1259">
        <v>1.8368547834029941E-2</v>
      </c>
      <c r="Q1259">
        <v>8.746715887681185E-4</v>
      </c>
      <c r="R1259">
        <v>1.3817042088882564E-3</v>
      </c>
      <c r="S1259">
        <v>0.11024667091474885</v>
      </c>
      <c r="T1259">
        <v>1.0390072982994363</v>
      </c>
      <c r="U1259">
        <v>0</v>
      </c>
      <c r="V1259">
        <v>0.20902986078046146</v>
      </c>
      <c r="W1259">
        <v>8.1404620360228733E-2</v>
      </c>
      <c r="X1259">
        <v>2.9195134086549352E-2</v>
      </c>
      <c r="Y1259">
        <v>3.7605433779237863E-3</v>
      </c>
    </row>
    <row r="1260" spans="1:25" x14ac:dyDescent="0.25">
      <c r="A1260" s="1095"/>
      <c r="B1260" s="1454">
        <v>1010</v>
      </c>
      <c r="C1260" s="1099">
        <v>1.0410242616867544</v>
      </c>
      <c r="D1260" s="1099">
        <v>1.0397287855185464</v>
      </c>
      <c r="E1260" s="1099">
        <v>0.99216416002787244</v>
      </c>
      <c r="F1260" s="1099">
        <v>0.97792910019225554</v>
      </c>
      <c r="G1260" s="1099">
        <v>1.0230279869442105</v>
      </c>
      <c r="H1260" s="1099">
        <v>0.99292092131800058</v>
      </c>
      <c r="I1260" s="1099">
        <v>1.0092710704396028</v>
      </c>
      <c r="K1260">
        <v>1.6820077788467682</v>
      </c>
      <c r="L1260">
        <v>0</v>
      </c>
      <c r="M1260">
        <v>1.3046513378993521E-3</v>
      </c>
      <c r="N1260">
        <v>0.1171998254182469</v>
      </c>
      <c r="O1260">
        <v>0.12202600954786158</v>
      </c>
      <c r="P1260">
        <v>1.7832764172446714E-2</v>
      </c>
      <c r="Q1260">
        <v>8.4313375265322862E-4</v>
      </c>
      <c r="R1260">
        <v>1.3012418502386315E-3</v>
      </c>
      <c r="S1260">
        <v>0.10179162217618122</v>
      </c>
      <c r="T1260">
        <v>1.008527606334882</v>
      </c>
      <c r="U1260">
        <v>0</v>
      </c>
      <c r="V1260">
        <v>0.20469171633135763</v>
      </c>
      <c r="W1260">
        <v>7.7352839766896359E-2</v>
      </c>
      <c r="X1260">
        <v>2.8204119471814625E-2</v>
      </c>
      <c r="Y1260">
        <v>3.5415513620889083E-3</v>
      </c>
    </row>
    <row r="1261" spans="1:25" x14ac:dyDescent="0.25">
      <c r="A1261" s="1095"/>
      <c r="B1261" s="1454">
        <v>1011</v>
      </c>
      <c r="C1261" s="1099">
        <v>0.97955885709727908</v>
      </c>
      <c r="D1261" s="1099">
        <v>0.98962998628433851</v>
      </c>
      <c r="E1261" s="1099">
        <v>1.0117655532524306</v>
      </c>
      <c r="F1261" s="1099">
        <v>1.0130996657763127</v>
      </c>
      <c r="G1261" s="1099">
        <v>0.98282054193317459</v>
      </c>
      <c r="H1261" s="1099">
        <v>0.9814733548818475</v>
      </c>
      <c r="I1261" s="1099">
        <v>1.0110628407856221</v>
      </c>
      <c r="K1261">
        <v>1.7633067147956256</v>
      </c>
      <c r="L1261">
        <v>0</v>
      </c>
      <c r="M1261">
        <v>1.3521545422571814E-3</v>
      </c>
      <c r="N1261">
        <v>0.12887518312121066</v>
      </c>
      <c r="O1261">
        <v>0.13010285741016894</v>
      </c>
      <c r="P1261">
        <v>1.8799045681690104E-2</v>
      </c>
      <c r="Q1261">
        <v>9.3265837638375928E-4</v>
      </c>
      <c r="R1261">
        <v>1.3486061232475955E-3</v>
      </c>
      <c r="S1261">
        <v>0.11079575110081286</v>
      </c>
      <c r="T1261">
        <v>1.0442094624628147</v>
      </c>
      <c r="U1261">
        <v>0</v>
      </c>
      <c r="V1261">
        <v>0.21117059008610622</v>
      </c>
      <c r="W1261">
        <v>8.4074993424556904E-2</v>
      </c>
      <c r="X1261">
        <v>3.0679260251298985E-2</v>
      </c>
      <c r="Y1261">
        <v>3.6704612995909066E-3</v>
      </c>
    </row>
    <row r="1262" spans="1:25" x14ac:dyDescent="0.25">
      <c r="A1262" s="1095"/>
      <c r="B1262" s="1454">
        <v>1012</v>
      </c>
      <c r="C1262" s="1099">
        <v>0.97707926825970781</v>
      </c>
      <c r="D1262" s="1099">
        <v>1.0263743037527642</v>
      </c>
      <c r="E1262" s="1099">
        <v>0.98504040561327388</v>
      </c>
      <c r="F1262" s="1099">
        <v>1.0348350453354771</v>
      </c>
      <c r="G1262" s="1099">
        <v>1.0140294909890188</v>
      </c>
      <c r="H1262" s="1099">
        <v>0.96254149873283268</v>
      </c>
      <c r="I1262" s="1099">
        <v>1.0174503268518902</v>
      </c>
      <c r="K1262">
        <v>1.7727797881942984</v>
      </c>
      <c r="L1262">
        <v>0</v>
      </c>
      <c r="M1262">
        <v>1.3775648280659174E-3</v>
      </c>
      <c r="N1262">
        <v>0.12110337635974949</v>
      </c>
      <c r="O1262">
        <v>0.13006452406495239</v>
      </c>
      <c r="P1262">
        <v>1.8725389285616401E-2</v>
      </c>
      <c r="Q1262">
        <v>8.9628474045708238E-4</v>
      </c>
      <c r="R1262">
        <v>1.3738591135265303E-3</v>
      </c>
      <c r="S1262">
        <v>0.10799636926976593</v>
      </c>
      <c r="T1262">
        <v>1.0674357354438018</v>
      </c>
      <c r="U1262">
        <v>0</v>
      </c>
      <c r="V1262">
        <v>0.21283701248745732</v>
      </c>
      <c r="W1262">
        <v>8.0271426571788221E-2</v>
      </c>
      <c r="X1262">
        <v>2.9714184070766671E-2</v>
      </c>
      <c r="Y1262">
        <v>3.7391916144841595E-3</v>
      </c>
    </row>
    <row r="1263" spans="1:25" x14ac:dyDescent="0.25">
      <c r="A1263" s="1095"/>
      <c r="B1263" s="1454">
        <v>1013</v>
      </c>
      <c r="C1263" s="1099">
        <v>1.0202548170885319</v>
      </c>
      <c r="D1263" s="1099">
        <v>0.96354756302400413</v>
      </c>
      <c r="E1263" s="1099">
        <v>1.0093229001124064</v>
      </c>
      <c r="F1263" s="1099">
        <v>1.0296748190561802</v>
      </c>
      <c r="G1263" s="1099">
        <v>1.0136083440406958</v>
      </c>
      <c r="H1263" s="1099">
        <v>0.98394339467925596</v>
      </c>
      <c r="I1263" s="1099">
        <v>0.99035789925721607</v>
      </c>
      <c r="K1263">
        <v>1.7721452623908731</v>
      </c>
      <c r="L1263">
        <v>0</v>
      </c>
      <c r="M1263">
        <v>1.3353246587813861E-3</v>
      </c>
      <c r="N1263">
        <v>0.12634015964330156</v>
      </c>
      <c r="O1263">
        <v>0.13045582407992343</v>
      </c>
      <c r="P1263">
        <v>1.8936725760028063E-2</v>
      </c>
      <c r="Q1263">
        <v>9.0279808773371494E-4</v>
      </c>
      <c r="R1263">
        <v>1.3318636657942086E-3</v>
      </c>
      <c r="S1263">
        <v>0.10643266090092207</v>
      </c>
      <c r="T1263">
        <v>1.061367577262903</v>
      </c>
      <c r="U1263">
        <v>0</v>
      </c>
      <c r="V1263">
        <v>0.21087188141964208</v>
      </c>
      <c r="W1263">
        <v>8.2539958560259669E-2</v>
      </c>
      <c r="X1263">
        <v>3.067624381959377E-2</v>
      </c>
      <c r="Y1263">
        <v>3.6248938495524038E-3</v>
      </c>
    </row>
    <row r="1264" spans="1:25" x14ac:dyDescent="0.25">
      <c r="A1264" s="1095"/>
      <c r="B1264" s="1454">
        <v>1014</v>
      </c>
      <c r="C1264" s="1099">
        <v>0.98933985807666591</v>
      </c>
      <c r="D1264" s="1099">
        <v>0.98892504433257511</v>
      </c>
      <c r="E1264" s="1099">
        <v>1.0141495671249061</v>
      </c>
      <c r="F1264" s="1099">
        <v>1.0000349366928059</v>
      </c>
      <c r="G1264" s="1099">
        <v>1.0075355943948596</v>
      </c>
      <c r="H1264" s="1099">
        <v>1.0291539085688339</v>
      </c>
      <c r="I1264" s="1099">
        <v>1.0038494704909227</v>
      </c>
      <c r="K1264">
        <v>1.7578858123590533</v>
      </c>
      <c r="L1264">
        <v>0</v>
      </c>
      <c r="M1264">
        <v>1.3970405371795294E-3</v>
      </c>
      <c r="N1264">
        <v>0.13413119784389638</v>
      </c>
      <c r="O1264">
        <v>0.12862146584045875</v>
      </c>
      <c r="P1264">
        <v>1.8662604278532401E-2</v>
      </c>
      <c r="Q1264">
        <v>9.259712689115658E-4</v>
      </c>
      <c r="R1264">
        <v>1.3935435682811291E-3</v>
      </c>
      <c r="S1264">
        <v>0.11234849100651953</v>
      </c>
      <c r="T1264">
        <v>1.0306735933583024</v>
      </c>
      <c r="U1264">
        <v>0</v>
      </c>
      <c r="V1264">
        <v>0.21085386300661349</v>
      </c>
      <c r="W1264">
        <v>8.7381247509032395E-2</v>
      </c>
      <c r="X1264">
        <v>3.0498109004338587E-2</v>
      </c>
      <c r="Y1264">
        <v>3.7927662113474104E-3</v>
      </c>
    </row>
    <row r="1265" spans="1:25" x14ac:dyDescent="0.25">
      <c r="A1265" s="1095"/>
      <c r="B1265" s="1454">
        <v>1015</v>
      </c>
      <c r="C1265" s="1099">
        <v>0.9920019828181561</v>
      </c>
      <c r="D1265" s="1099">
        <v>0.99533871753245484</v>
      </c>
      <c r="E1265" s="1099">
        <v>1.0012499407625055</v>
      </c>
      <c r="F1265" s="1099">
        <v>0.98293633340309572</v>
      </c>
      <c r="G1265" s="1099">
        <v>1.038381292763352</v>
      </c>
      <c r="H1265" s="1099">
        <v>0.97728672581199427</v>
      </c>
      <c r="I1265" s="1099">
        <v>0.96591980868238148</v>
      </c>
      <c r="K1265">
        <v>1.7139664959027781</v>
      </c>
      <c r="L1265">
        <v>0</v>
      </c>
      <c r="M1265">
        <v>1.352092495441333E-3</v>
      </c>
      <c r="N1265">
        <v>0.12483905563747601</v>
      </c>
      <c r="O1265">
        <v>0.12682173957656168</v>
      </c>
      <c r="P1265">
        <v>1.8133851214757395E-2</v>
      </c>
      <c r="Q1265">
        <v>9.0891397194020108E-4</v>
      </c>
      <c r="R1265">
        <v>1.3485194685542822E-3</v>
      </c>
      <c r="S1265">
        <v>0.10374070623645766</v>
      </c>
      <c r="T1265">
        <v>1.0134251518155397</v>
      </c>
      <c r="U1265">
        <v>0</v>
      </c>
      <c r="V1265">
        <v>0.21098542955012847</v>
      </c>
      <c r="W1265">
        <v>8.1949900254859154E-2</v>
      </c>
      <c r="X1265">
        <v>2.9495095217863556E-2</v>
      </c>
      <c r="Y1265">
        <v>3.6702254540814205E-3</v>
      </c>
    </row>
    <row r="1266" spans="1:25" x14ac:dyDescent="0.25">
      <c r="A1266" s="1095"/>
      <c r="B1266" s="1454">
        <v>1016</v>
      </c>
      <c r="C1266" s="1099">
        <v>0.9781215698667568</v>
      </c>
      <c r="D1266" s="1099">
        <v>1.0082632867731949</v>
      </c>
      <c r="E1266" s="1099">
        <v>1.0114561318051354</v>
      </c>
      <c r="F1266" s="1099">
        <v>0.97517572843873446</v>
      </c>
      <c r="G1266" s="1099">
        <v>1.028505538590917</v>
      </c>
      <c r="H1266" s="1099">
        <v>0.97105948732976433</v>
      </c>
      <c r="I1266" s="1099">
        <v>0.99991232964940291</v>
      </c>
      <c r="K1266">
        <v>1.7104082693880893</v>
      </c>
      <c r="L1266">
        <v>0</v>
      </c>
      <c r="M1266">
        <v>1.3214189406592861E-3</v>
      </c>
      <c r="N1266">
        <v>0.12582226710686495</v>
      </c>
      <c r="O1266">
        <v>0.12640601669747892</v>
      </c>
      <c r="P1266">
        <v>1.8208692452710205E-2</v>
      </c>
      <c r="Q1266">
        <v>9.2679009490447071E-4</v>
      </c>
      <c r="R1266">
        <v>1.3178894551949094E-3</v>
      </c>
      <c r="S1266">
        <v>0.10749839836240817</v>
      </c>
      <c r="T1266">
        <v>1.0051298401035351</v>
      </c>
      <c r="U1266">
        <v>0</v>
      </c>
      <c r="V1266">
        <v>0.21094396302503038</v>
      </c>
      <c r="W1266">
        <v>8.2098305422995732E-2</v>
      </c>
      <c r="X1266">
        <v>2.9790664952726833E-2</v>
      </c>
      <c r="Y1266">
        <v>3.5868606548983971E-3</v>
      </c>
    </row>
    <row r="1267" spans="1:25" x14ac:dyDescent="0.25">
      <c r="A1267" s="1095"/>
      <c r="B1267" s="1454">
        <v>1017</v>
      </c>
      <c r="C1267" s="1099">
        <v>0.97113604771704587</v>
      </c>
      <c r="D1267" s="1099">
        <v>1.0284669557113613</v>
      </c>
      <c r="E1267" s="1099">
        <v>1.0266116727015113</v>
      </c>
      <c r="F1267" s="1099">
        <v>0.97743072126936381</v>
      </c>
      <c r="G1267" s="1099">
        <v>0.9755720375531306</v>
      </c>
      <c r="H1267" s="1099">
        <v>1.0140044768509267</v>
      </c>
      <c r="I1267" s="1099">
        <v>1.038021059995953</v>
      </c>
      <c r="K1267">
        <v>1.7277359492069935</v>
      </c>
      <c r="L1267">
        <v>0</v>
      </c>
      <c r="M1267">
        <v>1.3305747127942095E-3</v>
      </c>
      <c r="N1267">
        <v>0.13263518231842211</v>
      </c>
      <c r="O1267">
        <v>0.12610627703461708</v>
      </c>
      <c r="P1267">
        <v>1.8498358592954182E-2</v>
      </c>
      <c r="Q1267">
        <v>9.4059606925471734E-4</v>
      </c>
      <c r="R1267">
        <v>1.3271573997140095E-3</v>
      </c>
      <c r="S1267">
        <v>0.11417407052995299</v>
      </c>
      <c r="T1267">
        <v>1.0070221044051253</v>
      </c>
      <c r="U1267">
        <v>0</v>
      </c>
      <c r="V1267">
        <v>0.20856655200083837</v>
      </c>
      <c r="W1267">
        <v>8.577913643938348E-2</v>
      </c>
      <c r="X1267">
        <v>3.0405004184823801E-2</v>
      </c>
      <c r="Y1267">
        <v>3.6120849447022979E-3</v>
      </c>
    </row>
    <row r="1268" spans="1:25" x14ac:dyDescent="0.25">
      <c r="A1268" s="1095"/>
      <c r="B1268" s="1454">
        <v>1018</v>
      </c>
      <c r="C1268" s="1099">
        <v>1.0092772567138459</v>
      </c>
      <c r="D1268" s="1099">
        <v>0.99387753771123666</v>
      </c>
      <c r="E1268" s="1099">
        <v>1.0287474381290294</v>
      </c>
      <c r="F1268" s="1099">
        <v>0.99811306046626536</v>
      </c>
      <c r="G1268" s="1099">
        <v>0.99411521413246529</v>
      </c>
      <c r="H1268" s="1099">
        <v>0.98830014124619048</v>
      </c>
      <c r="I1268" s="1099">
        <v>0.98377965556069591</v>
      </c>
      <c r="K1268">
        <v>1.7328834623959071</v>
      </c>
      <c r="L1268">
        <v>0</v>
      </c>
      <c r="M1268">
        <v>1.273908975499119E-3</v>
      </c>
      <c r="N1268">
        <v>0.12780224605117271</v>
      </c>
      <c r="O1268">
        <v>0.12727315286544563</v>
      </c>
      <c r="P1268">
        <v>1.869069922536145E-2</v>
      </c>
      <c r="Q1268">
        <v>9.1952470018238919E-4</v>
      </c>
      <c r="R1268">
        <v>1.2705902968672841E-3</v>
      </c>
      <c r="S1268">
        <v>0.10493146421020305</v>
      </c>
      <c r="T1268">
        <v>1.0282689729310697</v>
      </c>
      <c r="U1268">
        <v>0</v>
      </c>
      <c r="V1268">
        <v>0.20830872328603275</v>
      </c>
      <c r="W1268">
        <v>8.2550938507145635E-2</v>
      </c>
      <c r="X1268">
        <v>3.068293135983154E-2</v>
      </c>
      <c r="Y1268">
        <v>3.4581279380939533E-3</v>
      </c>
    </row>
    <row r="1269" spans="1:25" x14ac:dyDescent="0.25">
      <c r="A1269" s="1095"/>
      <c r="B1269" s="1454">
        <v>1019</v>
      </c>
      <c r="C1269" s="1099">
        <v>0.98144455798469998</v>
      </c>
      <c r="D1269" s="1099">
        <v>1.0166592418918043</v>
      </c>
      <c r="E1269" s="1099">
        <v>0.97111759961716959</v>
      </c>
      <c r="F1269" s="1099">
        <v>1.021590707816489</v>
      </c>
      <c r="G1269" s="1099">
        <v>0.98704791241721268</v>
      </c>
      <c r="H1269" s="1099">
        <v>0.98989571883653549</v>
      </c>
      <c r="I1269" s="1099">
        <v>1.0238272164300704</v>
      </c>
      <c r="K1269">
        <v>1.7622004738359653</v>
      </c>
      <c r="L1269">
        <v>0</v>
      </c>
      <c r="M1269">
        <v>1.4586988289162729E-3</v>
      </c>
      <c r="N1269">
        <v>0.12295491659733904</v>
      </c>
      <c r="O1269">
        <v>0.12922188694067649</v>
      </c>
      <c r="P1269">
        <v>1.83596056525058E-2</v>
      </c>
      <c r="Q1269">
        <v>8.8271223010632463E-4</v>
      </c>
      <c r="R1269">
        <v>1.4548874042719948E-3</v>
      </c>
      <c r="S1269">
        <v>0.11072786129471987</v>
      </c>
      <c r="T1269">
        <v>1.054206285089643</v>
      </c>
      <c r="U1269">
        <v>0</v>
      </c>
      <c r="V1269">
        <v>0.21071084782190258</v>
      </c>
      <c r="W1269">
        <v>8.2187788411567042E-2</v>
      </c>
      <c r="X1269">
        <v>2.8992657311225984E-2</v>
      </c>
      <c r="Y1269">
        <v>3.9597239109244479E-3</v>
      </c>
    </row>
    <row r="1270" spans="1:25" x14ac:dyDescent="0.25">
      <c r="A1270" s="1095"/>
      <c r="B1270" s="1454">
        <v>1020</v>
      </c>
      <c r="C1270" s="1099">
        <v>1.0113068044203826</v>
      </c>
      <c r="D1270" s="1099">
        <v>0.98045551557324173</v>
      </c>
      <c r="E1270" s="1099">
        <v>1.0203866636630923</v>
      </c>
      <c r="F1270" s="1099">
        <v>0.99658642046499957</v>
      </c>
      <c r="G1270" s="1099">
        <v>0.98729913638009359</v>
      </c>
      <c r="H1270" s="1099">
        <v>1.0138581802191746</v>
      </c>
      <c r="I1270" s="1099">
        <v>0.98648588109867619</v>
      </c>
      <c r="K1270">
        <v>1.7397998123965817</v>
      </c>
      <c r="L1270">
        <v>0</v>
      </c>
      <c r="M1270">
        <v>1.3378556020994638E-3</v>
      </c>
      <c r="N1270">
        <v>0.13088516211338944</v>
      </c>
      <c r="O1270">
        <v>0.12764489157473558</v>
      </c>
      <c r="P1270">
        <v>1.8593536166572777E-2</v>
      </c>
      <c r="Q1270">
        <v>9.1482295971132672E-4</v>
      </c>
      <c r="R1270">
        <v>1.3344670442928166E-3</v>
      </c>
      <c r="S1270">
        <v>0.10764769643464252</v>
      </c>
      <c r="T1270">
        <v>1.0269378318824269</v>
      </c>
      <c r="U1270">
        <v>0</v>
      </c>
      <c r="V1270">
        <v>0.20811681956275174</v>
      </c>
      <c r="W1270">
        <v>8.4955341017404207E-2</v>
      </c>
      <c r="X1270">
        <v>3.0475119855130416E-2</v>
      </c>
      <c r="Y1270">
        <v>3.6319793876221241E-3</v>
      </c>
    </row>
    <row r="1271" spans="1:25" x14ac:dyDescent="0.25">
      <c r="A1271" s="1095"/>
      <c r="B1271" s="1454">
        <v>1021</v>
      </c>
      <c r="C1271" s="1099">
        <v>1.0278662934440981</v>
      </c>
      <c r="D1271" s="1099">
        <v>1.0103801936399357</v>
      </c>
      <c r="E1271" s="1099">
        <v>0.97912245431155198</v>
      </c>
      <c r="F1271" s="1099">
        <v>1.0137557404654332</v>
      </c>
      <c r="G1271" s="1099">
        <v>1.0006197095421434</v>
      </c>
      <c r="H1271" s="1099">
        <v>1.0441069555830769</v>
      </c>
      <c r="I1271" s="1099">
        <v>1.0028609365342964</v>
      </c>
      <c r="K1271">
        <v>1.7486563329736455</v>
      </c>
      <c r="L1271">
        <v>0</v>
      </c>
      <c r="M1271">
        <v>1.4547586502495237E-3</v>
      </c>
      <c r="N1271">
        <v>0.12564847925162065</v>
      </c>
      <c r="O1271">
        <v>0.12656293241912422</v>
      </c>
      <c r="P1271">
        <v>1.8275717275258806E-2</v>
      </c>
      <c r="Q1271">
        <v>8.5207378425374242E-4</v>
      </c>
      <c r="R1271">
        <v>1.4511701766039243E-3</v>
      </c>
      <c r="S1271">
        <v>0.10786400332839022</v>
      </c>
      <c r="T1271">
        <v>1.0458739134566661</v>
      </c>
      <c r="U1271">
        <v>0</v>
      </c>
      <c r="V1271">
        <v>0.20728562814199489</v>
      </c>
      <c r="W1271">
        <v>8.3581722517916096E-2</v>
      </c>
      <c r="X1271">
        <v>2.8765844429469712E-2</v>
      </c>
      <c r="Y1271">
        <v>3.9496068425957324E-3</v>
      </c>
    </row>
    <row r="1272" spans="1:25" x14ac:dyDescent="0.25">
      <c r="A1272" s="1095"/>
      <c r="B1272" s="1454">
        <v>1022</v>
      </c>
      <c r="C1272" s="1099">
        <v>1.0205054474344391</v>
      </c>
      <c r="D1272" s="1099">
        <v>1.0132458654014103</v>
      </c>
      <c r="E1272" s="1099">
        <v>0.99552195312495595</v>
      </c>
      <c r="F1272" s="1099">
        <v>1.0128822317254083</v>
      </c>
      <c r="G1272" s="1099">
        <v>1.0022610231028055</v>
      </c>
      <c r="H1272" s="1099">
        <v>0.986285572164039</v>
      </c>
      <c r="I1272" s="1099">
        <v>1.0111187096394068</v>
      </c>
      <c r="K1272">
        <v>1.7377411904297984</v>
      </c>
      <c r="L1272">
        <v>0</v>
      </c>
      <c r="M1272">
        <v>1.3347983919489304E-3</v>
      </c>
      <c r="N1272">
        <v>0.12113103733982845</v>
      </c>
      <c r="O1272">
        <v>0.12679819778120185</v>
      </c>
      <c r="P1272">
        <v>1.8457957763458578E-2</v>
      </c>
      <c r="Q1272">
        <v>8.7204923347718774E-4</v>
      </c>
      <c r="R1272">
        <v>1.3313086385494746E-3</v>
      </c>
      <c r="S1272">
        <v>0.10534450239682931</v>
      </c>
      <c r="T1272">
        <v>1.0444726628619314</v>
      </c>
      <c r="U1272">
        <v>0</v>
      </c>
      <c r="V1272">
        <v>0.20787410426155389</v>
      </c>
      <c r="W1272">
        <v>7.9787304113209584E-2</v>
      </c>
      <c r="X1272">
        <v>2.9383481183351913E-2</v>
      </c>
      <c r="Y1272">
        <v>3.6233832483569192E-3</v>
      </c>
    </row>
    <row r="1273" spans="1:25" x14ac:dyDescent="0.25">
      <c r="A1273" s="1095"/>
      <c r="B1273" s="1454">
        <v>1023</v>
      </c>
      <c r="C1273" s="1099">
        <v>0.98014681779475887</v>
      </c>
      <c r="D1273" s="1099">
        <v>1.0146170978824884</v>
      </c>
      <c r="E1273" s="1099">
        <v>1.0261338143271752</v>
      </c>
      <c r="F1273" s="1099">
        <v>1.0249567483031616</v>
      </c>
      <c r="G1273" s="1099">
        <v>0.98457362317577901</v>
      </c>
      <c r="H1273" s="1099">
        <v>1.0133503234978729</v>
      </c>
      <c r="I1273" s="1099">
        <v>0.98838491870810563</v>
      </c>
      <c r="K1273">
        <v>1.7798450000056365</v>
      </c>
      <c r="L1273">
        <v>0</v>
      </c>
      <c r="M1273">
        <v>1.3358312022172501E-3</v>
      </c>
      <c r="N1273">
        <v>0.13296973593188369</v>
      </c>
      <c r="O1273">
        <v>0.12986748010619495</v>
      </c>
      <c r="P1273">
        <v>1.9135083973007751E-2</v>
      </c>
      <c r="Q1273">
        <v>9.3655910116443317E-4</v>
      </c>
      <c r="R1273">
        <v>1.3324235034913102E-3</v>
      </c>
      <c r="S1273">
        <v>0.10891665452413453</v>
      </c>
      <c r="T1273">
        <v>1.0560011427031628</v>
      </c>
      <c r="U1273">
        <v>0</v>
      </c>
      <c r="V1273">
        <v>0.21110293871929678</v>
      </c>
      <c r="W1273">
        <v>8.6019427477107502E-2</v>
      </c>
      <c r="X1273">
        <v>3.1272967625196289E-2</v>
      </c>
      <c r="Y1273">
        <v>3.6264175432134658E-3</v>
      </c>
    </row>
    <row r="1274" spans="1:25" x14ac:dyDescent="0.25">
      <c r="A1274" s="1095"/>
      <c r="B1274" s="1454">
        <v>1024</v>
      </c>
      <c r="C1274" s="1099">
        <v>1.0047538715073796</v>
      </c>
      <c r="D1274" s="1099">
        <v>1.0150654389577978</v>
      </c>
      <c r="E1274" s="1099">
        <v>1.024490182414904</v>
      </c>
      <c r="F1274" s="1099">
        <v>0.99736458706208964</v>
      </c>
      <c r="G1274" s="1099">
        <v>0.9976605222491477</v>
      </c>
      <c r="H1274" s="1099">
        <v>1.0073510216546302</v>
      </c>
      <c r="I1274" s="1099">
        <v>1.0188690540651968</v>
      </c>
      <c r="K1274">
        <v>1.7368367601020969</v>
      </c>
      <c r="L1274">
        <v>0</v>
      </c>
      <c r="M1274">
        <v>1.2991109226081548E-3</v>
      </c>
      <c r="N1274">
        <v>0.12867311294853381</v>
      </c>
      <c r="O1274">
        <v>0.12647136416553598</v>
      </c>
      <c r="P1274">
        <v>1.8679246280498961E-2</v>
      </c>
      <c r="Q1274">
        <v>9.1192616249380777E-4</v>
      </c>
      <c r="R1274">
        <v>1.2957758730108722E-3</v>
      </c>
      <c r="S1274">
        <v>0.1090502854215281</v>
      </c>
      <c r="T1274">
        <v>1.0276207578282037</v>
      </c>
      <c r="U1274">
        <v>0</v>
      </c>
      <c r="V1274">
        <v>0.20817889926992592</v>
      </c>
      <c r="W1274">
        <v>8.3319649109482419E-2</v>
      </c>
      <c r="X1274">
        <v>3.040817919155786E-2</v>
      </c>
      <c r="Y1274">
        <v>3.5266747739338567E-3</v>
      </c>
    </row>
    <row r="1275" spans="1:25" x14ac:dyDescent="0.25">
      <c r="A1275" s="1095"/>
      <c r="B1275" s="1454">
        <v>1025</v>
      </c>
      <c r="C1275" s="1099">
        <v>0.98157698086859668</v>
      </c>
      <c r="D1275" s="1099">
        <v>0.9855274617928812</v>
      </c>
      <c r="E1275" s="1099">
        <v>0.99798732425642511</v>
      </c>
      <c r="F1275" s="1099">
        <v>1.010411551953299</v>
      </c>
      <c r="G1275" s="1099">
        <v>1.0083890219729348</v>
      </c>
      <c r="H1275" s="1099">
        <v>0.9968379785043926</v>
      </c>
      <c r="I1275" s="1099">
        <v>0.99327303432430802</v>
      </c>
      <c r="K1275">
        <v>1.7616177501555781</v>
      </c>
      <c r="L1275">
        <v>0</v>
      </c>
      <c r="M1275">
        <v>1.4136211782331113E-3</v>
      </c>
      <c r="N1275">
        <v>0.12924761013010466</v>
      </c>
      <c r="O1275">
        <v>0.12992373264996698</v>
      </c>
      <c r="P1275">
        <v>1.8577927739122941E-2</v>
      </c>
      <c r="Q1275">
        <v>9.1909930261332182E-4</v>
      </c>
      <c r="R1275">
        <v>1.4099712501083194E-3</v>
      </c>
      <c r="S1275">
        <v>0.10996781400144191</v>
      </c>
      <c r="T1275">
        <v>1.0418506342577865</v>
      </c>
      <c r="U1275">
        <v>0</v>
      </c>
      <c r="V1275">
        <v>0.21217480789888815</v>
      </c>
      <c r="W1275">
        <v>8.5008603018326856E-2</v>
      </c>
      <c r="X1275">
        <v>3.0113694139551773E-2</v>
      </c>
      <c r="Y1275">
        <v>3.8374769458971642E-3</v>
      </c>
    </row>
    <row r="1276" spans="1:25" x14ac:dyDescent="0.25">
      <c r="A1276" s="1095"/>
      <c r="B1276" s="1454">
        <v>1026</v>
      </c>
      <c r="C1276" s="1099">
        <v>1.0375924588453764</v>
      </c>
      <c r="D1276" s="1099">
        <v>0.98781520744380291</v>
      </c>
      <c r="E1276" s="1099">
        <v>0.98687736612342514</v>
      </c>
      <c r="F1276" s="1099">
        <v>0.96540146855825337</v>
      </c>
      <c r="G1276" s="1099">
        <v>0.99363954000788046</v>
      </c>
      <c r="H1276" s="1099">
        <v>0.96603651227665477</v>
      </c>
      <c r="I1276" s="1099">
        <v>1.0056721793903276</v>
      </c>
      <c r="K1276">
        <v>1.6717092057506091</v>
      </c>
      <c r="L1276">
        <v>0</v>
      </c>
      <c r="M1276">
        <v>1.3252556909236718E-3</v>
      </c>
      <c r="N1276">
        <v>0.11715697246749159</v>
      </c>
      <c r="O1276">
        <v>0.12349024619600175</v>
      </c>
      <c r="P1276">
        <v>1.7602643143320475E-2</v>
      </c>
      <c r="Q1276">
        <v>8.5868600757306316E-4</v>
      </c>
      <c r="R1276">
        <v>1.3217256822458533E-3</v>
      </c>
      <c r="S1276">
        <v>0.10310585241247409</v>
      </c>
      <c r="T1276">
        <v>0.99576131338724971</v>
      </c>
      <c r="U1276">
        <v>0</v>
      </c>
      <c r="V1276">
        <v>0.20435003777520794</v>
      </c>
      <c r="W1276">
        <v>7.7569933534044844E-2</v>
      </c>
      <c r="X1276">
        <v>2.8219749235602127E-2</v>
      </c>
      <c r="Y1276">
        <v>3.5973016003191596E-3</v>
      </c>
    </row>
    <row r="1277" spans="1:25" x14ac:dyDescent="0.25">
      <c r="A1277" s="1095"/>
      <c r="B1277" s="1454">
        <v>1027</v>
      </c>
      <c r="C1277" s="1099">
        <v>0.98729245194332838</v>
      </c>
      <c r="D1277" s="1099">
        <v>0.99221666679983689</v>
      </c>
      <c r="E1277" s="1099">
        <v>1.0199767375325302</v>
      </c>
      <c r="F1277" s="1099">
        <v>0.96884967776427455</v>
      </c>
      <c r="G1277" s="1099">
        <v>1.0075522631846325</v>
      </c>
      <c r="H1277" s="1099">
        <v>1.016405840970056</v>
      </c>
      <c r="I1277" s="1099">
        <v>0.98514946146276727</v>
      </c>
      <c r="K1277">
        <v>1.7150174754192193</v>
      </c>
      <c r="L1277">
        <v>0</v>
      </c>
      <c r="M1277">
        <v>1.3591988778470618E-3</v>
      </c>
      <c r="N1277">
        <v>0.13280743076491419</v>
      </c>
      <c r="O1277">
        <v>0.12619669710200576</v>
      </c>
      <c r="P1277">
        <v>1.8229896199445986E-2</v>
      </c>
      <c r="Q1277">
        <v>9.3222362820490241E-4</v>
      </c>
      <c r="R1277">
        <v>1.3557414670043722E-3</v>
      </c>
      <c r="S1277">
        <v>0.10916330287404659</v>
      </c>
      <c r="T1277">
        <v>0.99836792478411029</v>
      </c>
      <c r="U1277">
        <v>0</v>
      </c>
      <c r="V1277">
        <v>0.20930209528120505</v>
      </c>
      <c r="W1277">
        <v>8.6223726505929965E-2</v>
      </c>
      <c r="X1277">
        <v>3.0107754337066878E-2</v>
      </c>
      <c r="Y1277">
        <v>3.6898813531314155E-3</v>
      </c>
    </row>
    <row r="1278" spans="1:25" x14ac:dyDescent="0.25">
      <c r="A1278" s="1095"/>
      <c r="B1278" s="1454">
        <v>1028</v>
      </c>
      <c r="C1278" s="1099">
        <v>1.0035122117077766</v>
      </c>
      <c r="D1278" s="1099">
        <v>0.96985821504379199</v>
      </c>
      <c r="E1278" s="1099">
        <v>0.97930958014619107</v>
      </c>
      <c r="F1278" s="1099">
        <v>0.97328514985883552</v>
      </c>
      <c r="G1278" s="1099">
        <v>0.96279389465348775</v>
      </c>
      <c r="H1278" s="1099">
        <v>0.9958126945065896</v>
      </c>
      <c r="I1278" s="1099">
        <v>1.0216004641183412</v>
      </c>
      <c r="K1278">
        <v>1.7081773404238227</v>
      </c>
      <c r="L1278">
        <v>0</v>
      </c>
      <c r="M1278">
        <v>1.4472296721935157E-3</v>
      </c>
      <c r="N1278">
        <v>0.12505470695720025</v>
      </c>
      <c r="O1278">
        <v>0.12657684458461688</v>
      </c>
      <c r="P1278">
        <v>1.7756944897532993E-2</v>
      </c>
      <c r="Q1278">
        <v>8.8733374144795698E-4</v>
      </c>
      <c r="R1278">
        <v>1.4434948809587684E-3</v>
      </c>
      <c r="S1278">
        <v>0.11151840975504905</v>
      </c>
      <c r="T1278">
        <v>1.0041155920258691</v>
      </c>
      <c r="U1278">
        <v>0</v>
      </c>
      <c r="V1278">
        <v>0.20656034819156233</v>
      </c>
      <c r="W1278">
        <v>8.3177338853488519E-2</v>
      </c>
      <c r="X1278">
        <v>2.8604838990281933E-2</v>
      </c>
      <c r="Y1278">
        <v>3.9287172180101455E-3</v>
      </c>
    </row>
    <row r="1279" spans="1:25" x14ac:dyDescent="0.25">
      <c r="A1279" s="1095"/>
      <c r="B1279" s="1454">
        <v>1029</v>
      </c>
      <c r="C1279" s="1099">
        <v>0.96967482256754245</v>
      </c>
      <c r="D1279" s="1099">
        <v>1.0365635653404215</v>
      </c>
      <c r="E1279" s="1099">
        <v>0.99960215753398829</v>
      </c>
      <c r="F1279" s="1099">
        <v>1.0118005571903841</v>
      </c>
      <c r="G1279" s="1099">
        <v>0.99578934163895516</v>
      </c>
      <c r="H1279" s="1099">
        <v>1.0042001688213709</v>
      </c>
      <c r="I1279" s="1099">
        <v>1.0417014481373381</v>
      </c>
      <c r="K1279">
        <v>1.7617750436143529</v>
      </c>
      <c r="L1279">
        <v>0</v>
      </c>
      <c r="M1279">
        <v>1.3934674119742377E-3</v>
      </c>
      <c r="N1279">
        <v>0.12802709962244552</v>
      </c>
      <c r="O1279">
        <v>0.1283322339218558</v>
      </c>
      <c r="P1279">
        <v>1.8655472852203706E-2</v>
      </c>
      <c r="Q1279">
        <v>9.133082708858135E-4</v>
      </c>
      <c r="R1279">
        <v>1.3898586585554874E-3</v>
      </c>
      <c r="S1279">
        <v>0.1136416054585591</v>
      </c>
      <c r="T1279">
        <v>1.0432342294420913</v>
      </c>
      <c r="U1279">
        <v>0</v>
      </c>
      <c r="V1279">
        <v>0.21115901850692578</v>
      </c>
      <c r="W1279">
        <v>8.4124993895399278E-2</v>
      </c>
      <c r="X1279">
        <v>2.9907953295600569E-2</v>
      </c>
      <c r="Y1279">
        <v>3.7827371018043787E-3</v>
      </c>
    </row>
    <row r="1280" spans="1:25" x14ac:dyDescent="0.25">
      <c r="A1280" s="1095"/>
      <c r="B1280" s="1454">
        <v>1030</v>
      </c>
      <c r="C1280" s="1099">
        <v>0.97741270112400735</v>
      </c>
      <c r="D1280" s="1099">
        <v>0.99369376148238686</v>
      </c>
      <c r="E1280" s="1099">
        <v>0.96784627257184108</v>
      </c>
      <c r="F1280" s="1099">
        <v>1.0342970010003476</v>
      </c>
      <c r="G1280" s="1099">
        <v>0.96490808750056689</v>
      </c>
      <c r="H1280" s="1099">
        <v>1.017995894546883</v>
      </c>
      <c r="I1280" s="1099">
        <v>1.0122838690738749</v>
      </c>
      <c r="K1280">
        <v>1.7911284089430179</v>
      </c>
      <c r="L1280">
        <v>0</v>
      </c>
      <c r="M1280">
        <v>1.5381801704486729E-3</v>
      </c>
      <c r="N1280">
        <v>0.12838743241925196</v>
      </c>
      <c r="O1280">
        <v>0.13145872860398361</v>
      </c>
      <c r="P1280">
        <v>1.8536045687320757E-2</v>
      </c>
      <c r="Q1280">
        <v>8.9141270964735396E-4</v>
      </c>
      <c r="R1280">
        <v>1.5342917157302475E-3</v>
      </c>
      <c r="S1280">
        <v>0.11358359819598401</v>
      </c>
      <c r="T1280">
        <v>1.0674219107473628</v>
      </c>
      <c r="U1280">
        <v>0</v>
      </c>
      <c r="V1280">
        <v>0.21134861952907871</v>
      </c>
      <c r="W1280">
        <v>8.5990200468110831E-2</v>
      </c>
      <c r="X1280">
        <v>2.9338512765907234E-2</v>
      </c>
      <c r="Y1280">
        <v>4.1758362710895757E-3</v>
      </c>
    </row>
    <row r="1281" spans="1:25" x14ac:dyDescent="0.25">
      <c r="A1281" s="1095"/>
      <c r="B1281" s="1454">
        <v>1031</v>
      </c>
      <c r="C1281" s="1099">
        <v>1.0066789339670208</v>
      </c>
      <c r="D1281" s="1099">
        <v>0.95868072392072257</v>
      </c>
      <c r="E1281" s="1099">
        <v>0.97329044951162813</v>
      </c>
      <c r="F1281" s="1099">
        <v>1.0176187529773906</v>
      </c>
      <c r="G1281" s="1099">
        <v>0.99581469583779569</v>
      </c>
      <c r="H1281" s="1099">
        <v>0.99676362077630165</v>
      </c>
      <c r="I1281" s="1099">
        <v>0.97177408727410075</v>
      </c>
      <c r="K1281">
        <v>1.7593975741212466</v>
      </c>
      <c r="L1281">
        <v>0</v>
      </c>
      <c r="M1281">
        <v>1.4784368762623375E-3</v>
      </c>
      <c r="N1281">
        <v>0.12544755736045293</v>
      </c>
      <c r="O1281">
        <v>0.13033798623567378</v>
      </c>
      <c r="P1281">
        <v>1.8280740749181939E-2</v>
      </c>
      <c r="Q1281">
        <v>8.8305456795853337E-4</v>
      </c>
      <c r="R1281">
        <v>1.4746497144866011E-3</v>
      </c>
      <c r="S1281">
        <v>0.10685537292364854</v>
      </c>
      <c r="T1281">
        <v>1.0500399541093701</v>
      </c>
      <c r="U1281">
        <v>0</v>
      </c>
      <c r="V1281">
        <v>0.21056693284603298</v>
      </c>
      <c r="W1281">
        <v>8.3743337907099646E-2</v>
      </c>
      <c r="X1281">
        <v>2.92329141789201E-2</v>
      </c>
      <c r="Y1281">
        <v>4.0135104046847949E-3</v>
      </c>
    </row>
    <row r="1282" spans="1:25" x14ac:dyDescent="0.25">
      <c r="A1282" s="1095"/>
      <c r="B1282" s="1454">
        <v>1032</v>
      </c>
      <c r="C1282" s="1099">
        <v>1.0061605017224964</v>
      </c>
      <c r="D1282" s="1099">
        <v>1.0226710835199908</v>
      </c>
      <c r="E1282" s="1099">
        <v>1.0210581093457149</v>
      </c>
      <c r="F1282" s="1099">
        <v>0.99256065070327648</v>
      </c>
      <c r="G1282" s="1099">
        <v>0.97276236380166192</v>
      </c>
      <c r="H1282" s="1099">
        <v>0.99463127834589871</v>
      </c>
      <c r="I1282" s="1099">
        <v>1.0088414092373701</v>
      </c>
      <c r="K1282">
        <v>1.7217409483348767</v>
      </c>
      <c r="L1282">
        <v>0</v>
      </c>
      <c r="M1282">
        <v>1.2840496665383228E-3</v>
      </c>
      <c r="N1282">
        <v>0.12586687998481841</v>
      </c>
      <c r="O1282">
        <v>0.12568246156660531</v>
      </c>
      <c r="P1282">
        <v>1.8503834058102017E-2</v>
      </c>
      <c r="Q1282">
        <v>9.0474984050803561E-4</v>
      </c>
      <c r="R1282">
        <v>1.2807054027009835E-3</v>
      </c>
      <c r="S1282">
        <v>0.10642349810267522</v>
      </c>
      <c r="T1282">
        <v>1.0227700539643316</v>
      </c>
      <c r="U1282">
        <v>0</v>
      </c>
      <c r="V1282">
        <v>0.20637491279068051</v>
      </c>
      <c r="W1282">
        <v>8.1665990075754757E-2</v>
      </c>
      <c r="X1282">
        <v>3.0066254293508961E-2</v>
      </c>
      <c r="Y1282">
        <v>3.4856579217295404E-3</v>
      </c>
    </row>
    <row r="1283" spans="1:25" x14ac:dyDescent="0.25">
      <c r="A1283" s="1095"/>
      <c r="B1283" s="1454">
        <v>1033</v>
      </c>
      <c r="C1283" s="1099">
        <v>0.96861560986719819</v>
      </c>
      <c r="D1283" s="1099">
        <v>0.96650989425899014</v>
      </c>
      <c r="E1283" s="1099">
        <v>0.99135807285990163</v>
      </c>
      <c r="F1283" s="1099">
        <v>1.0096742571578161</v>
      </c>
      <c r="G1283" s="1099">
        <v>1.001090957005528</v>
      </c>
      <c r="H1283" s="1099">
        <v>0.97769553505357465</v>
      </c>
      <c r="I1283" s="1099">
        <v>1.0394134680541989</v>
      </c>
      <c r="K1283">
        <v>1.7704137527155976</v>
      </c>
      <c r="L1283">
        <v>0</v>
      </c>
      <c r="M1283">
        <v>1.4390936714099459E-3</v>
      </c>
      <c r="N1283">
        <v>0.12896078736292929</v>
      </c>
      <c r="O1283">
        <v>0.13145043288885422</v>
      </c>
      <c r="P1283">
        <v>1.8584449672341151E-2</v>
      </c>
      <c r="Q1283">
        <v>9.3223800930386448E-4</v>
      </c>
      <c r="R1283">
        <v>1.4353143898017794E-3</v>
      </c>
      <c r="S1283">
        <v>0.11645938886480457</v>
      </c>
      <c r="T1283">
        <v>1.0412904343057743</v>
      </c>
      <c r="U1283">
        <v>0</v>
      </c>
      <c r="V1283">
        <v>0.21351537232981979</v>
      </c>
      <c r="W1283">
        <v>8.5156224881932863E-2</v>
      </c>
      <c r="X1283">
        <v>3.0161751063665702E-2</v>
      </c>
      <c r="Y1283">
        <v>3.906452617779008E-3</v>
      </c>
    </row>
    <row r="1284" spans="1:25" x14ac:dyDescent="0.25">
      <c r="A1284" s="1095"/>
      <c r="B1284" s="1454">
        <v>1034</v>
      </c>
      <c r="C1284" s="1099">
        <v>0.9936875027736376</v>
      </c>
      <c r="D1284" s="1099">
        <v>1.0225052691490799</v>
      </c>
      <c r="E1284" s="1099">
        <v>0.97879636054739649</v>
      </c>
      <c r="F1284" s="1099">
        <v>1.0189367639182845</v>
      </c>
      <c r="G1284" s="1099">
        <v>1.0391455158130651</v>
      </c>
      <c r="H1284" s="1099">
        <v>0.96351433061419856</v>
      </c>
      <c r="I1284" s="1099">
        <v>1.0035980735169554</v>
      </c>
      <c r="K1284">
        <v>1.7461053266042104</v>
      </c>
      <c r="L1284">
        <v>0</v>
      </c>
      <c r="M1284">
        <v>1.3766714164843586E-3</v>
      </c>
      <c r="N1284">
        <v>0.11876074004140909</v>
      </c>
      <c r="O1284">
        <v>0.12814143640472606</v>
      </c>
      <c r="P1284">
        <v>1.8367068436391343E-2</v>
      </c>
      <c r="Q1284">
        <v>8.7688615889651629E-4</v>
      </c>
      <c r="R1284">
        <v>1.3729746922200769E-3</v>
      </c>
      <c r="S1284">
        <v>0.10505154143943783</v>
      </c>
      <c r="T1284">
        <v>1.0512291699696434</v>
      </c>
      <c r="U1284">
        <v>0</v>
      </c>
      <c r="V1284">
        <v>0.21188514087858265</v>
      </c>
      <c r="W1284">
        <v>7.9015548689758949E-2</v>
      </c>
      <c r="X1284">
        <v>2.904470679839102E-2</v>
      </c>
      <c r="Y1284">
        <v>3.7367845112373987E-3</v>
      </c>
    </row>
    <row r="1285" spans="1:25" x14ac:dyDescent="0.25">
      <c r="A1285" s="1095"/>
      <c r="B1285" s="1454">
        <v>1035</v>
      </c>
      <c r="C1285" s="1099">
        <v>1.0344861638280922</v>
      </c>
      <c r="D1285" s="1099">
        <v>1.0475921016784346</v>
      </c>
      <c r="E1285" s="1099">
        <v>1.0292450567774283</v>
      </c>
      <c r="F1285" s="1099">
        <v>1.0213332423589989</v>
      </c>
      <c r="G1285" s="1099">
        <v>1.0196554224840513</v>
      </c>
      <c r="H1285" s="1099">
        <v>1.0091659897166301</v>
      </c>
      <c r="I1285" s="1099">
        <v>1.0069020520695937</v>
      </c>
      <c r="K1285">
        <v>1.7453096423541241</v>
      </c>
      <c r="L1285">
        <v>0</v>
      </c>
      <c r="M1285">
        <v>1.233575976900328E-3</v>
      </c>
      <c r="N1285">
        <v>0.12394641115647848</v>
      </c>
      <c r="O1285">
        <v>0.12534017961216085</v>
      </c>
      <c r="P1285">
        <v>1.8988164657994192E-2</v>
      </c>
      <c r="Q1285">
        <v>8.7887297443046356E-4</v>
      </c>
      <c r="R1285">
        <v>1.23040891174068E-3</v>
      </c>
      <c r="S1285">
        <v>0.10305438649172176</v>
      </c>
      <c r="T1285">
        <v>1.0521760327271414</v>
      </c>
      <c r="U1285">
        <v>0</v>
      </c>
      <c r="V1285">
        <v>0.2071405554422697</v>
      </c>
      <c r="W1285">
        <v>8.0037209373103976E-2</v>
      </c>
      <c r="X1285">
        <v>3.0402229530412109E-2</v>
      </c>
      <c r="Y1285">
        <v>3.3487674535693833E-3</v>
      </c>
    </row>
    <row r="1286" spans="1:25" x14ac:dyDescent="0.25">
      <c r="A1286" s="1095"/>
      <c r="B1286" s="1454">
        <v>1036</v>
      </c>
      <c r="C1286" s="1099">
        <v>0.99776353545472907</v>
      </c>
      <c r="D1286" s="1099">
        <v>1.0075415356920869</v>
      </c>
      <c r="E1286" s="1099">
        <v>1.021527119007565</v>
      </c>
      <c r="F1286" s="1099">
        <v>0.98722644318120556</v>
      </c>
      <c r="G1286" s="1099">
        <v>0.95156721812075484</v>
      </c>
      <c r="H1286" s="1099">
        <v>0.9983640651608735</v>
      </c>
      <c r="I1286" s="1099">
        <v>1.0173638559431823</v>
      </c>
      <c r="K1286">
        <v>1.724178951368871</v>
      </c>
      <c r="L1286">
        <v>0</v>
      </c>
      <c r="M1286">
        <v>1.3083753507866567E-3</v>
      </c>
      <c r="N1286">
        <v>0.12843474620837483</v>
      </c>
      <c r="O1286">
        <v>0.1263827922043084</v>
      </c>
      <c r="P1286">
        <v>1.8473058481649339E-2</v>
      </c>
      <c r="Q1286">
        <v>9.1826106102074171E-4</v>
      </c>
      <c r="R1286">
        <v>1.3049860860986509E-3</v>
      </c>
      <c r="S1286">
        <v>0.10941042498211513</v>
      </c>
      <c r="T1286">
        <v>1.0172600237467331</v>
      </c>
      <c r="U1286">
        <v>0</v>
      </c>
      <c r="V1286">
        <v>0.20621702526414926</v>
      </c>
      <c r="W1286">
        <v>8.3309254677297093E-2</v>
      </c>
      <c r="X1286">
        <v>3.0225012070097312E-2</v>
      </c>
      <c r="Y1286">
        <v>3.5517419378128605E-3</v>
      </c>
    </row>
    <row r="1287" spans="1:25" x14ac:dyDescent="0.25">
      <c r="A1287" s="1095"/>
      <c r="B1287" s="1454">
        <v>1037</v>
      </c>
      <c r="C1287" s="1099">
        <v>1.0135850099567083</v>
      </c>
      <c r="D1287" s="1099">
        <v>1.0077931519658756</v>
      </c>
      <c r="E1287" s="1099">
        <v>1.0353084037478788</v>
      </c>
      <c r="F1287" s="1099">
        <v>1.0209211892032313</v>
      </c>
      <c r="G1287" s="1099">
        <v>0.98139325906366948</v>
      </c>
      <c r="H1287" s="1099">
        <v>0.96644244324237416</v>
      </c>
      <c r="I1287" s="1099">
        <v>0.98524389720090289</v>
      </c>
      <c r="K1287">
        <v>1.7492499926529006</v>
      </c>
      <c r="L1287">
        <v>0</v>
      </c>
      <c r="M1287">
        <v>1.2163509142068759E-3</v>
      </c>
      <c r="N1287">
        <v>0.12445756693325032</v>
      </c>
      <c r="O1287">
        <v>0.12816325125952174</v>
      </c>
      <c r="P1287">
        <v>1.9068344896137263E-2</v>
      </c>
      <c r="Q1287">
        <v>9.1664842882803769E-4</v>
      </c>
      <c r="R1287">
        <v>1.2131093038864223E-3</v>
      </c>
      <c r="S1287">
        <v>0.10242472841717021</v>
      </c>
      <c r="T1287">
        <v>1.0515734366069081</v>
      </c>
      <c r="U1287">
        <v>0</v>
      </c>
      <c r="V1287">
        <v>0.20812495001729944</v>
      </c>
      <c r="W1287">
        <v>8.008542044888016E-2</v>
      </c>
      <c r="X1287">
        <v>3.1137203631419197E-2</v>
      </c>
      <c r="Y1287">
        <v>3.3016836238042909E-3</v>
      </c>
    </row>
    <row r="1288" spans="1:25" x14ac:dyDescent="0.25">
      <c r="A1288" s="1095"/>
      <c r="B1288" s="1454">
        <v>1038</v>
      </c>
      <c r="C1288" s="1099">
        <v>1.0034564958366368</v>
      </c>
      <c r="D1288" s="1099">
        <v>0.96799594859422411</v>
      </c>
      <c r="E1288" s="1099">
        <v>0.99660320134563796</v>
      </c>
      <c r="F1288" s="1099">
        <v>0.98414459551436806</v>
      </c>
      <c r="G1288" s="1099">
        <v>0.97643761583646305</v>
      </c>
      <c r="H1288" s="1099">
        <v>1.006162119972891</v>
      </c>
      <c r="I1288" s="1099">
        <v>0.99484102810219166</v>
      </c>
      <c r="K1288">
        <v>1.7256995228071828</v>
      </c>
      <c r="L1288">
        <v>0</v>
      </c>
      <c r="M1288">
        <v>1.4139205602716419E-3</v>
      </c>
      <c r="N1288">
        <v>0.12873945439899698</v>
      </c>
      <c r="O1288">
        <v>0.12757674192694488</v>
      </c>
      <c r="P1288">
        <v>1.8127186330136207E-2</v>
      </c>
      <c r="Q1288">
        <v>9.0423682436284003E-4</v>
      </c>
      <c r="R1288">
        <v>1.4103141545658469E-3</v>
      </c>
      <c r="S1288">
        <v>0.10956236865360747</v>
      </c>
      <c r="T1288">
        <v>1.0148069812019416</v>
      </c>
      <c r="U1288">
        <v>0</v>
      </c>
      <c r="V1288">
        <v>0.20790693873551794</v>
      </c>
      <c r="W1288">
        <v>8.4744214202020773E-2</v>
      </c>
      <c r="X1288">
        <v>2.9496596720567321E-2</v>
      </c>
      <c r="Y1288">
        <v>3.8384102187921307E-3</v>
      </c>
    </row>
    <row r="1289" spans="1:25" x14ac:dyDescent="0.25">
      <c r="A1289" s="1095"/>
      <c r="B1289" s="1454">
        <v>1039</v>
      </c>
      <c r="C1289" s="1099">
        <v>0.98564071813765308</v>
      </c>
      <c r="D1289" s="1099">
        <v>1.0187004364669963</v>
      </c>
      <c r="E1289" s="1099">
        <v>1.0112111371160111</v>
      </c>
      <c r="F1289" s="1099">
        <v>0.97536282516484518</v>
      </c>
      <c r="G1289" s="1099">
        <v>1.0152860866893159</v>
      </c>
      <c r="H1289" s="1099">
        <v>1.0180951765586916</v>
      </c>
      <c r="I1289" s="1099">
        <v>0.97995745550278912</v>
      </c>
      <c r="K1289">
        <v>1.7150303456133356</v>
      </c>
      <c r="L1289">
        <v>0</v>
      </c>
      <c r="M1289">
        <v>1.3681990550780967E-3</v>
      </c>
      <c r="N1289">
        <v>0.13019593554192965</v>
      </c>
      <c r="O1289">
        <v>0.12556242426177455</v>
      </c>
      <c r="P1289">
        <v>1.8181544626916575E-2</v>
      </c>
      <c r="Q1289">
        <v>9.1570780352211883E-4</v>
      </c>
      <c r="R1289">
        <v>1.3647091173860451E-3</v>
      </c>
      <c r="S1289">
        <v>0.10715374061541048</v>
      </c>
      <c r="T1289">
        <v>1.005329706859567</v>
      </c>
      <c r="U1289">
        <v>0</v>
      </c>
      <c r="V1289">
        <v>0.20935533799699035</v>
      </c>
      <c r="W1289">
        <v>8.4964359731050196E-2</v>
      </c>
      <c r="X1289">
        <v>2.9660789772581332E-2</v>
      </c>
      <c r="Y1289">
        <v>3.7142883412851751E-3</v>
      </c>
    </row>
    <row r="1290" spans="1:25" x14ac:dyDescent="0.25">
      <c r="A1290" s="1095"/>
      <c r="B1290" s="1454">
        <v>1040</v>
      </c>
      <c r="C1290" s="1099">
        <v>0.99610922235508181</v>
      </c>
      <c r="D1290" s="1099">
        <v>0.9723700138402559</v>
      </c>
      <c r="E1290" s="1099">
        <v>0.99018128509152115</v>
      </c>
      <c r="F1290" s="1099">
        <v>0.998409996087809</v>
      </c>
      <c r="G1290" s="1099">
        <v>1.0207891908230273</v>
      </c>
      <c r="H1290" s="1099">
        <v>0.98310506046272905</v>
      </c>
      <c r="I1290" s="1099">
        <v>0.98283518036530371</v>
      </c>
      <c r="K1290">
        <v>1.738206218999349</v>
      </c>
      <c r="L1290">
        <v>0</v>
      </c>
      <c r="M1290">
        <v>1.4075504462340844E-3</v>
      </c>
      <c r="N1290">
        <v>0.12568808089747888</v>
      </c>
      <c r="O1290">
        <v>0.128824052330512</v>
      </c>
      <c r="P1290">
        <v>1.8254788892080508E-2</v>
      </c>
      <c r="Q1290">
        <v>9.0320994265957321E-4</v>
      </c>
      <c r="R1290">
        <v>1.4038754047256811E-3</v>
      </c>
      <c r="S1290">
        <v>0.10715586848937302</v>
      </c>
      <c r="T1290">
        <v>1.0297087025119032</v>
      </c>
      <c r="U1290">
        <v>0</v>
      </c>
      <c r="V1290">
        <v>0.2112728910605986</v>
      </c>
      <c r="W1290">
        <v>8.3053663977352934E-2</v>
      </c>
      <c r="X1290">
        <v>2.9527749874635287E-2</v>
      </c>
      <c r="Y1290">
        <v>3.8208860642605139E-3</v>
      </c>
    </row>
    <row r="1291" spans="1:25" x14ac:dyDescent="0.25">
      <c r="A1291" s="1095"/>
      <c r="B1291" s="1454">
        <v>1041</v>
      </c>
      <c r="C1291" s="1099">
        <v>1.0095375224417138</v>
      </c>
      <c r="D1291" s="1099">
        <v>1.0048150220291843</v>
      </c>
      <c r="E1291" s="1099">
        <v>1.0182434724854945</v>
      </c>
      <c r="F1291" s="1099">
        <v>0.99745523539588687</v>
      </c>
      <c r="G1291" s="1099">
        <v>0.982470431549334</v>
      </c>
      <c r="H1291" s="1099">
        <v>0.99183751827765332</v>
      </c>
      <c r="I1291" s="1099">
        <v>0.9906732767308738</v>
      </c>
      <c r="K1291">
        <v>1.7283148117742797</v>
      </c>
      <c r="L1291">
        <v>0</v>
      </c>
      <c r="M1291">
        <v>1.297955823577343E-3</v>
      </c>
      <c r="N1291">
        <v>0.12615462730359536</v>
      </c>
      <c r="O1291">
        <v>0.12667234820488996</v>
      </c>
      <c r="P1291">
        <v>1.8532206863289998E-2</v>
      </c>
      <c r="Q1291">
        <v>9.0548039167483521E-4</v>
      </c>
      <c r="R1291">
        <v>1.2945794654639921E-3</v>
      </c>
      <c r="S1291">
        <v>0.10514911888267911</v>
      </c>
      <c r="T1291">
        <v>1.0278954300900374</v>
      </c>
      <c r="U1291">
        <v>0</v>
      </c>
      <c r="V1291">
        <v>0.20733521973431651</v>
      </c>
      <c r="W1291">
        <v>8.1987624620428981E-2</v>
      </c>
      <c r="X1291">
        <v>3.0162713494492958E-2</v>
      </c>
      <c r="Y1291">
        <v>3.5234185469868898E-3</v>
      </c>
    </row>
    <row r="1292" spans="1:25" x14ac:dyDescent="0.25">
      <c r="A1292" s="1095"/>
      <c r="B1292" s="1454">
        <v>1042</v>
      </c>
      <c r="C1292" s="1099">
        <v>0.979844493729363</v>
      </c>
      <c r="D1292" s="1099">
        <v>1.0112845076775838</v>
      </c>
      <c r="E1292" s="1099">
        <v>0.99344222428988771</v>
      </c>
      <c r="F1292" s="1099">
        <v>1.004422313740323</v>
      </c>
      <c r="G1292" s="1099">
        <v>1.0156387323536931</v>
      </c>
      <c r="H1292" s="1099">
        <v>1.0361920112792931</v>
      </c>
      <c r="I1292" s="1099">
        <v>1.0158268405234687</v>
      </c>
      <c r="K1292">
        <v>1.7613076594332069</v>
      </c>
      <c r="L1292">
        <v>0</v>
      </c>
      <c r="M1292">
        <v>1.4626304649330583E-3</v>
      </c>
      <c r="N1292">
        <v>0.13191534818921136</v>
      </c>
      <c r="O1292">
        <v>0.12834642189243514</v>
      </c>
      <c r="P1292">
        <v>1.8474659609574146E-2</v>
      </c>
      <c r="Q1292">
        <v>9.0697758394434785E-4</v>
      </c>
      <c r="R1292">
        <v>1.4589773659628015E-3</v>
      </c>
      <c r="S1292">
        <v>0.11365620892593528</v>
      </c>
      <c r="T1292">
        <v>1.0358113321046267</v>
      </c>
      <c r="U1292">
        <v>0</v>
      </c>
      <c r="V1292">
        <v>0.21156602396814803</v>
      </c>
      <c r="W1292">
        <v>8.6998717265742417E-2</v>
      </c>
      <c r="X1292">
        <v>2.9664767554169823E-2</v>
      </c>
      <c r="Y1292">
        <v>3.9708554383913143E-3</v>
      </c>
    </row>
    <row r="1293" spans="1:25" x14ac:dyDescent="0.25">
      <c r="A1293" s="1095"/>
      <c r="B1293" s="1454">
        <v>1043</v>
      </c>
      <c r="C1293" s="1099">
        <v>0.99320189070282372</v>
      </c>
      <c r="D1293" s="1099">
        <v>0.979348605188754</v>
      </c>
      <c r="E1293" s="1099">
        <v>1.0107596810652317</v>
      </c>
      <c r="F1293" s="1099">
        <v>0.95943126649993538</v>
      </c>
      <c r="G1293" s="1099">
        <v>1.0413785644911839</v>
      </c>
      <c r="H1293" s="1099">
        <v>1.0481129310201056</v>
      </c>
      <c r="I1293" s="1099">
        <v>0.97216311491539298</v>
      </c>
      <c r="K1293">
        <v>1.712193730859946</v>
      </c>
      <c r="L1293">
        <v>0</v>
      </c>
      <c r="M1293">
        <v>1.430573938172667E-3</v>
      </c>
      <c r="N1293">
        <v>0.13595817748814673</v>
      </c>
      <c r="O1293">
        <v>0.12571102010369928</v>
      </c>
      <c r="P1293">
        <v>1.8003222887600232E-2</v>
      </c>
      <c r="Q1293">
        <v>9.2274051729853443E-4</v>
      </c>
      <c r="R1293">
        <v>1.4270522586461889E-3</v>
      </c>
      <c r="S1293">
        <v>0.11009086622443313</v>
      </c>
      <c r="T1293">
        <v>0.98892140427769426</v>
      </c>
      <c r="U1293">
        <v>0</v>
      </c>
      <c r="V1293">
        <v>0.21029488849655836</v>
      </c>
      <c r="W1293">
        <v>8.8748336566441863E-2</v>
      </c>
      <c r="X1293">
        <v>2.9662630157215885E-2</v>
      </c>
      <c r="Y1293">
        <v>3.8839658203842936E-3</v>
      </c>
    </row>
    <row r="1294" spans="1:25" x14ac:dyDescent="0.25">
      <c r="A1294" s="1095"/>
      <c r="B1294" s="1454">
        <v>1044</v>
      </c>
      <c r="C1294" s="1099">
        <v>0.98920205196268818</v>
      </c>
      <c r="D1294" s="1099">
        <v>1.0369066691067865</v>
      </c>
      <c r="E1294" s="1099">
        <v>1.0014040283734653</v>
      </c>
      <c r="F1294" s="1099">
        <v>0.99842547693898775</v>
      </c>
      <c r="G1294" s="1099">
        <v>1.0060553894075077</v>
      </c>
      <c r="H1294" s="1099">
        <v>1.006666195952701</v>
      </c>
      <c r="I1294" s="1099">
        <v>0.9604613216544482</v>
      </c>
      <c r="K1294">
        <v>1.7290169470988372</v>
      </c>
      <c r="L1294">
        <v>0</v>
      </c>
      <c r="M1294">
        <v>1.3646043782798245E-3</v>
      </c>
      <c r="N1294">
        <v>0.12606056028372895</v>
      </c>
      <c r="O1294">
        <v>0.12628718041355302</v>
      </c>
      <c r="P1294">
        <v>1.8318616467561114E-2</v>
      </c>
      <c r="Q1294">
        <v>8.968341488019019E-4</v>
      </c>
      <c r="R1294">
        <v>1.3610805278365936E-3</v>
      </c>
      <c r="S1294">
        <v>0.102888611999848</v>
      </c>
      <c r="T1294">
        <v>1.0293901719041412</v>
      </c>
      <c r="U1294">
        <v>0</v>
      </c>
      <c r="V1294">
        <v>0.20925413822628103</v>
      </c>
      <c r="W1294">
        <v>8.2744179925039393E-2</v>
      </c>
      <c r="X1294">
        <v>2.947576506362997E-2</v>
      </c>
      <c r="Y1294">
        <v>3.7044125166957927E-3</v>
      </c>
    </row>
    <row r="1295" spans="1:25" x14ac:dyDescent="0.25">
      <c r="A1295" s="1095"/>
      <c r="B1295" s="1454">
        <v>1045</v>
      </c>
      <c r="C1295" s="1099">
        <v>1.0218285966279035</v>
      </c>
      <c r="D1295" s="1099">
        <v>1.0160007043005701</v>
      </c>
      <c r="E1295" s="1099">
        <v>1.0112595965852436</v>
      </c>
      <c r="F1295" s="1099">
        <v>0.99228466477755484</v>
      </c>
      <c r="G1295" s="1099">
        <v>1.0181805573043541</v>
      </c>
      <c r="H1295" s="1099">
        <v>1.0064678063673516</v>
      </c>
      <c r="I1295" s="1099">
        <v>1.001926899631191</v>
      </c>
      <c r="K1295">
        <v>1.7195270751933318</v>
      </c>
      <c r="L1295">
        <v>0</v>
      </c>
      <c r="M1295">
        <v>1.3124013819887633E-3</v>
      </c>
      <c r="N1295">
        <v>0.12490248038654304</v>
      </c>
      <c r="O1295">
        <v>0.12513197758824804</v>
      </c>
      <c r="P1295">
        <v>1.8371081178735017E-2</v>
      </c>
      <c r="Q1295">
        <v>8.8426041277279825E-4</v>
      </c>
      <c r="R1295">
        <v>1.3090318039442128E-3</v>
      </c>
      <c r="S1295">
        <v>0.10536612254219906</v>
      </c>
      <c r="T1295">
        <v>1.0227700368108252</v>
      </c>
      <c r="U1295">
        <v>0</v>
      </c>
      <c r="V1295">
        <v>0.20743853022879447</v>
      </c>
      <c r="W1295">
        <v>8.1507585321574275E-2</v>
      </c>
      <c r="X1295">
        <v>2.9595617253564292E-2</v>
      </c>
      <c r="Y1295">
        <v>3.5627530481179507E-3</v>
      </c>
    </row>
    <row r="1296" spans="1:25" x14ac:dyDescent="0.25">
      <c r="A1296" s="1095"/>
      <c r="B1296" s="1454">
        <v>1046</v>
      </c>
      <c r="C1296" s="1099">
        <v>1.0017046455371812</v>
      </c>
      <c r="D1296" s="1099">
        <v>1.0031190954331901</v>
      </c>
      <c r="E1296" s="1099">
        <v>1.0235698270104046</v>
      </c>
      <c r="F1296" s="1099">
        <v>1.0076264461522166</v>
      </c>
      <c r="G1296" s="1099">
        <v>1.0163487368274868</v>
      </c>
      <c r="H1296" s="1099">
        <v>0.98032791599947178</v>
      </c>
      <c r="I1296" s="1099">
        <v>1.0002335278584464</v>
      </c>
      <c r="K1296">
        <v>1.7449217911151276</v>
      </c>
      <c r="L1296">
        <v>0</v>
      </c>
      <c r="M1296">
        <v>1.2802356340123769E-3</v>
      </c>
      <c r="N1296">
        <v>0.12644407684872178</v>
      </c>
      <c r="O1296">
        <v>0.12793678030119399</v>
      </c>
      <c r="P1296">
        <v>1.8804358899256735E-2</v>
      </c>
      <c r="Q1296">
        <v>9.1817852563271418E-4</v>
      </c>
      <c r="R1296">
        <v>1.2768681071348301E-3</v>
      </c>
      <c r="S1296">
        <v>0.10632809651195779</v>
      </c>
      <c r="T1296">
        <v>1.0382208291488844</v>
      </c>
      <c r="U1296">
        <v>0</v>
      </c>
      <c r="V1296">
        <v>0.2102206260435899</v>
      </c>
      <c r="W1296">
        <v>8.1920241474657998E-2</v>
      </c>
      <c r="X1296">
        <v>3.0656756819946906E-2</v>
      </c>
      <c r="Y1296">
        <v>3.4752140681626152E-3</v>
      </c>
    </row>
    <row r="1297" spans="1:25" x14ac:dyDescent="0.25">
      <c r="A1297" s="1095"/>
      <c r="B1297" s="1454">
        <v>1047</v>
      </c>
      <c r="C1297" s="1099">
        <v>0.99418994458542309</v>
      </c>
      <c r="D1297" s="1099">
        <v>1.0109370148650318</v>
      </c>
      <c r="E1297" s="1099">
        <v>1.0336375533256588</v>
      </c>
      <c r="F1297" s="1099">
        <v>1.0045182875110794</v>
      </c>
      <c r="G1297" s="1099">
        <v>1.0243097222837656</v>
      </c>
      <c r="H1297" s="1099">
        <v>0.99001351116415448</v>
      </c>
      <c r="I1297" s="1099">
        <v>0.98230418786025486</v>
      </c>
      <c r="K1297">
        <v>1.7453545551526142</v>
      </c>
      <c r="L1297">
        <v>0</v>
      </c>
      <c r="M1297">
        <v>1.2686765164021212E-3</v>
      </c>
      <c r="N1297">
        <v>0.12916657871397455</v>
      </c>
      <c r="O1297">
        <v>0.12777749178185294</v>
      </c>
      <c r="P1297">
        <v>1.888892494162836E-2</v>
      </c>
      <c r="Q1297">
        <v>9.3178091669623606E-4</v>
      </c>
      <c r="R1297">
        <v>1.2653642625054045E-3</v>
      </c>
      <c r="S1297">
        <v>0.10532991232254692</v>
      </c>
      <c r="T1297">
        <v>1.0347262334753258</v>
      </c>
      <c r="U1297">
        <v>0</v>
      </c>
      <c r="V1297">
        <v>0.21087818093110583</v>
      </c>
      <c r="W1297">
        <v>8.3195924431484283E-2</v>
      </c>
      <c r="X1297">
        <v>3.101893549657217E-2</v>
      </c>
      <c r="Y1297">
        <v>3.4439043953226815E-3</v>
      </c>
    </row>
    <row r="1298" spans="1:25" x14ac:dyDescent="0.25">
      <c r="A1298" s="1095"/>
      <c r="B1298" s="1454">
        <v>1048</v>
      </c>
      <c r="C1298" s="1099">
        <v>1.0066416759711314</v>
      </c>
      <c r="D1298" s="1099">
        <v>0.98863312396025027</v>
      </c>
      <c r="E1298" s="1099">
        <v>1.0432679376213405</v>
      </c>
      <c r="F1298" s="1099">
        <v>0.98754433582728929</v>
      </c>
      <c r="G1298" s="1099">
        <v>0.96065920315412812</v>
      </c>
      <c r="H1298" s="1099">
        <v>1.0283571150448632</v>
      </c>
      <c r="I1298" s="1099">
        <v>1.0247199715017352</v>
      </c>
      <c r="K1298">
        <v>1.739838878952036</v>
      </c>
      <c r="L1298">
        <v>0</v>
      </c>
      <c r="M1298">
        <v>1.2919031696840785E-3</v>
      </c>
      <c r="N1298">
        <v>0.13541791519618068</v>
      </c>
      <c r="O1298">
        <v>0.12690280216566677</v>
      </c>
      <c r="P1298">
        <v>1.8814310228499529E-2</v>
      </c>
      <c r="Q1298">
        <v>9.3763269427138635E-4</v>
      </c>
      <c r="R1298">
        <v>1.2886682200354727E-3</v>
      </c>
      <c r="S1298">
        <v>0.1127564492532827</v>
      </c>
      <c r="T1298">
        <v>1.016969941234078</v>
      </c>
      <c r="U1298">
        <v>0</v>
      </c>
      <c r="V1298">
        <v>0.20655684213331341</v>
      </c>
      <c r="W1298">
        <v>8.673936769480417E-2</v>
      </c>
      <c r="X1298">
        <v>3.1239523216015516E-2</v>
      </c>
      <c r="Y1298">
        <v>3.5073300855719908E-3</v>
      </c>
    </row>
    <row r="1299" spans="1:25" x14ac:dyDescent="0.25">
      <c r="A1299" s="1095"/>
      <c r="B1299" s="1454">
        <v>1049</v>
      </c>
      <c r="C1299" s="1099">
        <v>0.99901150138609585</v>
      </c>
      <c r="D1299" s="1099">
        <v>1.0092275551863255</v>
      </c>
      <c r="E1299" s="1099">
        <v>0.99614195671969574</v>
      </c>
      <c r="F1299" s="1099">
        <v>1.0338034009692343</v>
      </c>
      <c r="G1299" s="1099">
        <v>0.97473591326658893</v>
      </c>
      <c r="H1299" s="1099">
        <v>0.97915699250087695</v>
      </c>
      <c r="I1299" s="1099">
        <v>1.0174302177899965</v>
      </c>
      <c r="K1299">
        <v>1.7710083387167606</v>
      </c>
      <c r="L1299">
        <v>0</v>
      </c>
      <c r="M1299">
        <v>1.355120227696226E-3</v>
      </c>
      <c r="N1299">
        <v>0.1232037540973762</v>
      </c>
      <c r="O1299">
        <v>0.1296512133419413</v>
      </c>
      <c r="P1299">
        <v>1.8818940049530268E-2</v>
      </c>
      <c r="Q1299">
        <v>8.9280360529132212E-4</v>
      </c>
      <c r="R1299">
        <v>1.3515543068377935E-3</v>
      </c>
      <c r="S1299">
        <v>0.10804570146238923</v>
      </c>
      <c r="T1299">
        <v>1.066027201786109</v>
      </c>
      <c r="U1299">
        <v>0</v>
      </c>
      <c r="V1299">
        <v>0.20952901817112221</v>
      </c>
      <c r="W1299">
        <v>8.1122575902377037E-2</v>
      </c>
      <c r="X1299">
        <v>3.0042210938025577E-2</v>
      </c>
      <c r="Y1299">
        <v>3.6784852834549665E-3</v>
      </c>
    </row>
    <row r="1300" spans="1:25" x14ac:dyDescent="0.25">
      <c r="A1300" s="1095"/>
      <c r="B1300" s="1454">
        <v>1050</v>
      </c>
      <c r="C1300" s="1099">
        <v>0.99453932758692165</v>
      </c>
      <c r="D1300" s="1099">
        <v>1.0128528797499861</v>
      </c>
      <c r="E1300" s="1099">
        <v>1.0407284893191708</v>
      </c>
      <c r="F1300" s="1099">
        <v>0.96235007268877737</v>
      </c>
      <c r="G1300" s="1099">
        <v>1.0078142975645925</v>
      </c>
      <c r="H1300" s="1099">
        <v>0.98228349803887205</v>
      </c>
      <c r="I1300" s="1099">
        <v>1.0055959180405432</v>
      </c>
      <c r="K1300">
        <v>1.6940159498964555</v>
      </c>
      <c r="L1300">
        <v>0</v>
      </c>
      <c r="M1300">
        <v>1.2338923682315853E-3</v>
      </c>
      <c r="N1300">
        <v>0.12833395567410072</v>
      </c>
      <c r="O1300">
        <v>0.1244801895819232</v>
      </c>
      <c r="P1300">
        <v>1.8351274301852936E-2</v>
      </c>
      <c r="Q1300">
        <v>9.3748191727065222E-4</v>
      </c>
      <c r="R1300">
        <v>1.2306323638218433E-3</v>
      </c>
      <c r="S1300">
        <v>0.1068787803044125</v>
      </c>
      <c r="T1300">
        <v>0.99109458465821532</v>
      </c>
      <c r="U1300">
        <v>0</v>
      </c>
      <c r="V1300">
        <v>0.20780290569059323</v>
      </c>
      <c r="W1300">
        <v>8.2321998764300047E-2</v>
      </c>
      <c r="X1300">
        <v>3.04686633917216E-2</v>
      </c>
      <c r="Y1300">
        <v>3.349375616473351E-3</v>
      </c>
    </row>
    <row r="1301" spans="1:25" x14ac:dyDescent="0.25">
      <c r="A1301" s="1095"/>
      <c r="B1301" s="1454">
        <v>1051</v>
      </c>
      <c r="C1301" s="1099">
        <v>0.98805926939977806</v>
      </c>
      <c r="D1301" s="1099">
        <v>0.97076303360023031</v>
      </c>
      <c r="E1301" s="1099">
        <v>1.0007967535527353</v>
      </c>
      <c r="F1301" s="1099">
        <v>0.97252023203035065</v>
      </c>
      <c r="G1301" s="1099">
        <v>0.99800780008650458</v>
      </c>
      <c r="H1301" s="1099">
        <v>1.00971056520146</v>
      </c>
      <c r="I1301" s="1099">
        <v>0.97568639545310176</v>
      </c>
      <c r="K1301">
        <v>1.7183772923765905</v>
      </c>
      <c r="L1301">
        <v>0</v>
      </c>
      <c r="M1301">
        <v>1.4226896561851225E-3</v>
      </c>
      <c r="N1301">
        <v>0.13118987611146601</v>
      </c>
      <c r="O1301">
        <v>0.12735575439948718</v>
      </c>
      <c r="P1301">
        <v>1.8034103295323484E-2</v>
      </c>
      <c r="Q1301">
        <v>9.2127957056763481E-4</v>
      </c>
      <c r="R1301">
        <v>1.4190629095418102E-3</v>
      </c>
      <c r="S1301">
        <v>0.10901983945135016</v>
      </c>
      <c r="T1301">
        <v>1.0026990509990179</v>
      </c>
      <c r="U1301">
        <v>0</v>
      </c>
      <c r="V1301">
        <v>0.20956953809475182</v>
      </c>
      <c r="W1301">
        <v>8.614204132920214E-2</v>
      </c>
      <c r="X1301">
        <v>2.9587214426257127E-2</v>
      </c>
      <c r="Y1301">
        <v>3.8622214458103993E-3</v>
      </c>
    </row>
    <row r="1302" spans="1:25" x14ac:dyDescent="0.25">
      <c r="A1302" s="1095"/>
      <c r="B1302" s="1454">
        <v>1052</v>
      </c>
      <c r="C1302" s="1099">
        <v>1.0243676363446113</v>
      </c>
      <c r="D1302" s="1099">
        <v>0.99657370160116077</v>
      </c>
      <c r="E1302" s="1099">
        <v>1.0040753226640839</v>
      </c>
      <c r="F1302" s="1099">
        <v>0.96516807695308016</v>
      </c>
      <c r="G1302" s="1099">
        <v>0.96688178938474245</v>
      </c>
      <c r="H1302" s="1099">
        <v>1.0109036612069706</v>
      </c>
      <c r="I1302" s="1099">
        <v>1.0230030858261552</v>
      </c>
      <c r="K1302">
        <v>1.6905074905816009</v>
      </c>
      <c r="L1302">
        <v>0</v>
      </c>
      <c r="M1302">
        <v>1.3470166248744596E-3</v>
      </c>
      <c r="N1302">
        <v>0.12544770652346812</v>
      </c>
      <c r="O1302">
        <v>0.12379165994091738</v>
      </c>
      <c r="P1302">
        <v>1.7891659063251023E-2</v>
      </c>
      <c r="Q1302">
        <v>8.8233695090211709E-4</v>
      </c>
      <c r="R1302">
        <v>1.3435784240289439E-3</v>
      </c>
      <c r="S1302">
        <v>0.10874766731859006</v>
      </c>
      <c r="T1302">
        <v>0.99502490938564736</v>
      </c>
      <c r="U1302">
        <v>0</v>
      </c>
      <c r="V1302">
        <v>0.20388597838870812</v>
      </c>
      <c r="W1302">
        <v>8.2211566065003766E-2</v>
      </c>
      <c r="X1302">
        <v>2.8970667586259543E-2</v>
      </c>
      <c r="Y1302">
        <v>3.6567775596983393E-3</v>
      </c>
    </row>
    <row r="1303" spans="1:25" x14ac:dyDescent="0.25">
      <c r="A1303" s="1095"/>
      <c r="B1303" s="1454">
        <v>1053</v>
      </c>
      <c r="C1303" s="1099">
        <v>1.013088581527632</v>
      </c>
      <c r="D1303" s="1099">
        <v>0.98661579983205083</v>
      </c>
      <c r="E1303" s="1099">
        <v>0.97306099997749307</v>
      </c>
      <c r="F1303" s="1099">
        <v>0.98546439636563432</v>
      </c>
      <c r="G1303" s="1099">
        <v>0.99953429109811909</v>
      </c>
      <c r="H1303" s="1099">
        <v>0.97595671855802069</v>
      </c>
      <c r="I1303" s="1099">
        <v>1.0062082625699864</v>
      </c>
      <c r="K1303">
        <v>1.707561461516534</v>
      </c>
      <c r="L1303">
        <v>0</v>
      </c>
      <c r="M1303">
        <v>1.411698959389933E-3</v>
      </c>
      <c r="N1303">
        <v>0.11969258295640753</v>
      </c>
      <c r="O1303">
        <v>0.12622616880938828</v>
      </c>
      <c r="P1303">
        <v>1.778904734324252E-2</v>
      </c>
      <c r="Q1303">
        <v>8.6723473546175707E-4</v>
      </c>
      <c r="R1303">
        <v>1.4079769829863844E-3</v>
      </c>
      <c r="S1303">
        <v>0.10639109079436755</v>
      </c>
      <c r="T1303">
        <v>1.0168680667537349</v>
      </c>
      <c r="U1303">
        <v>0</v>
      </c>
      <c r="V1303">
        <v>0.2076531433077406</v>
      </c>
      <c r="W1303">
        <v>7.9912698059955545E-2</v>
      </c>
      <c r="X1303">
        <v>2.8333101524435491E-2</v>
      </c>
      <c r="Y1303">
        <v>3.8320492082012355E-3</v>
      </c>
    </row>
    <row r="1304" spans="1:25" x14ac:dyDescent="0.25">
      <c r="A1304" s="1095"/>
      <c r="B1304" s="1454">
        <v>1054</v>
      </c>
      <c r="C1304" s="1099">
        <v>1.016436467855365</v>
      </c>
      <c r="D1304" s="1099">
        <v>0.98014210096777199</v>
      </c>
      <c r="E1304" s="1099">
        <v>0.99371643844223922</v>
      </c>
      <c r="F1304" s="1099">
        <v>1.0231862391116244</v>
      </c>
      <c r="G1304" s="1099">
        <v>0.99275992666465052</v>
      </c>
      <c r="H1304" s="1099">
        <v>1.0061457534713534</v>
      </c>
      <c r="I1304" s="1099">
        <v>0.98270757693090371</v>
      </c>
      <c r="K1304">
        <v>1.7629251115369273</v>
      </c>
      <c r="L1304">
        <v>0</v>
      </c>
      <c r="M1304">
        <v>1.400252149465179E-3</v>
      </c>
      <c r="N1304">
        <v>0.12638810984427318</v>
      </c>
      <c r="O1304">
        <v>0.12930098500854362</v>
      </c>
      <c r="P1304">
        <v>1.8610360373593107E-2</v>
      </c>
      <c r="Q1304">
        <v>8.855867127593542E-4</v>
      </c>
      <c r="R1304">
        <v>1.3966882511931432E-3</v>
      </c>
      <c r="S1304">
        <v>0.10632858577993828</v>
      </c>
      <c r="T1304">
        <v>1.0551532512724939</v>
      </c>
      <c r="U1304">
        <v>0</v>
      </c>
      <c r="V1304">
        <v>0.20927372157248381</v>
      </c>
      <c r="W1304">
        <v>8.3339828000125765E-2</v>
      </c>
      <c r="X1304">
        <v>2.9846921869398257E-2</v>
      </c>
      <c r="Y1304">
        <v>3.8013250015894694E-3</v>
      </c>
    </row>
    <row r="1305" spans="1:25" x14ac:dyDescent="0.25">
      <c r="A1305" s="1095"/>
      <c r="B1305" s="1454">
        <v>1055</v>
      </c>
      <c r="C1305" s="1099">
        <v>0.99982859117880363</v>
      </c>
      <c r="D1305" s="1099">
        <v>1.0178275459957427</v>
      </c>
      <c r="E1305" s="1099">
        <v>0.9750669080753035</v>
      </c>
      <c r="F1305" s="1099">
        <v>1.0063782927855929</v>
      </c>
      <c r="G1305" s="1099">
        <v>0.9770744396829707</v>
      </c>
      <c r="H1305" s="1099">
        <v>1.006396539979852</v>
      </c>
      <c r="I1305" s="1099">
        <v>1.0069353454748136</v>
      </c>
      <c r="K1305">
        <v>1.7381142026982994</v>
      </c>
      <c r="L1305">
        <v>0</v>
      </c>
      <c r="M1305">
        <v>1.4432848118570128E-3</v>
      </c>
      <c r="N1305">
        <v>0.1231241147744276</v>
      </c>
      <c r="O1305">
        <v>0.12708030510114554</v>
      </c>
      <c r="P1305">
        <v>1.8128346122580182E-2</v>
      </c>
      <c r="Q1305">
        <v>8.696888630260125E-4</v>
      </c>
      <c r="R1305">
        <v>1.4395755680234234E-3</v>
      </c>
      <c r="S1305">
        <v>0.10799512052685074</v>
      </c>
      <c r="T1305">
        <v>1.0383868499810116</v>
      </c>
      <c r="U1305">
        <v>0</v>
      </c>
      <c r="V1305">
        <v>0.20784140162829184</v>
      </c>
      <c r="W1305">
        <v>8.2103783324482912E-2</v>
      </c>
      <c r="X1305">
        <v>2.8670251480113502E-2</v>
      </c>
      <c r="Y1305">
        <v>3.9180501402012995E-3</v>
      </c>
    </row>
    <row r="1306" spans="1:25" x14ac:dyDescent="0.25">
      <c r="A1306" s="1095"/>
      <c r="B1306" s="1454">
        <v>1056</v>
      </c>
      <c r="C1306" s="1099">
        <v>0.99530168120941342</v>
      </c>
      <c r="D1306" s="1099">
        <v>1.0107011035159819</v>
      </c>
      <c r="E1306" s="1099">
        <v>1.0077057392197801</v>
      </c>
      <c r="F1306" s="1099">
        <v>0.98279847919065433</v>
      </c>
      <c r="G1306" s="1099">
        <v>1.0233257117503514</v>
      </c>
      <c r="H1306" s="1099">
        <v>1.0312695164162895</v>
      </c>
      <c r="I1306" s="1099">
        <v>0.99090226272626114</v>
      </c>
      <c r="K1306">
        <v>1.7266422099006635</v>
      </c>
      <c r="L1306">
        <v>0</v>
      </c>
      <c r="M1306">
        <v>1.3909409562871515E-3</v>
      </c>
      <c r="N1306">
        <v>0.13097186736225797</v>
      </c>
      <c r="O1306">
        <v>0.12597297626330867</v>
      </c>
      <c r="P1306">
        <v>1.8266379375128778E-2</v>
      </c>
      <c r="Q1306">
        <v>9.0639986604784412E-4</v>
      </c>
      <c r="R1306">
        <v>1.3874486401361822E-3</v>
      </c>
      <c r="S1306">
        <v>0.10882766435091838</v>
      </c>
      <c r="T1306">
        <v>1.0130952565586633</v>
      </c>
      <c r="U1306">
        <v>0</v>
      </c>
      <c r="V1306">
        <v>0.20953158141395409</v>
      </c>
      <c r="W1306">
        <v>8.564765441295466E-2</v>
      </c>
      <c r="X1306">
        <v>2.9649744787450465E-2</v>
      </c>
      <c r="Y1306">
        <v>3.7761778261293888E-3</v>
      </c>
    </row>
    <row r="1307" spans="1:25" x14ac:dyDescent="0.25">
      <c r="A1307" s="1095"/>
      <c r="B1307" s="1454">
        <v>1057</v>
      </c>
      <c r="C1307" s="1099">
        <v>1.0333597462323212</v>
      </c>
      <c r="D1307" s="1099">
        <v>1.0060454256336326</v>
      </c>
      <c r="E1307" s="1099">
        <v>0.99399666802237741</v>
      </c>
      <c r="F1307" s="1099">
        <v>0.99093195613455343</v>
      </c>
      <c r="G1307" s="1099">
        <v>0.99391999325874358</v>
      </c>
      <c r="H1307" s="1099">
        <v>1.0115149437579047</v>
      </c>
      <c r="I1307" s="1099">
        <v>0.96031095798580834</v>
      </c>
      <c r="K1307">
        <v>1.7084779997340322</v>
      </c>
      <c r="L1307">
        <v>0</v>
      </c>
      <c r="M1307">
        <v>1.3607979639700348E-3</v>
      </c>
      <c r="N1307">
        <v>0.12293068672955049</v>
      </c>
      <c r="O1307">
        <v>0.12483630001281633</v>
      </c>
      <c r="P1307">
        <v>1.8036633648406304E-2</v>
      </c>
      <c r="Q1307">
        <v>8.6229321141952065E-4</v>
      </c>
      <c r="R1307">
        <v>1.3573308319972882E-3</v>
      </c>
      <c r="S1307">
        <v>0.10082388691524836</v>
      </c>
      <c r="T1307">
        <v>1.0218829545605979</v>
      </c>
      <c r="U1307">
        <v>0</v>
      </c>
      <c r="V1307">
        <v>0.20551119451465411</v>
      </c>
      <c r="W1307">
        <v>8.1046451303202066E-2</v>
      </c>
      <c r="X1307">
        <v>2.8856858889401739E-2</v>
      </c>
      <c r="Y1307">
        <v>3.6942070807081048E-3</v>
      </c>
    </row>
    <row r="1308" spans="1:25" x14ac:dyDescent="0.25">
      <c r="A1308" s="1095"/>
      <c r="B1308" s="1454">
        <v>1058</v>
      </c>
      <c r="C1308" s="1099">
        <v>0.9959510573791075</v>
      </c>
      <c r="D1308" s="1099">
        <v>0.98164643951267472</v>
      </c>
      <c r="E1308" s="1099">
        <v>1.0150174934225626</v>
      </c>
      <c r="F1308" s="1099">
        <v>0.9760414125485668</v>
      </c>
      <c r="G1308" s="1099">
        <v>1.0002261564846278</v>
      </c>
      <c r="H1308" s="1099">
        <v>1.0276302488515234</v>
      </c>
      <c r="I1308" s="1099">
        <v>0.99359511907396969</v>
      </c>
      <c r="K1308">
        <v>1.7258145091687882</v>
      </c>
      <c r="L1308">
        <v>0</v>
      </c>
      <c r="M1308">
        <v>1.3870035854025658E-3</v>
      </c>
      <c r="N1308">
        <v>0.13351624470430293</v>
      </c>
      <c r="O1308">
        <v>0.12676905481867345</v>
      </c>
      <c r="P1308">
        <v>1.8283956702845917E-2</v>
      </c>
      <c r="Q1308">
        <v>9.2337076999189887E-4</v>
      </c>
      <c r="R1308">
        <v>1.3835258306113751E-3</v>
      </c>
      <c r="S1308">
        <v>0.11074521140722214</v>
      </c>
      <c r="T1308">
        <v>1.0059201497586434</v>
      </c>
      <c r="U1308">
        <v>0</v>
      </c>
      <c r="V1308">
        <v>0.20889250973072754</v>
      </c>
      <c r="W1308">
        <v>8.6936284924986507E-2</v>
      </c>
      <c r="X1308">
        <v>3.0065702874429688E-2</v>
      </c>
      <c r="Y1308">
        <v>3.7655012317566764E-3</v>
      </c>
    </row>
    <row r="1309" spans="1:25" x14ac:dyDescent="0.25">
      <c r="A1309" s="1095"/>
      <c r="B1309" s="1454">
        <v>1059</v>
      </c>
      <c r="C1309" s="1099">
        <v>1.00015878597339</v>
      </c>
      <c r="D1309" s="1099">
        <v>0.99489683957522379</v>
      </c>
      <c r="E1309" s="1099">
        <v>0.98281096672043422</v>
      </c>
      <c r="F1309" s="1099">
        <v>0.99111058785431438</v>
      </c>
      <c r="G1309" s="1099">
        <v>1.0352650989587522</v>
      </c>
      <c r="H1309" s="1099">
        <v>1.0179550033337814</v>
      </c>
      <c r="I1309" s="1099">
        <v>1.0223248310803883</v>
      </c>
      <c r="K1309">
        <v>1.734895828782145</v>
      </c>
      <c r="L1309">
        <v>0</v>
      </c>
      <c r="M1309">
        <v>1.4537143564864756E-3</v>
      </c>
      <c r="N1309">
        <v>0.12695882265386443</v>
      </c>
      <c r="O1309">
        <v>0.12697474261349098</v>
      </c>
      <c r="P1309">
        <v>1.8109169961804856E-2</v>
      </c>
      <c r="Q1309">
        <v>8.8451542869855094E-4</v>
      </c>
      <c r="R1309">
        <v>1.4500318184340858E-3</v>
      </c>
      <c r="S1309">
        <v>0.11191050668763723</v>
      </c>
      <c r="T1309">
        <v>1.0224005591778202</v>
      </c>
      <c r="U1309">
        <v>0</v>
      </c>
      <c r="V1309">
        <v>0.21053317277112199</v>
      </c>
      <c r="W1309">
        <v>8.4265624226914124E-2</v>
      </c>
      <c r="X1309">
        <v>2.8915889191928116E-2</v>
      </c>
      <c r="Y1309">
        <v>3.9465086069171013E-3</v>
      </c>
    </row>
    <row r="1310" spans="1:25" x14ac:dyDescent="0.25">
      <c r="A1310" s="1095"/>
      <c r="B1310" s="1454">
        <v>1060</v>
      </c>
      <c r="C1310" s="1099">
        <v>1.0063301480639097</v>
      </c>
      <c r="D1310" s="1099">
        <v>0.9870787073257804</v>
      </c>
      <c r="E1310" s="1099">
        <v>1.0157845955092921</v>
      </c>
      <c r="F1310" s="1099">
        <v>0.96797882034931659</v>
      </c>
      <c r="G1310" s="1099">
        <v>1.0031957111951093</v>
      </c>
      <c r="H1310" s="1099">
        <v>1.0221002342494765</v>
      </c>
      <c r="I1310" s="1099">
        <v>0.97842393833316088</v>
      </c>
      <c r="K1310">
        <v>1.7066565381777663</v>
      </c>
      <c r="L1310">
        <v>0</v>
      </c>
      <c r="M1310">
        <v>1.3589398717810842E-3</v>
      </c>
      <c r="N1310">
        <v>0.13111587389383855</v>
      </c>
      <c r="O1310">
        <v>0.12537191584024512</v>
      </c>
      <c r="P1310">
        <v>1.8112153154115344E-2</v>
      </c>
      <c r="Q1310">
        <v>9.125518580734073E-4</v>
      </c>
      <c r="R1310">
        <v>1.355511048450192E-3</v>
      </c>
      <c r="S1310">
        <v>0.10719760507930556</v>
      </c>
      <c r="T1310">
        <v>0.99758901032751479</v>
      </c>
      <c r="U1310">
        <v>0</v>
      </c>
      <c r="V1310">
        <v>0.20757586092361294</v>
      </c>
      <c r="W1310">
        <v>8.5334888760166774E-2</v>
      </c>
      <c r="X1310">
        <v>2.9760852934439207E-2</v>
      </c>
      <c r="Y1310">
        <v>3.689254229784395E-3</v>
      </c>
    </row>
    <row r="1311" spans="1:25" x14ac:dyDescent="0.25">
      <c r="A1311" s="1095"/>
      <c r="B1311" s="1454">
        <v>1061</v>
      </c>
      <c r="C1311" s="1099">
        <v>1.0136033447089781</v>
      </c>
      <c r="D1311" s="1099">
        <v>1.0239392364485664</v>
      </c>
      <c r="E1311" s="1099">
        <v>1.0029825152495118</v>
      </c>
      <c r="F1311" s="1099">
        <v>1.0411878365078184</v>
      </c>
      <c r="G1311" s="1099">
        <v>0.97463370313683573</v>
      </c>
      <c r="H1311" s="1099">
        <v>0.97699719546189046</v>
      </c>
      <c r="I1311" s="1099">
        <v>0.99449042060320891</v>
      </c>
      <c r="K1311">
        <v>1.7676400634878235</v>
      </c>
      <c r="L1311">
        <v>0</v>
      </c>
      <c r="M1311">
        <v>1.3048912416731646E-3</v>
      </c>
      <c r="N1311">
        <v>0.12111346150098931</v>
      </c>
      <c r="O1311">
        <v>0.12879104360841206</v>
      </c>
      <c r="P1311">
        <v>1.8931973619069748E-2</v>
      </c>
      <c r="Q1311">
        <v>8.8110006288766838E-4</v>
      </c>
      <c r="R1311">
        <v>1.3014461708378243E-3</v>
      </c>
      <c r="S1311">
        <v>0.10313669579394599</v>
      </c>
      <c r="T1311">
        <v>1.0734299940328338</v>
      </c>
      <c r="U1311">
        <v>0</v>
      </c>
      <c r="V1311">
        <v>0.20826204908783827</v>
      </c>
      <c r="W1311">
        <v>7.9422564139546792E-2</v>
      </c>
      <c r="X1311">
        <v>3.0132519257727742E-2</v>
      </c>
      <c r="Y1311">
        <v>3.5421074554056434E-3</v>
      </c>
    </row>
    <row r="1312" spans="1:25" x14ac:dyDescent="0.25">
      <c r="A1312" s="1095"/>
      <c r="B1312" s="1454">
        <v>1062</v>
      </c>
      <c r="C1312" s="1099">
        <v>0.96275481215278969</v>
      </c>
      <c r="D1312" s="1099">
        <v>1.0101322123518182</v>
      </c>
      <c r="E1312" s="1099">
        <v>0.97150037909534448</v>
      </c>
      <c r="F1312" s="1099">
        <v>0.97826093859485086</v>
      </c>
      <c r="G1312" s="1099">
        <v>1.0048512731684101</v>
      </c>
      <c r="H1312" s="1099">
        <v>1.0195906279772993</v>
      </c>
      <c r="I1312" s="1099">
        <v>1.0322832969971663</v>
      </c>
      <c r="K1312">
        <v>1.7304242375623942</v>
      </c>
      <c r="L1312">
        <v>0</v>
      </c>
      <c r="M1312">
        <v>1.5279379875091537E-3</v>
      </c>
      <c r="N1312">
        <v>0.12894894382195735</v>
      </c>
      <c r="O1312">
        <v>0.12721011907479254</v>
      </c>
      <c r="P1312">
        <v>1.7845163119210698E-2</v>
      </c>
      <c r="Q1312">
        <v>9.025330546085467E-4</v>
      </c>
      <c r="R1312">
        <v>1.5240456273291651E-3</v>
      </c>
      <c r="S1312">
        <v>0.11606556592587028</v>
      </c>
      <c r="T1312">
        <v>1.0094817055870513</v>
      </c>
      <c r="U1312">
        <v>0</v>
      </c>
      <c r="V1312">
        <v>0.21115094932362485</v>
      </c>
      <c r="W1312">
        <v>8.6174368693910541E-2</v>
      </c>
      <c r="X1312">
        <v>2.8500831525464589E-2</v>
      </c>
      <c r="Y1312">
        <v>4.1479497960839615E-3</v>
      </c>
    </row>
    <row r="1313" spans="1:25" x14ac:dyDescent="0.25">
      <c r="A1313" s="1095"/>
      <c r="B1313" s="1454">
        <v>1063</v>
      </c>
      <c r="C1313" s="1099">
        <v>1.0059278243674326</v>
      </c>
      <c r="D1313" s="1099">
        <v>0.97482359342301017</v>
      </c>
      <c r="E1313" s="1099">
        <v>1.0091301923525715</v>
      </c>
      <c r="F1313" s="1099">
        <v>1.0016815599272064</v>
      </c>
      <c r="G1313" s="1099">
        <v>0.99456384842136925</v>
      </c>
      <c r="H1313" s="1099">
        <v>1.0034921669529728</v>
      </c>
      <c r="I1313" s="1099">
        <v>1.0306135817287723</v>
      </c>
      <c r="K1313">
        <v>1.7503137112330605</v>
      </c>
      <c r="L1313">
        <v>0</v>
      </c>
      <c r="M1313">
        <v>1.3673976006331227E-3</v>
      </c>
      <c r="N1313">
        <v>0.12930407276987987</v>
      </c>
      <c r="O1313">
        <v>0.12852349067042643</v>
      </c>
      <c r="P1313">
        <v>1.8602584915734861E-2</v>
      </c>
      <c r="Q1313">
        <v>9.1122361527563628E-4</v>
      </c>
      <c r="R1313">
        <v>1.3639022137495031E-3</v>
      </c>
      <c r="S1313">
        <v>0.11269228226776139</v>
      </c>
      <c r="T1313">
        <v>1.0325183881333651</v>
      </c>
      <c r="U1313">
        <v>0</v>
      </c>
      <c r="V1313">
        <v>0.20932180926211874</v>
      </c>
      <c r="W1313">
        <v>8.4485934215985659E-2</v>
      </c>
      <c r="X1313">
        <v>3.0245328553813983E-2</v>
      </c>
      <c r="Y1313">
        <v>3.7120922155822206E-3</v>
      </c>
    </row>
    <row r="1314" spans="1:25" x14ac:dyDescent="0.25">
      <c r="A1314" s="1095"/>
      <c r="B1314" s="1454">
        <v>1064</v>
      </c>
      <c r="C1314" s="1099">
        <v>1.0344496070282605</v>
      </c>
      <c r="D1314" s="1099">
        <v>1.0053498310270788</v>
      </c>
      <c r="E1314" s="1099">
        <v>0.98162692130835516</v>
      </c>
      <c r="F1314" s="1099">
        <v>1.0481321150425993</v>
      </c>
      <c r="G1314" s="1099">
        <v>1.0062463309890657</v>
      </c>
      <c r="H1314" s="1099">
        <v>1.0121959578435697</v>
      </c>
      <c r="I1314" s="1099">
        <v>0.97681708612268514</v>
      </c>
      <c r="K1314">
        <v>1.7779930741582293</v>
      </c>
      <c r="L1314">
        <v>0</v>
      </c>
      <c r="M1314">
        <v>1.4027178155365974E-3</v>
      </c>
      <c r="N1314">
        <v>0.1220669827581511</v>
      </c>
      <c r="O1314">
        <v>0.12900477726172774</v>
      </c>
      <c r="P1314">
        <v>1.8741060025374717E-2</v>
      </c>
      <c r="Q1314">
        <v>8.5057208950099078E-4</v>
      </c>
      <c r="R1314">
        <v>1.3991635090240544E-3</v>
      </c>
      <c r="S1314">
        <v>0.10283148600353653</v>
      </c>
      <c r="T1314">
        <v>1.081259841657491</v>
      </c>
      <c r="U1314">
        <v>0</v>
      </c>
      <c r="V1314">
        <v>0.20894190457007561</v>
      </c>
      <c r="W1314">
        <v>8.1076636035592287E-2</v>
      </c>
      <c r="X1314">
        <v>2.9415306225855253E-2</v>
      </c>
      <c r="Y1314">
        <v>3.8080618374366861E-3</v>
      </c>
    </row>
    <row r="1315" spans="1:25" x14ac:dyDescent="0.25">
      <c r="A1315" s="1095"/>
      <c r="B1315" s="1454">
        <v>1065</v>
      </c>
      <c r="C1315" s="1099">
        <v>1.0200642553436874</v>
      </c>
      <c r="D1315" s="1099">
        <v>0.99975545045786229</v>
      </c>
      <c r="E1315" s="1099">
        <v>0.97351030747039413</v>
      </c>
      <c r="F1315" s="1099">
        <v>1.0313737045957454</v>
      </c>
      <c r="G1315" s="1099">
        <v>0.99576409984572023</v>
      </c>
      <c r="H1315" s="1099">
        <v>0.99894449501452365</v>
      </c>
      <c r="I1315" s="1099">
        <v>0.99891162654148979</v>
      </c>
      <c r="K1315">
        <v>1.7622444572496194</v>
      </c>
      <c r="L1315">
        <v>0</v>
      </c>
      <c r="M1315">
        <v>1.4289435713090415E-3</v>
      </c>
      <c r="N1315">
        <v>0.12132757363727477</v>
      </c>
      <c r="O1315">
        <v>0.12872840543217834</v>
      </c>
      <c r="P1315">
        <v>1.8438491592270873E-2</v>
      </c>
      <c r="Q1315">
        <v>8.5716315312908361E-4</v>
      </c>
      <c r="R1315">
        <v>1.4252699687869153E-3</v>
      </c>
      <c r="S1315">
        <v>0.10591959947394827</v>
      </c>
      <c r="T1315">
        <v>1.0642262157686291</v>
      </c>
      <c r="U1315">
        <v>0</v>
      </c>
      <c r="V1315">
        <v>0.20888824758056171</v>
      </c>
      <c r="W1315">
        <v>8.0982207842438161E-2</v>
      </c>
      <c r="X1315">
        <v>2.9001111356792168E-2</v>
      </c>
      <c r="Y1315">
        <v>3.8791150149190459E-3</v>
      </c>
    </row>
    <row r="1316" spans="1:25" x14ac:dyDescent="0.25">
      <c r="A1316" s="1095"/>
      <c r="B1316" s="1454">
        <v>1066</v>
      </c>
      <c r="C1316" s="1099">
        <v>0.95608098507266748</v>
      </c>
      <c r="D1316" s="1099">
        <v>1.040788656075065</v>
      </c>
      <c r="E1316" s="1099">
        <v>0.99466815541550879</v>
      </c>
      <c r="F1316" s="1099">
        <v>0.98126521346416529</v>
      </c>
      <c r="G1316" s="1099">
        <v>0.9872272782091559</v>
      </c>
      <c r="H1316" s="1099">
        <v>0.9670573440530541</v>
      </c>
      <c r="I1316" s="1099">
        <v>0.9778465313755148</v>
      </c>
      <c r="K1316">
        <v>1.7107660620830729</v>
      </c>
      <c r="L1316">
        <v>0</v>
      </c>
      <c r="M1316">
        <v>1.3665239574724957E-3</v>
      </c>
      <c r="N1316">
        <v>0.12367970074884302</v>
      </c>
      <c r="O1316">
        <v>0.12653225032063181</v>
      </c>
      <c r="P1316">
        <v>1.8031886121653993E-2</v>
      </c>
      <c r="Q1316">
        <v>9.2006204188389319E-4</v>
      </c>
      <c r="R1316">
        <v>1.3628322705232503E-3</v>
      </c>
      <c r="S1316">
        <v>0.10506905135613533</v>
      </c>
      <c r="T1316">
        <v>1.0118945800929111</v>
      </c>
      <c r="U1316">
        <v>0</v>
      </c>
      <c r="V1316">
        <v>0.21023098098075876</v>
      </c>
      <c r="W1316">
        <v>8.1507583772379918E-2</v>
      </c>
      <c r="X1316">
        <v>2.9194478151998285E-2</v>
      </c>
      <c r="Y1316">
        <v>3.7091801828270507E-3</v>
      </c>
    </row>
    <row r="1317" spans="1:25" x14ac:dyDescent="0.25">
      <c r="A1317" s="1095"/>
      <c r="B1317" s="1454">
        <v>1067</v>
      </c>
      <c r="C1317" s="1099">
        <v>1.0116911861002071</v>
      </c>
      <c r="D1317" s="1099">
        <v>0.9984873658293183</v>
      </c>
      <c r="E1317" s="1099">
        <v>1.0044453450992707</v>
      </c>
      <c r="F1317" s="1099">
        <v>1.0375612493742117</v>
      </c>
      <c r="G1317" s="1099">
        <v>0.98627112097174974</v>
      </c>
      <c r="H1317" s="1099">
        <v>1.0110445079492385</v>
      </c>
      <c r="I1317" s="1099">
        <v>0.99151151808625748</v>
      </c>
      <c r="K1317">
        <v>1.7811759524436017</v>
      </c>
      <c r="L1317">
        <v>0</v>
      </c>
      <c r="M1317">
        <v>1.3685528335483507E-3</v>
      </c>
      <c r="N1317">
        <v>0.12759750242282028</v>
      </c>
      <c r="O1317">
        <v>0.12980429422371492</v>
      </c>
      <c r="P1317">
        <v>1.8971026697971363E-2</v>
      </c>
      <c r="Q1317">
        <v>8.9304907466181062E-4</v>
      </c>
      <c r="R1317">
        <v>1.365076893265351E-3</v>
      </c>
      <c r="S1317">
        <v>0.10696326950011106</v>
      </c>
      <c r="T1317">
        <v>1.0696461522942304</v>
      </c>
      <c r="U1317">
        <v>0</v>
      </c>
      <c r="V1317">
        <v>0.20956478213420482</v>
      </c>
      <c r="W1317">
        <v>8.3602098563166138E-2</v>
      </c>
      <c r="X1317">
        <v>3.0421964167012712E-2</v>
      </c>
      <c r="Y1317">
        <v>3.7152893059913608E-3</v>
      </c>
    </row>
    <row r="1318" spans="1:25" x14ac:dyDescent="0.25">
      <c r="A1318" s="1095"/>
      <c r="B1318" s="1454">
        <v>1068</v>
      </c>
      <c r="C1318" s="1099">
        <v>1.0460301582894991</v>
      </c>
      <c r="D1318" s="1099">
        <v>0.97737206294819468</v>
      </c>
      <c r="E1318" s="1099">
        <v>0.98678230157661007</v>
      </c>
      <c r="F1318" s="1099">
        <v>0.99279207996277907</v>
      </c>
      <c r="G1318" s="1099">
        <v>0.97106380983413498</v>
      </c>
      <c r="H1318" s="1099">
        <v>1.0420768624182788</v>
      </c>
      <c r="I1318" s="1099">
        <v>1.0242431612247589</v>
      </c>
      <c r="K1318">
        <v>1.7263015125955821</v>
      </c>
      <c r="L1318">
        <v>0</v>
      </c>
      <c r="M1318">
        <v>1.4316854808065142E-3</v>
      </c>
      <c r="N1318">
        <v>0.12655559706505123</v>
      </c>
      <c r="O1318">
        <v>0.12563419293901229</v>
      </c>
      <c r="P1318">
        <v>1.8080623372482365E-2</v>
      </c>
      <c r="Q1318">
        <v>8.5530339130459698E-4</v>
      </c>
      <c r="R1318">
        <v>1.42816833678976E-3</v>
      </c>
      <c r="S1318">
        <v>0.1103474642378211</v>
      </c>
      <c r="T1318">
        <v>1.0240161445557041</v>
      </c>
      <c r="U1318">
        <v>0</v>
      </c>
      <c r="V1318">
        <v>0.20433753507269861</v>
      </c>
      <c r="W1318">
        <v>8.3797571187803635E-2</v>
      </c>
      <c r="X1318">
        <v>2.8793594500545003E-2</v>
      </c>
      <c r="Y1318">
        <v>3.8870034171760329E-3</v>
      </c>
    </row>
    <row r="1319" spans="1:25" x14ac:dyDescent="0.25">
      <c r="A1319" s="1095"/>
      <c r="B1319" s="1454">
        <v>1069</v>
      </c>
      <c r="C1319" s="1099">
        <v>1.0038111649073787</v>
      </c>
      <c r="D1319" s="1099">
        <v>1.0103636780764824</v>
      </c>
      <c r="E1319" s="1099">
        <v>1.0112798248059043</v>
      </c>
      <c r="F1319" s="1099">
        <v>0.96972136593305025</v>
      </c>
      <c r="G1319" s="1099">
        <v>1.0158395268920599</v>
      </c>
      <c r="H1319" s="1099">
        <v>1.022039785414083</v>
      </c>
      <c r="I1319" s="1099">
        <v>0.99964875005152498</v>
      </c>
      <c r="K1319">
        <v>1.7055571295149132</v>
      </c>
      <c r="L1319">
        <v>0</v>
      </c>
      <c r="M1319">
        <v>1.3563461002642236E-3</v>
      </c>
      <c r="N1319">
        <v>0.12909690296571158</v>
      </c>
      <c r="O1319">
        <v>0.12457308921489177</v>
      </c>
      <c r="P1319">
        <v>1.8095565363708981E-2</v>
      </c>
      <c r="Q1319">
        <v>9.0215628862364808E-4</v>
      </c>
      <c r="R1319">
        <v>1.3529085440446666E-3</v>
      </c>
      <c r="S1319">
        <v>0.10821698583823711</v>
      </c>
      <c r="T1319">
        <v>0.99951296259743627</v>
      </c>
      <c r="U1319">
        <v>0</v>
      </c>
      <c r="V1319">
        <v>0.2077906649922891</v>
      </c>
      <c r="W1319">
        <v>8.4243734911800663E-2</v>
      </c>
      <c r="X1319">
        <v>2.9446333827724828E-2</v>
      </c>
      <c r="Y1319">
        <v>3.6821710707079006E-3</v>
      </c>
    </row>
    <row r="1320" spans="1:25" x14ac:dyDescent="0.25">
      <c r="A1320" s="1095"/>
      <c r="B1320" s="1454">
        <v>1070</v>
      </c>
      <c r="C1320" s="1099">
        <v>1.0079496436069466</v>
      </c>
      <c r="D1320" s="1099">
        <v>1.010437508042765</v>
      </c>
      <c r="E1320" s="1099">
        <v>1.0386937806500769</v>
      </c>
      <c r="F1320" s="1099">
        <v>0.99244180724808462</v>
      </c>
      <c r="G1320" s="1099">
        <v>0.96213999311537624</v>
      </c>
      <c r="H1320" s="1099">
        <v>1.0312053927282925</v>
      </c>
      <c r="I1320" s="1099">
        <v>1.0235721592204985</v>
      </c>
      <c r="K1320">
        <v>1.7388809749427792</v>
      </c>
      <c r="L1320">
        <v>0</v>
      </c>
      <c r="M1320">
        <v>1.2902493671517559E-3</v>
      </c>
      <c r="N1320">
        <v>0.13339366676543438</v>
      </c>
      <c r="O1320">
        <v>0.12620231082733113</v>
      </c>
      <c r="P1320">
        <v>1.8797199635691899E-2</v>
      </c>
      <c r="Q1320">
        <v>9.2398235570202605E-4</v>
      </c>
      <c r="R1320">
        <v>1.287015962372722E-3</v>
      </c>
      <c r="S1320">
        <v>0.11121204291257775</v>
      </c>
      <c r="T1320">
        <v>1.0221427885900278</v>
      </c>
      <c r="U1320">
        <v>0</v>
      </c>
      <c r="V1320">
        <v>0.20611517095842435</v>
      </c>
      <c r="W1320">
        <v>8.5667992763896E-2</v>
      </c>
      <c r="X1320">
        <v>3.0926220353589707E-2</v>
      </c>
      <c r="Y1320">
        <v>3.502833184880576E-3</v>
      </c>
    </row>
    <row r="1321" spans="1:25" x14ac:dyDescent="0.25">
      <c r="A1321" s="1095"/>
      <c r="B1321" s="1454">
        <v>1071</v>
      </c>
      <c r="C1321" s="1099">
        <v>0.97466289630314418</v>
      </c>
      <c r="D1321" s="1099">
        <v>1.0134399313950835</v>
      </c>
      <c r="E1321" s="1099">
        <v>0.9866173600621968</v>
      </c>
      <c r="F1321" s="1099">
        <v>1.0145589579489784</v>
      </c>
      <c r="G1321" s="1099">
        <v>1.0130877058574379</v>
      </c>
      <c r="H1321" s="1099">
        <v>0.98328303468495248</v>
      </c>
      <c r="I1321" s="1099">
        <v>1.0164135252815671</v>
      </c>
      <c r="K1321">
        <v>1.7588787674812258</v>
      </c>
      <c r="L1321">
        <v>0</v>
      </c>
      <c r="M1321">
        <v>1.4140249213141578E-3</v>
      </c>
      <c r="N1321">
        <v>0.12491018336555627</v>
      </c>
      <c r="O1321">
        <v>0.12926618273521684</v>
      </c>
      <c r="P1321">
        <v>1.8490125781347688E-2</v>
      </c>
      <c r="Q1321">
        <v>9.0456531544891251E-4</v>
      </c>
      <c r="R1321">
        <v>1.4103032932540856E-3</v>
      </c>
      <c r="S1321">
        <v>0.11037524731110705</v>
      </c>
      <c r="T1321">
        <v>1.0464726483328932</v>
      </c>
      <c r="U1321">
        <v>0</v>
      </c>
      <c r="V1321">
        <v>0.21234313112036057</v>
      </c>
      <c r="W1321">
        <v>8.2716270496092328E-2</v>
      </c>
      <c r="X1321">
        <v>2.9565753993381291E-2</v>
      </c>
      <c r="Y1321">
        <v>3.8383806578819461E-3</v>
      </c>
    </row>
    <row r="1322" spans="1:25" x14ac:dyDescent="0.25">
      <c r="A1322" s="1095"/>
      <c r="B1322" s="1454">
        <v>1072</v>
      </c>
      <c r="C1322" s="1099">
        <v>1.0190460382551758</v>
      </c>
      <c r="D1322" s="1099">
        <v>0.99977631807362444</v>
      </c>
      <c r="E1322" s="1099">
        <v>0.99541104042695461</v>
      </c>
      <c r="F1322" s="1099">
        <v>0.99735500046726733</v>
      </c>
      <c r="G1322" s="1099">
        <v>0.97523948675747485</v>
      </c>
      <c r="H1322" s="1099">
        <v>0.99123630263267504</v>
      </c>
      <c r="I1322" s="1099">
        <v>1.0189201994738812</v>
      </c>
      <c r="K1322">
        <v>1.7240519596028865</v>
      </c>
      <c r="L1322">
        <v>0</v>
      </c>
      <c r="M1322">
        <v>1.3524841193491915E-3</v>
      </c>
      <c r="N1322">
        <v>0.12269682862026426</v>
      </c>
      <c r="O1322">
        <v>0.1263176030531189</v>
      </c>
      <c r="P1322">
        <v>1.8245697334669353E-2</v>
      </c>
      <c r="Q1322">
        <v>8.7788426036558044E-4</v>
      </c>
      <c r="R1322">
        <v>1.3489698025733671E-3</v>
      </c>
      <c r="S1322">
        <v>0.10744264752037061</v>
      </c>
      <c r="T1322">
        <v>1.0284644615035758</v>
      </c>
      <c r="U1322">
        <v>0</v>
      </c>
      <c r="V1322">
        <v>0.20628018403749318</v>
      </c>
      <c r="W1322">
        <v>8.0824015612720651E-2</v>
      </c>
      <c r="X1322">
        <v>2.9234700862254864E-2</v>
      </c>
      <c r="Y1322">
        <v>3.6714511148288006E-3</v>
      </c>
    </row>
    <row r="1323" spans="1:25" x14ac:dyDescent="0.25">
      <c r="A1323" s="1095"/>
      <c r="B1323" s="1454">
        <v>1073</v>
      </c>
      <c r="C1323" s="1099">
        <v>1.0093455469757195</v>
      </c>
      <c r="D1323" s="1099">
        <v>1.0122150043723526</v>
      </c>
      <c r="E1323" s="1099">
        <v>1.01065747057413</v>
      </c>
      <c r="F1323" s="1099">
        <v>1.016617830381694</v>
      </c>
      <c r="G1323" s="1099">
        <v>0.99158214459278582</v>
      </c>
      <c r="H1323" s="1099">
        <v>0.97569082325518774</v>
      </c>
      <c r="I1323" s="1099">
        <v>0.96547771708441421</v>
      </c>
      <c r="K1323">
        <v>1.7415344761942106</v>
      </c>
      <c r="L1323">
        <v>0</v>
      </c>
      <c r="M1323">
        <v>1.2938207023664508E-3</v>
      </c>
      <c r="N1323">
        <v>0.12290111769855026</v>
      </c>
      <c r="O1323">
        <v>0.127753557201848</v>
      </c>
      <c r="P1323">
        <v>1.8663747920212543E-2</v>
      </c>
      <c r="Q1323">
        <v>8.9597792704439953E-4</v>
      </c>
      <c r="R1323">
        <v>1.2904000767519478E-3</v>
      </c>
      <c r="S1323">
        <v>0.10104860383600438</v>
      </c>
      <c r="T1323">
        <v>1.0478687733057059</v>
      </c>
      <c r="U1323">
        <v>0</v>
      </c>
      <c r="V1323">
        <v>0.20854237231034584</v>
      </c>
      <c r="W1323">
        <v>8.0230016357399583E-2</v>
      </c>
      <c r="X1323">
        <v>3.0121686634065802E-2</v>
      </c>
      <c r="Y1323">
        <v>3.5120436286478238E-3</v>
      </c>
    </row>
    <row r="1324" spans="1:25" x14ac:dyDescent="0.25">
      <c r="A1324" s="1095"/>
      <c r="B1324" s="1454">
        <v>1074</v>
      </c>
      <c r="C1324" s="1099">
        <v>1.0366611850505081</v>
      </c>
      <c r="D1324" s="1099">
        <v>0.97593875500494509</v>
      </c>
      <c r="E1324" s="1099">
        <v>1.0485037784529005</v>
      </c>
      <c r="F1324" s="1099">
        <v>1.0026025380573294</v>
      </c>
      <c r="G1324" s="1099">
        <v>0.97680185096835426</v>
      </c>
      <c r="H1324" s="1099">
        <v>0.95658855864953185</v>
      </c>
      <c r="I1324" s="1099">
        <v>1.0348219740401279</v>
      </c>
      <c r="K1324">
        <v>1.7303306534644844</v>
      </c>
      <c r="L1324">
        <v>0</v>
      </c>
      <c r="M1324">
        <v>1.1674884911355094E-3</v>
      </c>
      <c r="N1324">
        <v>0.12429999420084654</v>
      </c>
      <c r="O1324">
        <v>0.12715133230993819</v>
      </c>
      <c r="P1324">
        <v>1.900891253284797E-2</v>
      </c>
      <c r="Q1324">
        <v>9.2006150302151074E-4</v>
      </c>
      <c r="R1324">
        <v>1.1643652806018333E-3</v>
      </c>
      <c r="S1324">
        <v>0.10664422346453686</v>
      </c>
      <c r="T1324">
        <v>1.0323278946162531</v>
      </c>
      <c r="U1324">
        <v>0</v>
      </c>
      <c r="V1324">
        <v>0.20608305426570006</v>
      </c>
      <c r="W1324">
        <v>7.9379364555996784E-2</v>
      </c>
      <c r="X1324">
        <v>3.1349920764988208E-2</v>
      </c>
      <c r="Y1324">
        <v>3.1690184608865971E-3</v>
      </c>
    </row>
    <row r="1325" spans="1:25" x14ac:dyDescent="0.25">
      <c r="A1325" s="1095"/>
      <c r="B1325" s="1454">
        <v>1075</v>
      </c>
      <c r="C1325" s="1099">
        <v>0.97846359588482579</v>
      </c>
      <c r="D1325" s="1099">
        <v>1.0189698404276091</v>
      </c>
      <c r="E1325" s="1099">
        <v>1.0210910287800072</v>
      </c>
      <c r="F1325" s="1099">
        <v>1.0191306766788053</v>
      </c>
      <c r="G1325" s="1099">
        <v>0.98551162093102052</v>
      </c>
      <c r="H1325" s="1099">
        <v>1.0259176559555347</v>
      </c>
      <c r="I1325" s="1099">
        <v>0.97246812954259276</v>
      </c>
      <c r="K1325">
        <v>1.7733271135251767</v>
      </c>
      <c r="L1325">
        <v>0</v>
      </c>
      <c r="M1325">
        <v>1.3647161723645148E-3</v>
      </c>
      <c r="N1325">
        <v>0.13379824583439712</v>
      </c>
      <c r="O1325">
        <v>0.12929674150733719</v>
      </c>
      <c r="P1325">
        <v>1.896565508591588E-2</v>
      </c>
      <c r="Q1325">
        <v>9.3174189565649486E-4</v>
      </c>
      <c r="R1325">
        <v>1.3612724888464672E-3</v>
      </c>
      <c r="S1325">
        <v>0.10787441534568183</v>
      </c>
      <c r="T1325">
        <v>1.0501477842858151</v>
      </c>
      <c r="U1325">
        <v>0</v>
      </c>
      <c r="V1325">
        <v>0.21084756877279828</v>
      </c>
      <c r="W1325">
        <v>8.6810413924605437E-2</v>
      </c>
      <c r="X1325">
        <v>3.0953055585201422E-2</v>
      </c>
      <c r="Y1325">
        <v>3.7049349712847375E-3</v>
      </c>
    </row>
    <row r="1326" spans="1:25" x14ac:dyDescent="0.25">
      <c r="A1326" s="1095"/>
      <c r="B1326" s="1454">
        <v>1076</v>
      </c>
      <c r="C1326" s="1099">
        <v>1.0200941340318757</v>
      </c>
      <c r="D1326" s="1099">
        <v>0.99704486179121043</v>
      </c>
      <c r="E1326" s="1099">
        <v>1.0038066560816172</v>
      </c>
      <c r="F1326" s="1099">
        <v>1.008951990960604</v>
      </c>
      <c r="G1326" s="1099">
        <v>1.002760935015492</v>
      </c>
      <c r="H1326" s="1099">
        <v>0.99475796861537491</v>
      </c>
      <c r="I1326" s="1099">
        <v>1.0012592372702138</v>
      </c>
      <c r="K1326">
        <v>1.7403130828004614</v>
      </c>
      <c r="L1326">
        <v>0</v>
      </c>
      <c r="M1326">
        <v>1.3360724507779803E-3</v>
      </c>
      <c r="N1326">
        <v>0.12432347824940758</v>
      </c>
      <c r="O1326">
        <v>0.12729632326816018</v>
      </c>
      <c r="P1326">
        <v>1.8527203787126176E-2</v>
      </c>
      <c r="Q1326">
        <v>8.8561962930449993E-4</v>
      </c>
      <c r="R1326">
        <v>1.3326185734444473E-3</v>
      </c>
      <c r="S1326">
        <v>0.10598057282445732</v>
      </c>
      <c r="T1326">
        <v>1.040171276003389</v>
      </c>
      <c r="U1326">
        <v>0</v>
      </c>
      <c r="V1326">
        <v>0.20823317137806543</v>
      </c>
      <c r="W1326">
        <v>8.1487778925786764E-2</v>
      </c>
      <c r="X1326">
        <v>2.9784164152773848E-2</v>
      </c>
      <c r="Y1326">
        <v>3.6269484593211133E-3</v>
      </c>
    </row>
    <row r="1327" spans="1:25" x14ac:dyDescent="0.25">
      <c r="A1327" s="1095"/>
      <c r="B1327" s="1454">
        <v>1077</v>
      </c>
      <c r="C1327" s="1099">
        <v>1.0023306921668917</v>
      </c>
      <c r="D1327" s="1099">
        <v>1.001384484532561</v>
      </c>
      <c r="E1327" s="1099">
        <v>0.97845893095279313</v>
      </c>
      <c r="F1327" s="1099">
        <v>0.97662239856760358</v>
      </c>
      <c r="G1327" s="1099">
        <v>1.0071914864083225</v>
      </c>
      <c r="H1327" s="1099">
        <v>1.0046463415930584</v>
      </c>
      <c r="I1327" s="1099">
        <v>1.0084242193026294</v>
      </c>
      <c r="K1327">
        <v>1.7070063915474532</v>
      </c>
      <c r="L1327">
        <v>0</v>
      </c>
      <c r="M1327">
        <v>1.437437816345538E-3</v>
      </c>
      <c r="N1327">
        <v>0.12389027784594248</v>
      </c>
      <c r="O1327">
        <v>0.12544303839009366</v>
      </c>
      <c r="P1327">
        <v>1.7773687286355189E-2</v>
      </c>
      <c r="Q1327">
        <v>8.7630282195637072E-4</v>
      </c>
      <c r="R1327">
        <v>1.4337396649169334E-3</v>
      </c>
      <c r="S1327">
        <v>0.10868932981640807</v>
      </c>
      <c r="T1327">
        <v>1.0075837733593562</v>
      </c>
      <c r="U1327">
        <v>0</v>
      </c>
      <c r="V1327">
        <v>0.20802547335106028</v>
      </c>
      <c r="W1327">
        <v>8.2445218792049246E-2</v>
      </c>
      <c r="X1327">
        <v>2.8380821299908657E-2</v>
      </c>
      <c r="Y1327">
        <v>3.9021667357503754E-3</v>
      </c>
    </row>
    <row r="1328" spans="1:25" x14ac:dyDescent="0.25">
      <c r="A1328" s="1095"/>
      <c r="B1328" s="1454">
        <v>1078</v>
      </c>
      <c r="C1328" s="1099">
        <v>0.98391442599522139</v>
      </c>
      <c r="D1328" s="1099">
        <v>1.0018256019498026</v>
      </c>
      <c r="E1328" s="1099">
        <v>1.032244529965747</v>
      </c>
      <c r="F1328" s="1099">
        <v>1.0379896078064939</v>
      </c>
      <c r="G1328" s="1099">
        <v>1.0044246154711913</v>
      </c>
      <c r="H1328" s="1099">
        <v>0.99511626558323951</v>
      </c>
      <c r="I1328" s="1099">
        <v>1.0297342118749231</v>
      </c>
      <c r="K1328">
        <v>1.7988779793843208</v>
      </c>
      <c r="L1328">
        <v>0</v>
      </c>
      <c r="M1328">
        <v>1.3017372462636983E-3</v>
      </c>
      <c r="N1328">
        <v>0.13198032344613803</v>
      </c>
      <c r="O1328">
        <v>0.13126440402973169</v>
      </c>
      <c r="P1328">
        <v>1.9482132868537675E-2</v>
      </c>
      <c r="Q1328">
        <v>9.4358766047758676E-4</v>
      </c>
      <c r="R1328">
        <v>1.2983684895596661E-3</v>
      </c>
      <c r="S1328">
        <v>0.11270780783423952</v>
      </c>
      <c r="T1328">
        <v>1.0692456789618761</v>
      </c>
      <c r="U1328">
        <v>0</v>
      </c>
      <c r="V1328">
        <v>0.21281425046432872</v>
      </c>
      <c r="W1328">
        <v>8.5076859877034852E-2</v>
      </c>
      <c r="X1328">
        <v>3.1832571977137999E-2</v>
      </c>
      <c r="Y1328">
        <v>3.5337310215238565E-3</v>
      </c>
    </row>
    <row r="1329" spans="1:25" x14ac:dyDescent="0.25">
      <c r="A1329" s="1095"/>
      <c r="B1329" s="1454">
        <v>1079</v>
      </c>
      <c r="C1329" s="1099">
        <v>1.023614866477635</v>
      </c>
      <c r="D1329" s="1099">
        <v>0.9685163606411461</v>
      </c>
      <c r="E1329" s="1099">
        <v>0.97780763194194853</v>
      </c>
      <c r="F1329" s="1099">
        <v>1.0374652657941301</v>
      </c>
      <c r="G1329" s="1099">
        <v>0.97911784064807561</v>
      </c>
      <c r="H1329" s="1099">
        <v>0.99548205656155508</v>
      </c>
      <c r="I1329" s="1099">
        <v>1.0057264561300592</v>
      </c>
      <c r="K1329">
        <v>1.7765772760098157</v>
      </c>
      <c r="L1329">
        <v>0</v>
      </c>
      <c r="M1329">
        <v>1.4343698355669821E-3</v>
      </c>
      <c r="N1329">
        <v>0.12338376962514097</v>
      </c>
      <c r="O1329">
        <v>0.13049840532285023</v>
      </c>
      <c r="P1329">
        <v>1.8614811234305199E-2</v>
      </c>
      <c r="Q1329">
        <v>8.6901945744879115E-4</v>
      </c>
      <c r="R1329">
        <v>1.4306949704499263E-3</v>
      </c>
      <c r="S1329">
        <v>0.10820640209062481</v>
      </c>
      <c r="T1329">
        <v>1.0703760393596757</v>
      </c>
      <c r="U1329">
        <v>0</v>
      </c>
      <c r="V1329">
        <v>0.20908336951320855</v>
      </c>
      <c r="W1329">
        <v>8.2140497776923629E-2</v>
      </c>
      <c r="X1329">
        <v>2.9514756413660418E-2</v>
      </c>
      <c r="Y1329">
        <v>3.8938800810944438E-3</v>
      </c>
    </row>
    <row r="1330" spans="1:25" x14ac:dyDescent="0.25">
      <c r="A1330" s="1095"/>
      <c r="B1330" s="1454">
        <v>1080</v>
      </c>
      <c r="C1330" s="1099">
        <v>1.0419683462974323</v>
      </c>
      <c r="D1330" s="1099">
        <v>1.0007629010419283</v>
      </c>
      <c r="E1330" s="1099">
        <v>0.99870281917556336</v>
      </c>
      <c r="F1330" s="1099">
        <v>0.97395667107361461</v>
      </c>
      <c r="G1330" s="1099">
        <v>1.0055054462101738</v>
      </c>
      <c r="H1330" s="1099">
        <v>0.99863590520480416</v>
      </c>
      <c r="I1330" s="1099">
        <v>1.035015815043822</v>
      </c>
      <c r="K1330">
        <v>1.6914356457584594</v>
      </c>
      <c r="L1330">
        <v>0</v>
      </c>
      <c r="M1330">
        <v>1.3224970441401179E-3</v>
      </c>
      <c r="N1330">
        <v>0.12117802808276024</v>
      </c>
      <c r="O1330">
        <v>0.12339624480592093</v>
      </c>
      <c r="P1330">
        <v>1.7935220845453372E-2</v>
      </c>
      <c r="Q1330">
        <v>8.61171691722402E-4</v>
      </c>
      <c r="R1330">
        <v>1.3190847632818894E-3</v>
      </c>
      <c r="S1330">
        <v>0.10717910471293166</v>
      </c>
      <c r="T1330">
        <v>1.0042407053143232</v>
      </c>
      <c r="U1330">
        <v>0</v>
      </c>
      <c r="V1330">
        <v>0.20468171081835601</v>
      </c>
      <c r="W1330">
        <v>7.9667155889188088E-2</v>
      </c>
      <c r="X1330">
        <v>2.870960198918316E-2</v>
      </c>
      <c r="Y1330">
        <v>3.5901138894779516E-3</v>
      </c>
    </row>
    <row r="1331" spans="1:25" x14ac:dyDescent="0.25">
      <c r="A1331" s="1095"/>
      <c r="B1331" s="1454">
        <v>1081</v>
      </c>
      <c r="C1331" s="1099">
        <v>0.99360876170475276</v>
      </c>
      <c r="D1331" s="1099">
        <v>1.0042295799259036</v>
      </c>
      <c r="E1331" s="1099">
        <v>0.99556522769212363</v>
      </c>
      <c r="F1331" s="1099">
        <v>0.97715611274987502</v>
      </c>
      <c r="G1331" s="1099">
        <v>1.0075876623692184</v>
      </c>
      <c r="H1331" s="1099">
        <v>0.99050792092293782</v>
      </c>
      <c r="I1331" s="1099">
        <v>1.0026460230512044</v>
      </c>
      <c r="K1331">
        <v>1.709072299943643</v>
      </c>
      <c r="L1331">
        <v>0</v>
      </c>
      <c r="M1331">
        <v>1.376667754887817E-3</v>
      </c>
      <c r="N1331">
        <v>0.12494718797053106</v>
      </c>
      <c r="O1331">
        <v>0.12587122538660556</v>
      </c>
      <c r="P1331">
        <v>1.8003579402172985E-2</v>
      </c>
      <c r="Q1331">
        <v>8.9890373253951282E-4</v>
      </c>
      <c r="R1331">
        <v>1.3730710199893002E-3</v>
      </c>
      <c r="S1331">
        <v>0.10781447197252382</v>
      </c>
      <c r="T1331">
        <v>1.007631031760283</v>
      </c>
      <c r="U1331">
        <v>0</v>
      </c>
      <c r="V1331">
        <v>0.20877425025488552</v>
      </c>
      <c r="W1331">
        <v>8.2298824435957985E-2</v>
      </c>
      <c r="X1331">
        <v>2.9099375079369889E-2</v>
      </c>
      <c r="Y1331">
        <v>3.7370466836707836E-3</v>
      </c>
    </row>
    <row r="1332" spans="1:25" x14ac:dyDescent="0.25">
      <c r="A1332" s="1095"/>
      <c r="B1332" s="1454">
        <v>1082</v>
      </c>
      <c r="C1332" s="1099">
        <v>0.97585933429144311</v>
      </c>
      <c r="D1332" s="1099">
        <v>0.97851007504768295</v>
      </c>
      <c r="E1332" s="1099">
        <v>0.97897086136910683</v>
      </c>
      <c r="F1332" s="1099">
        <v>0.99810376846365101</v>
      </c>
      <c r="G1332" s="1099">
        <v>1.024425689472066</v>
      </c>
      <c r="H1332" s="1099">
        <v>0.95762877967101989</v>
      </c>
      <c r="I1332" s="1099">
        <v>1.0071608332409865</v>
      </c>
      <c r="K1332">
        <v>1.7388038357957123</v>
      </c>
      <c r="L1332">
        <v>0</v>
      </c>
      <c r="M1332">
        <v>1.4245256655071143E-3</v>
      </c>
      <c r="N1332">
        <v>0.12295348204851506</v>
      </c>
      <c r="O1332">
        <v>0.12953693650607254</v>
      </c>
      <c r="P1332">
        <v>1.8157184328487348E-2</v>
      </c>
      <c r="Q1332">
        <v>9.0891943342114078E-4</v>
      </c>
      <c r="R1332">
        <v>1.4206959802052662E-3</v>
      </c>
      <c r="S1332">
        <v>0.10964713002869024</v>
      </c>
      <c r="T1332">
        <v>1.0297306425436568</v>
      </c>
      <c r="U1332">
        <v>0</v>
      </c>
      <c r="V1332">
        <v>0.21296866264663186</v>
      </c>
      <c r="W1332">
        <v>8.1796495371948386E-2</v>
      </c>
      <c r="X1332">
        <v>2.924154644777464E-2</v>
      </c>
      <c r="Y1332">
        <v>3.8666661258147271E-3</v>
      </c>
    </row>
    <row r="1333" spans="1:25" x14ac:dyDescent="0.25">
      <c r="A1333" s="1095"/>
      <c r="B1333" s="1454">
        <v>1083</v>
      </c>
      <c r="C1333" s="1099">
        <v>1.0165801716585066</v>
      </c>
      <c r="D1333" s="1099">
        <v>1.014851353508061</v>
      </c>
      <c r="E1333" s="1099">
        <v>1.0174808516945928</v>
      </c>
      <c r="F1333" s="1099">
        <v>1.0186772833670421</v>
      </c>
      <c r="G1333" s="1099">
        <v>0.96248595597299247</v>
      </c>
      <c r="H1333" s="1099">
        <v>0.97976784476659995</v>
      </c>
      <c r="I1333" s="1099">
        <v>1.0172106506790508</v>
      </c>
      <c r="K1333">
        <v>1.7465561540770049</v>
      </c>
      <c r="L1333">
        <v>0</v>
      </c>
      <c r="M1333">
        <v>1.2707930281837256E-3</v>
      </c>
      <c r="N1333">
        <v>0.12322684268682216</v>
      </c>
      <c r="O1333">
        <v>0.12744683920937472</v>
      </c>
      <c r="P1333">
        <v>1.8824063449381756E-2</v>
      </c>
      <c r="Q1333">
        <v>8.9493853159604709E-4</v>
      </c>
      <c r="R1333">
        <v>1.2674480622007869E-3</v>
      </c>
      <c r="S1333">
        <v>0.10588018311449329</v>
      </c>
      <c r="T1333">
        <v>1.0497878114117676</v>
      </c>
      <c r="U1333">
        <v>0</v>
      </c>
      <c r="V1333">
        <v>0.20658615174035316</v>
      </c>
      <c r="W1333">
        <v>8.0120663491049571E-2</v>
      </c>
      <c r="X1333">
        <v>3.034242959698142E-2</v>
      </c>
      <c r="Y1333">
        <v>3.4495758111691283E-3</v>
      </c>
    </row>
    <row r="1334" spans="1:25" x14ac:dyDescent="0.25">
      <c r="A1334" s="1095"/>
      <c r="B1334" s="1454">
        <v>1084</v>
      </c>
      <c r="C1334" s="1099">
        <v>0.99096470521001434</v>
      </c>
      <c r="D1334" s="1099">
        <v>0.98467569301049751</v>
      </c>
      <c r="E1334" s="1099">
        <v>0.97489721739440749</v>
      </c>
      <c r="F1334" s="1099">
        <v>1.0069555381363486</v>
      </c>
      <c r="G1334" s="1099">
        <v>1.0241288030486473</v>
      </c>
      <c r="H1334" s="1099">
        <v>0.97067806406642609</v>
      </c>
      <c r="I1334" s="1099">
        <v>0.99004047071229129</v>
      </c>
      <c r="K1334">
        <v>1.7422143468051157</v>
      </c>
      <c r="L1334">
        <v>0</v>
      </c>
      <c r="M1334">
        <v>1.4316807888790906E-3</v>
      </c>
      <c r="N1334">
        <v>0.12206171697994454</v>
      </c>
      <c r="O1334">
        <v>0.1291058347882858</v>
      </c>
      <c r="P1334">
        <v>1.8172124404533745E-2</v>
      </c>
      <c r="Q1334">
        <v>8.8900914821015309E-4</v>
      </c>
      <c r="R1334">
        <v>1.4278871376092559E-3</v>
      </c>
      <c r="S1334">
        <v>0.10678280077237383</v>
      </c>
      <c r="T1334">
        <v>1.0389876621598539</v>
      </c>
      <c r="U1334">
        <v>0</v>
      </c>
      <c r="V1334">
        <v>0.21189797557476908</v>
      </c>
      <c r="W1334">
        <v>8.1403710290966255E-2</v>
      </c>
      <c r="X1334">
        <v>2.9031068251745635E-2</v>
      </c>
      <c r="Y1334">
        <v>3.8862380857039858E-3</v>
      </c>
    </row>
    <row r="1335" spans="1:25" x14ac:dyDescent="0.25">
      <c r="A1335" s="1095"/>
      <c r="B1335" s="1454">
        <v>1085</v>
      </c>
      <c r="C1335" s="1099">
        <v>0.99650510854854846</v>
      </c>
      <c r="D1335" s="1099">
        <v>1.0491884416839996</v>
      </c>
      <c r="E1335" s="1099">
        <v>0.99463419511943996</v>
      </c>
      <c r="F1335" s="1099">
        <v>1.0148260649604899</v>
      </c>
      <c r="G1335" s="1099">
        <v>1.0092549271603859</v>
      </c>
      <c r="H1335" s="1099">
        <v>0.98745617588315815</v>
      </c>
      <c r="I1335" s="1099">
        <v>0.99120632675272147</v>
      </c>
      <c r="K1335">
        <v>1.7394247142149284</v>
      </c>
      <c r="L1335">
        <v>0</v>
      </c>
      <c r="M1335">
        <v>1.3407928136472207E-3</v>
      </c>
      <c r="N1335">
        <v>0.12134669312733191</v>
      </c>
      <c r="O1335">
        <v>0.12657019408660419</v>
      </c>
      <c r="P1335">
        <v>1.8466591729072977E-2</v>
      </c>
      <c r="Q1335">
        <v>8.7987413436907674E-4</v>
      </c>
      <c r="R1335">
        <v>1.3372620047958986E-3</v>
      </c>
      <c r="S1335">
        <v>0.10346044004770255</v>
      </c>
      <c r="T1335">
        <v>1.0465040352766217</v>
      </c>
      <c r="U1335">
        <v>0</v>
      </c>
      <c r="V1335">
        <v>0.20926621722823224</v>
      </c>
      <c r="W1335">
        <v>7.99717025329785E-2</v>
      </c>
      <c r="X1335">
        <v>2.9322910512114268E-2</v>
      </c>
      <c r="Y1335">
        <v>3.639586348753031E-3</v>
      </c>
    </row>
    <row r="1336" spans="1:25" x14ac:dyDescent="0.25">
      <c r="A1336" s="1095"/>
      <c r="B1336" s="1454">
        <v>1086</v>
      </c>
      <c r="C1336" s="1099">
        <v>1.0055886244061678</v>
      </c>
      <c r="D1336" s="1099">
        <v>0.98705666803594183</v>
      </c>
      <c r="E1336" s="1099">
        <v>1.004275343616905</v>
      </c>
      <c r="F1336" s="1099">
        <v>1.0145476011173429</v>
      </c>
      <c r="G1336" s="1099">
        <v>1.0171757069989997</v>
      </c>
      <c r="H1336" s="1099">
        <v>1.0063358517641232</v>
      </c>
      <c r="I1336" s="1099">
        <v>1.0123911743393006</v>
      </c>
      <c r="K1336">
        <v>1.761657465987212</v>
      </c>
      <c r="L1336">
        <v>0</v>
      </c>
      <c r="M1336">
        <v>1.3769906639760445E-3</v>
      </c>
      <c r="N1336">
        <v>0.12831671242047718</v>
      </c>
      <c r="O1336">
        <v>0.12892741708314698</v>
      </c>
      <c r="P1336">
        <v>1.870372430127341E-2</v>
      </c>
      <c r="Q1336">
        <v>9.0245751093778357E-4</v>
      </c>
      <c r="R1336">
        <v>1.3734762463614358E-3</v>
      </c>
      <c r="S1336">
        <v>0.11015775382499053</v>
      </c>
      <c r="T1336">
        <v>1.045925948973732</v>
      </c>
      <c r="U1336">
        <v>0</v>
      </c>
      <c r="V1336">
        <v>0.21072701145616274</v>
      </c>
      <c r="W1336">
        <v>8.4081792144729467E-2</v>
      </c>
      <c r="X1336">
        <v>3.0180013113099903E-2</v>
      </c>
      <c r="Y1336">
        <v>3.7381495762728993E-3</v>
      </c>
    </row>
    <row r="1337" spans="1:25" x14ac:dyDescent="0.25">
      <c r="A1337" s="1095"/>
      <c r="B1337" s="1454">
        <v>1087</v>
      </c>
      <c r="C1337" s="1099">
        <v>1.0064606841551968</v>
      </c>
      <c r="D1337" s="1099">
        <v>0.9671571135162943</v>
      </c>
      <c r="E1337" s="1099">
        <v>1.0344078433946713</v>
      </c>
      <c r="F1337" s="1099">
        <v>0.99062589408626844</v>
      </c>
      <c r="G1337" s="1099">
        <v>1.0090505357071529</v>
      </c>
      <c r="H1337" s="1099">
        <v>0.96847256610405485</v>
      </c>
      <c r="I1337" s="1099">
        <v>1.0174795361189812</v>
      </c>
      <c r="K1337">
        <v>1.7322218616840526</v>
      </c>
      <c r="L1337">
        <v>0</v>
      </c>
      <c r="M1337">
        <v>1.2560244273209799E-3</v>
      </c>
      <c r="N1337">
        <v>0.12817096451653298</v>
      </c>
      <c r="O1337">
        <v>0.12811434872376928</v>
      </c>
      <c r="P1337">
        <v>1.8736716441089946E-2</v>
      </c>
      <c r="Q1337">
        <v>9.3760050899906872E-4</v>
      </c>
      <c r="R1337">
        <v>1.2526994438526464E-3</v>
      </c>
      <c r="S1337">
        <v>0.10919488603123942</v>
      </c>
      <c r="T1337">
        <v>1.0203941518114708</v>
      </c>
      <c r="U1337">
        <v>0</v>
      </c>
      <c r="V1337">
        <v>0.20970942549472837</v>
      </c>
      <c r="W1337">
        <v>8.2517862836390329E-2</v>
      </c>
      <c r="X1337">
        <v>3.1039795369393122E-2</v>
      </c>
      <c r="Y1337">
        <v>3.40943493390622E-3</v>
      </c>
    </row>
    <row r="1338" spans="1:25" x14ac:dyDescent="0.25">
      <c r="A1338" s="1095"/>
      <c r="B1338" s="1454">
        <v>1088</v>
      </c>
      <c r="C1338" s="1099">
        <v>1.0106697983442821</v>
      </c>
      <c r="D1338" s="1099">
        <v>1.008519909980045</v>
      </c>
      <c r="E1338" s="1099">
        <v>1.0131393236012263</v>
      </c>
      <c r="F1338" s="1099">
        <v>0.9925589250758915</v>
      </c>
      <c r="G1338" s="1099">
        <v>0.99554726875216781</v>
      </c>
      <c r="H1338" s="1099">
        <v>0.96401622596333947</v>
      </c>
      <c r="I1338" s="1099">
        <v>0.97405204591263561</v>
      </c>
      <c r="K1338">
        <v>1.7109792074659123</v>
      </c>
      <c r="L1338">
        <v>0</v>
      </c>
      <c r="M1338">
        <v>1.2703951365399336E-3</v>
      </c>
      <c r="N1338">
        <v>0.12157905790118621</v>
      </c>
      <c r="O1338">
        <v>0.12605315801262942</v>
      </c>
      <c r="P1338">
        <v>1.8342212827463161E-2</v>
      </c>
      <c r="Q1338">
        <v>8.9840815812062505E-4</v>
      </c>
      <c r="R1338">
        <v>1.2669915911579532E-3</v>
      </c>
      <c r="S1338">
        <v>0.10113874404170184</v>
      </c>
      <c r="T1338">
        <v>1.0229979364409703</v>
      </c>
      <c r="U1338">
        <v>0</v>
      </c>
      <c r="V1338">
        <v>0.20749280556726515</v>
      </c>
      <c r="W1338">
        <v>7.9251079444971395E-2</v>
      </c>
      <c r="X1338">
        <v>2.9780875169519078E-2</v>
      </c>
      <c r="Y1338">
        <v>3.4483334474661722E-3</v>
      </c>
    </row>
    <row r="1339" spans="1:25" x14ac:dyDescent="0.25">
      <c r="A1339" s="1095"/>
      <c r="B1339" s="1454">
        <v>1089</v>
      </c>
      <c r="C1339" s="1099">
        <v>0.98034989041769671</v>
      </c>
      <c r="D1339" s="1099">
        <v>1.0067594348923539</v>
      </c>
      <c r="E1339" s="1099">
        <v>0.98785737366068793</v>
      </c>
      <c r="F1339" s="1099">
        <v>1.0426059521969091</v>
      </c>
      <c r="G1339" s="1099">
        <v>1.0226234174417275</v>
      </c>
      <c r="H1339" s="1099">
        <v>0.99515768081830613</v>
      </c>
      <c r="I1339" s="1099">
        <v>1.0338147888659523</v>
      </c>
      <c r="K1339">
        <v>1.7982613015141737</v>
      </c>
      <c r="L1339">
        <v>0</v>
      </c>
      <c r="M1339">
        <v>1.4287018957000429E-3</v>
      </c>
      <c r="N1339">
        <v>0.12668617171513263</v>
      </c>
      <c r="O1339">
        <v>0.131389643372436</v>
      </c>
      <c r="P1339">
        <v>1.8957355948242917E-2</v>
      </c>
      <c r="Q1339">
        <v>9.0286818419199437E-4</v>
      </c>
      <c r="R1339">
        <v>1.4250015664362594E-3</v>
      </c>
      <c r="S1339">
        <v>0.11314906917371965</v>
      </c>
      <c r="T1339">
        <v>1.0753629569184691</v>
      </c>
      <c r="U1339">
        <v>0</v>
      </c>
      <c r="V1339">
        <v>0.21396640100218567</v>
      </c>
      <c r="W1339">
        <v>8.382990857527739E-2</v>
      </c>
      <c r="X1339">
        <v>3.0142242441580182E-2</v>
      </c>
      <c r="Y1339">
        <v>3.8783845121993714E-3</v>
      </c>
    </row>
    <row r="1340" spans="1:25" x14ac:dyDescent="0.25">
      <c r="A1340" s="1095"/>
      <c r="B1340" s="1454">
        <v>1090</v>
      </c>
      <c r="C1340" s="1099">
        <v>0.99881333972851427</v>
      </c>
      <c r="D1340" s="1099">
        <v>0.99588645095121042</v>
      </c>
      <c r="E1340" s="1099">
        <v>0.99155288173617395</v>
      </c>
      <c r="F1340" s="1099">
        <v>1.0279968754526849</v>
      </c>
      <c r="G1340" s="1099">
        <v>0.99847086833328069</v>
      </c>
      <c r="H1340" s="1099">
        <v>0.98068037444432954</v>
      </c>
      <c r="I1340" s="1099">
        <v>1.0232423912582991</v>
      </c>
      <c r="K1340">
        <v>1.7692187335317795</v>
      </c>
      <c r="L1340">
        <v>0</v>
      </c>
      <c r="M1340">
        <v>1.3806199803463356E-3</v>
      </c>
      <c r="N1340">
        <v>0.12379421868127463</v>
      </c>
      <c r="O1340">
        <v>0.1298287376881137</v>
      </c>
      <c r="P1340">
        <v>1.8713845869661069E-2</v>
      </c>
      <c r="Q1340">
        <v>8.934713827674414E-4</v>
      </c>
      <c r="R1340">
        <v>1.3770000541644277E-3</v>
      </c>
      <c r="S1340">
        <v>0.10965147315566789</v>
      </c>
      <c r="T1340">
        <v>1.0601807890435673</v>
      </c>
      <c r="U1340">
        <v>0</v>
      </c>
      <c r="V1340">
        <v>0.21078526699307931</v>
      </c>
      <c r="W1340">
        <v>8.1735074429133317E-2</v>
      </c>
      <c r="X1340">
        <v>2.9891735995206871E-2</v>
      </c>
      <c r="Y1340">
        <v>3.7477402194897123E-3</v>
      </c>
    </row>
    <row r="1341" spans="1:25" x14ac:dyDescent="0.25">
      <c r="A1341" s="1095"/>
      <c r="B1341" s="1454">
        <v>1091</v>
      </c>
      <c r="C1341" s="1099">
        <v>0.97263104760949182</v>
      </c>
      <c r="D1341" s="1099">
        <v>0.99223219039414678</v>
      </c>
      <c r="E1341" s="1099">
        <v>0.95524070156462293</v>
      </c>
      <c r="F1341" s="1099">
        <v>0.9686369572237602</v>
      </c>
      <c r="G1341" s="1099">
        <v>1.0075770479519623</v>
      </c>
      <c r="H1341" s="1099">
        <v>0.98326310996616562</v>
      </c>
      <c r="I1341" s="1099">
        <v>1.0314346340727418</v>
      </c>
      <c r="K1341">
        <v>1.705710808706445</v>
      </c>
      <c r="L1341">
        <v>0</v>
      </c>
      <c r="M1341">
        <v>1.5240834696919165E-3</v>
      </c>
      <c r="N1341">
        <v>0.12243110302989337</v>
      </c>
      <c r="O1341">
        <v>0.12668558982603842</v>
      </c>
      <c r="P1341">
        <v>1.7452201734730013E-2</v>
      </c>
      <c r="Q1341">
        <v>8.8444377276140874E-4</v>
      </c>
      <c r="R1341">
        <v>1.520070656147166E-3</v>
      </c>
      <c r="S1341">
        <v>0.11334122723073757</v>
      </c>
      <c r="T1341">
        <v>1.000036027686158</v>
      </c>
      <c r="U1341">
        <v>0</v>
      </c>
      <c r="V1341">
        <v>0.21038264408349536</v>
      </c>
      <c r="W1341">
        <v>8.263664562434353E-2</v>
      </c>
      <c r="X1341">
        <v>2.7727807296955859E-2</v>
      </c>
      <c r="Y1341">
        <v>4.1371312348754581E-3</v>
      </c>
    </row>
    <row r="1342" spans="1:25" x14ac:dyDescent="0.25">
      <c r="A1342" s="1095"/>
      <c r="B1342" s="1454">
        <v>1092</v>
      </c>
      <c r="C1342" s="1099">
        <v>1.019017150210463</v>
      </c>
      <c r="D1342" s="1099">
        <v>0.97730586684153353</v>
      </c>
      <c r="E1342" s="1099">
        <v>1.0098011091769064</v>
      </c>
      <c r="F1342" s="1099">
        <v>0.97662050164850678</v>
      </c>
      <c r="G1342" s="1099">
        <v>1.0162832497870775</v>
      </c>
      <c r="H1342" s="1099">
        <v>1.0080707556855317</v>
      </c>
      <c r="I1342" s="1099">
        <v>1.0445497747362249</v>
      </c>
      <c r="K1342">
        <v>1.7172196486475781</v>
      </c>
      <c r="L1342">
        <v>0</v>
      </c>
      <c r="M1342">
        <v>1.3505320957494049E-3</v>
      </c>
      <c r="N1342">
        <v>0.12796914011674448</v>
      </c>
      <c r="O1342">
        <v>0.12582575243302199</v>
      </c>
      <c r="P1342">
        <v>1.8238874786103032E-2</v>
      </c>
      <c r="Q1342">
        <v>8.9922647788074012E-4</v>
      </c>
      <c r="R1342">
        <v>1.3470899163130151E-3</v>
      </c>
      <c r="S1342">
        <v>0.11282213675154333</v>
      </c>
      <c r="T1342">
        <v>1.0066665299431117</v>
      </c>
      <c r="U1342">
        <v>0</v>
      </c>
      <c r="V1342">
        <v>0.20789887675197749</v>
      </c>
      <c r="W1342">
        <v>8.3580616186919074E-2</v>
      </c>
      <c r="X1342">
        <v>2.965560269557839E-2</v>
      </c>
      <c r="Y1342">
        <v>3.6663346841324606E-3</v>
      </c>
    </row>
    <row r="1343" spans="1:25" x14ac:dyDescent="0.25">
      <c r="A1343" s="1095"/>
      <c r="B1343" s="1454">
        <v>1093</v>
      </c>
      <c r="C1343" s="1099">
        <v>0.9901964912750606</v>
      </c>
      <c r="D1343" s="1099">
        <v>0.98357815609859567</v>
      </c>
      <c r="E1343" s="1099">
        <v>0.99738456305115419</v>
      </c>
      <c r="F1343" s="1099">
        <v>0.98540064924285153</v>
      </c>
      <c r="G1343" s="1099">
        <v>1.0159929768800435</v>
      </c>
      <c r="H1343" s="1099">
        <v>0.97344004038743936</v>
      </c>
      <c r="I1343" s="1099">
        <v>0.96982386676768817</v>
      </c>
      <c r="K1343">
        <v>1.7186034456715045</v>
      </c>
      <c r="L1343">
        <v>0</v>
      </c>
      <c r="M1343">
        <v>1.3696967358118595E-3</v>
      </c>
      <c r="N1343">
        <v>0.12499555782069446</v>
      </c>
      <c r="O1343">
        <v>0.12763650228837456</v>
      </c>
      <c r="P1343">
        <v>1.8126741146108263E-2</v>
      </c>
      <c r="Q1343">
        <v>9.1125015536807448E-4</v>
      </c>
      <c r="R1343">
        <v>1.3660711845957178E-3</v>
      </c>
      <c r="S1343">
        <v>0.10485078301554762</v>
      </c>
      <c r="T1343">
        <v>1.0160792117316404</v>
      </c>
      <c r="U1343">
        <v>0</v>
      </c>
      <c r="V1343">
        <v>0.21053647575304152</v>
      </c>
      <c r="W1343">
        <v>8.2241459069089889E-2</v>
      </c>
      <c r="X1343">
        <v>2.9511094803628596E-2</v>
      </c>
      <c r="Y1343">
        <v>3.717995439224569E-3</v>
      </c>
    </row>
    <row r="1344" spans="1:25" x14ac:dyDescent="0.25">
      <c r="A1344" s="1095"/>
      <c r="B1344" s="1454">
        <v>1094</v>
      </c>
      <c r="C1344" s="1099">
        <v>0.99812892905276263</v>
      </c>
      <c r="D1344" s="1099">
        <v>1.0096364023643787</v>
      </c>
      <c r="E1344" s="1099">
        <v>0.99332520212385866</v>
      </c>
      <c r="F1344" s="1099">
        <v>0.9884190665341448</v>
      </c>
      <c r="G1344" s="1099">
        <v>0.98799276511610834</v>
      </c>
      <c r="H1344" s="1099">
        <v>0.98292356531679614</v>
      </c>
      <c r="I1344" s="1099">
        <v>1.0051967662829739</v>
      </c>
      <c r="K1344">
        <v>1.7160801220440687</v>
      </c>
      <c r="L1344">
        <v>0</v>
      </c>
      <c r="M1344">
        <v>1.363855297928469E-3</v>
      </c>
      <c r="N1344">
        <v>0.12294672600158414</v>
      </c>
      <c r="O1344">
        <v>0.12624884276682619</v>
      </c>
      <c r="P1344">
        <v>1.8105893121696363E-2</v>
      </c>
      <c r="Q1344">
        <v>8.9083552890135281E-4</v>
      </c>
      <c r="R1344">
        <v>1.3602659082884443E-3</v>
      </c>
      <c r="S1344">
        <v>0.10680538218961537</v>
      </c>
      <c r="T1344">
        <v>1.0193114315611822</v>
      </c>
      <c r="U1344">
        <v>0</v>
      </c>
      <c r="V1344">
        <v>0.20786913476396815</v>
      </c>
      <c r="W1344">
        <v>8.1089543133733955E-2</v>
      </c>
      <c r="X1344">
        <v>2.911372697537622E-2</v>
      </c>
      <c r="Y1344">
        <v>3.7021953908249906E-3</v>
      </c>
    </row>
    <row r="1345" spans="1:25" x14ac:dyDescent="0.25">
      <c r="A1345" s="1095"/>
      <c r="B1345" s="1454">
        <v>1095</v>
      </c>
      <c r="C1345" s="1099">
        <v>0.98939992337976745</v>
      </c>
      <c r="D1345" s="1099">
        <v>0.99163328922385385</v>
      </c>
      <c r="E1345" s="1099">
        <v>1.0031122747445829</v>
      </c>
      <c r="F1345" s="1099">
        <v>1.0001718807053044</v>
      </c>
      <c r="G1345" s="1099">
        <v>0.99438211273818655</v>
      </c>
      <c r="H1345" s="1099">
        <v>0.99734515507582122</v>
      </c>
      <c r="I1345" s="1099">
        <v>1.0016638750181472</v>
      </c>
      <c r="K1345">
        <v>1.7450739408319882</v>
      </c>
      <c r="L1345">
        <v>0</v>
      </c>
      <c r="M1345">
        <v>1.3829719549659867E-3</v>
      </c>
      <c r="N1345">
        <v>0.12841803614754216</v>
      </c>
      <c r="O1345">
        <v>0.1284568776902556</v>
      </c>
      <c r="P1345">
        <v>1.846968916116357E-2</v>
      </c>
      <c r="Q1345">
        <v>9.1442683600894206E-4</v>
      </c>
      <c r="R1345">
        <v>1.379398020347362E-3</v>
      </c>
      <c r="S1345">
        <v>0.10963018910942379</v>
      </c>
      <c r="T1345">
        <v>1.0311400629397787</v>
      </c>
      <c r="U1345">
        <v>0</v>
      </c>
      <c r="V1345">
        <v>0.21010398275764725</v>
      </c>
      <c r="W1345">
        <v>8.4206205627424355E-2</v>
      </c>
      <c r="X1345">
        <v>2.9983777804412262E-2</v>
      </c>
      <c r="Y1345">
        <v>3.7542666929503204E-3</v>
      </c>
    </row>
    <row r="1346" spans="1:25" x14ac:dyDescent="0.25">
      <c r="A1346" s="1095"/>
      <c r="B1346" s="1454">
        <v>1096</v>
      </c>
      <c r="C1346" s="1099">
        <v>0.97666431062895565</v>
      </c>
      <c r="D1346" s="1099">
        <v>1.0127767908284753</v>
      </c>
      <c r="E1346" s="1099">
        <v>0.98314386526154529</v>
      </c>
      <c r="F1346" s="1099">
        <v>1.0182464533146383</v>
      </c>
      <c r="G1346" s="1099">
        <v>1.0239896928259242</v>
      </c>
      <c r="H1346" s="1099">
        <v>0.9700595389328992</v>
      </c>
      <c r="I1346" s="1099">
        <v>1.004436528225235</v>
      </c>
      <c r="K1346">
        <v>1.7574288096825306</v>
      </c>
      <c r="L1346">
        <v>0</v>
      </c>
      <c r="M1346">
        <v>1.4034067053145219E-3</v>
      </c>
      <c r="N1346">
        <v>0.12267237621120249</v>
      </c>
      <c r="O1346">
        <v>0.12945285920254485</v>
      </c>
      <c r="P1346">
        <v>1.8469441480996517E-2</v>
      </c>
      <c r="Q1346">
        <v>8.9967580143184922E-4</v>
      </c>
      <c r="R1346">
        <v>1.3996649316845909E-3</v>
      </c>
      <c r="S1346">
        <v>0.10798019123617626</v>
      </c>
      <c r="T1346">
        <v>1.0503828718535266</v>
      </c>
      <c r="U1346">
        <v>0</v>
      </c>
      <c r="V1346">
        <v>0.2128948520352679</v>
      </c>
      <c r="W1346">
        <v>8.1404280317931149E-2</v>
      </c>
      <c r="X1346">
        <v>2.946657677245778E-2</v>
      </c>
      <c r="Y1346">
        <v>3.809426544624731E-3</v>
      </c>
    </row>
    <row r="1347" spans="1:25" x14ac:dyDescent="0.25">
      <c r="A1347" s="1095"/>
      <c r="B1347" s="1454">
        <v>1097</v>
      </c>
      <c r="C1347" s="1099">
        <v>1.0149840762160041</v>
      </c>
      <c r="D1347" s="1099">
        <v>1.0029974997374025</v>
      </c>
      <c r="E1347" s="1099">
        <v>1.0082037058910189</v>
      </c>
      <c r="F1347" s="1099">
        <v>1.0234709962327582</v>
      </c>
      <c r="G1347" s="1099">
        <v>0.99829701859022246</v>
      </c>
      <c r="H1347" s="1099">
        <v>0.97224417765060711</v>
      </c>
      <c r="I1347" s="1099">
        <v>1.0216437964378711</v>
      </c>
      <c r="K1347">
        <v>1.7548380178458232</v>
      </c>
      <c r="L1347">
        <v>0</v>
      </c>
      <c r="M1347">
        <v>1.2969493341500585E-3</v>
      </c>
      <c r="N1347">
        <v>0.12228875134460747</v>
      </c>
      <c r="O1347">
        <v>0.1283909655891759</v>
      </c>
      <c r="P1347">
        <v>1.8812878570863625E-2</v>
      </c>
      <c r="Q1347">
        <v>8.9200599628087157E-4</v>
      </c>
      <c r="R1347">
        <v>1.2935177941320124E-3</v>
      </c>
      <c r="S1347">
        <v>0.10676052745151596</v>
      </c>
      <c r="T1347">
        <v>1.0550065573420055</v>
      </c>
      <c r="U1347">
        <v>0</v>
      </c>
      <c r="V1347">
        <v>0.20902327198937601</v>
      </c>
      <c r="W1347">
        <v>7.9945906827423904E-2</v>
      </c>
      <c r="X1347">
        <v>3.0200055246990588E-2</v>
      </c>
      <c r="Y1347">
        <v>3.5205290276011016E-3</v>
      </c>
    </row>
    <row r="1348" spans="1:25" x14ac:dyDescent="0.25">
      <c r="A1348" s="1095"/>
      <c r="B1348" s="1454">
        <v>1098</v>
      </c>
      <c r="C1348" s="1099">
        <v>0.97780510679018062</v>
      </c>
      <c r="D1348" s="1099">
        <v>1.0394141061914672</v>
      </c>
      <c r="E1348" s="1099">
        <v>0.98682774146273466</v>
      </c>
      <c r="F1348" s="1099">
        <v>1.0280038041599939</v>
      </c>
      <c r="G1348" s="1099">
        <v>0.98562139727055931</v>
      </c>
      <c r="H1348" s="1099">
        <v>0.97061331695893915</v>
      </c>
      <c r="I1348" s="1099">
        <v>1.036438697018387</v>
      </c>
      <c r="K1348">
        <v>1.7639402022493427</v>
      </c>
      <c r="L1348">
        <v>0</v>
      </c>
      <c r="M1348">
        <v>1.3720130638719946E-3</v>
      </c>
      <c r="N1348">
        <v>0.12127084587479563</v>
      </c>
      <c r="O1348">
        <v>0.12893337298508101</v>
      </c>
      <c r="P1348">
        <v>1.864752327993547E-2</v>
      </c>
      <c r="Q1348">
        <v>8.9277337494220893E-4</v>
      </c>
      <c r="R1348">
        <v>1.3683423567707647E-3</v>
      </c>
      <c r="S1348">
        <v>0.1096274237146769</v>
      </c>
      <c r="T1348">
        <v>1.0603338972163208</v>
      </c>
      <c r="U1348">
        <v>0</v>
      </c>
      <c r="V1348">
        <v>0.21066856907456813</v>
      </c>
      <c r="W1348">
        <v>8.0296132699500311E-2</v>
      </c>
      <c r="X1348">
        <v>2.9549157915427633E-2</v>
      </c>
      <c r="Y1348">
        <v>3.7241768211933421E-3</v>
      </c>
    </row>
    <row r="1349" spans="1:25" x14ac:dyDescent="0.25">
      <c r="A1349" s="1095"/>
      <c r="B1349" s="1454">
        <v>1099</v>
      </c>
      <c r="C1349" s="1099">
        <v>0.99477004590898055</v>
      </c>
      <c r="D1349" s="1099">
        <v>0.98123869583140955</v>
      </c>
      <c r="E1349" s="1099">
        <v>1.0126752890709816</v>
      </c>
      <c r="F1349" s="1099">
        <v>1.0223854250930344</v>
      </c>
      <c r="G1349" s="1099">
        <v>1.0418153167215256</v>
      </c>
      <c r="H1349" s="1099">
        <v>1.0288193402081509</v>
      </c>
      <c r="I1349" s="1099">
        <v>0.99452264398365442</v>
      </c>
      <c r="K1349">
        <v>1.7851184415147046</v>
      </c>
      <c r="L1349">
        <v>0</v>
      </c>
      <c r="M1349">
        <v>1.4030160605805247E-3</v>
      </c>
      <c r="N1349">
        <v>0.13410803962060605</v>
      </c>
      <c r="O1349">
        <v>0.1304021233601019</v>
      </c>
      <c r="P1349">
        <v>1.8982564468908163E-2</v>
      </c>
      <c r="Q1349">
        <v>9.223944557735581E-4</v>
      </c>
      <c r="R1349">
        <v>1.399516601507696E-3</v>
      </c>
      <c r="S1349">
        <v>0.11138047372768677</v>
      </c>
      <c r="T1349">
        <v>1.0537530531837092</v>
      </c>
      <c r="U1349">
        <v>0</v>
      </c>
      <c r="V1349">
        <v>0.21345361923868902</v>
      </c>
      <c r="W1349">
        <v>8.7441941292137615E-2</v>
      </c>
      <c r="X1349">
        <v>3.086870878738264E-2</v>
      </c>
      <c r="Y1349">
        <v>3.8090228387802523E-3</v>
      </c>
    </row>
    <row r="1350" spans="1:25" x14ac:dyDescent="0.25">
      <c r="A1350" s="1095"/>
      <c r="B1350" s="1454">
        <v>1100</v>
      </c>
      <c r="C1350" s="1099">
        <v>1.003586068299636</v>
      </c>
      <c r="D1350" s="1099">
        <v>0.96892226942743065</v>
      </c>
      <c r="E1350" s="1099">
        <v>1.0407599931087701</v>
      </c>
      <c r="F1350" s="1099">
        <v>0.97766290033155467</v>
      </c>
      <c r="G1350" s="1099">
        <v>0.99616281270100382</v>
      </c>
      <c r="H1350" s="1099">
        <v>0.99372554961763215</v>
      </c>
      <c r="I1350" s="1099">
        <v>0.98471175970199787</v>
      </c>
      <c r="K1350">
        <v>1.7215269541348825</v>
      </c>
      <c r="L1350">
        <v>0</v>
      </c>
      <c r="M1350">
        <v>1.2722601245468632E-3</v>
      </c>
      <c r="N1350">
        <v>0.13234467461590133</v>
      </c>
      <c r="O1350">
        <v>0.12720085619316018</v>
      </c>
      <c r="P1350">
        <v>1.8593811109014365E-2</v>
      </c>
      <c r="Q1350">
        <v>9.4568628667140553E-4</v>
      </c>
      <c r="R1350">
        <v>1.2689719115506275E-3</v>
      </c>
      <c r="S1350">
        <v>0.10753732644902046</v>
      </c>
      <c r="T1350">
        <v>1.0068639139005355</v>
      </c>
      <c r="U1350">
        <v>0</v>
      </c>
      <c r="V1350">
        <v>0.20860399292502607</v>
      </c>
      <c r="W1350">
        <v>8.4893203196892322E-2</v>
      </c>
      <c r="X1350">
        <v>3.109305444489396E-2</v>
      </c>
      <c r="Y1350">
        <v>3.4537232267625902E-3</v>
      </c>
    </row>
    <row r="1351" spans="1:25" x14ac:dyDescent="0.25">
      <c r="A1351" s="1095"/>
      <c r="B1351" s="1454">
        <v>1101</v>
      </c>
      <c r="C1351" s="1099">
        <v>0.99468551410770745</v>
      </c>
      <c r="D1351" s="1099">
        <v>1.0331081766950554</v>
      </c>
      <c r="E1351" s="1099">
        <v>0.96870315502408633</v>
      </c>
      <c r="F1351" s="1099">
        <v>0.98839127651432457</v>
      </c>
      <c r="G1351" s="1099">
        <v>1.0094049617367471</v>
      </c>
      <c r="H1351" s="1099">
        <v>1.0316860272857984</v>
      </c>
      <c r="I1351" s="1099">
        <v>1.029278803738132</v>
      </c>
      <c r="K1351">
        <v>1.724426195691366</v>
      </c>
      <c r="L1351">
        <v>0</v>
      </c>
      <c r="M1351">
        <v>1.4907978812046382E-3</v>
      </c>
      <c r="N1351">
        <v>0.12475699893551735</v>
      </c>
      <c r="O1351">
        <v>0.12528538923929208</v>
      </c>
      <c r="P1351">
        <v>1.785152540473469E-2</v>
      </c>
      <c r="Q1351">
        <v>8.63189509949448E-4</v>
      </c>
      <c r="R1351">
        <v>1.4870425877187184E-3</v>
      </c>
      <c r="S1351">
        <v>0.11158574145973377</v>
      </c>
      <c r="T1351">
        <v>1.0200200067386729</v>
      </c>
      <c r="U1351">
        <v>0</v>
      </c>
      <c r="V1351">
        <v>0.20844391877946744</v>
      </c>
      <c r="W1351">
        <v>8.3515014326316236E-2</v>
      </c>
      <c r="X1351">
        <v>2.80609268708546E-2</v>
      </c>
      <c r="Y1351">
        <v>4.0472397203130551E-3</v>
      </c>
    </row>
    <row r="1352" spans="1:25" x14ac:dyDescent="0.25">
      <c r="A1352" s="1095"/>
      <c r="B1352" s="1454">
        <v>1102</v>
      </c>
      <c r="C1352" s="1099">
        <v>0.96835941065341136</v>
      </c>
      <c r="D1352" s="1099">
        <v>0.97384987672661649</v>
      </c>
      <c r="E1352" s="1099">
        <v>0.98909075598098839</v>
      </c>
      <c r="F1352" s="1099">
        <v>1.0247658163772209</v>
      </c>
      <c r="G1352" s="1099">
        <v>0.97138764357354435</v>
      </c>
      <c r="H1352" s="1099">
        <v>0.98963063741589552</v>
      </c>
      <c r="I1352" s="1099">
        <v>1.004907436408107</v>
      </c>
      <c r="K1352">
        <v>1.7845619167477635</v>
      </c>
      <c r="L1352">
        <v>0</v>
      </c>
      <c r="M1352">
        <v>1.4593541519008913E-3</v>
      </c>
      <c r="N1352">
        <v>0.12988707160027507</v>
      </c>
      <c r="O1352">
        <v>0.13227125430227257</v>
      </c>
      <c r="P1352">
        <v>1.8706803976455084E-2</v>
      </c>
      <c r="Q1352">
        <v>9.2747272380124186E-4</v>
      </c>
      <c r="R1352">
        <v>1.4555675532748737E-3</v>
      </c>
      <c r="S1352">
        <v>0.11306787634958136</v>
      </c>
      <c r="T1352">
        <v>1.0569243057150317</v>
      </c>
      <c r="U1352">
        <v>0</v>
      </c>
      <c r="V1352">
        <v>0.21266214689310664</v>
      </c>
      <c r="W1352">
        <v>8.5884428507668517E-2</v>
      </c>
      <c r="X1352">
        <v>3.0272768225897119E-2</v>
      </c>
      <c r="Y1352">
        <v>3.961575052299225E-3</v>
      </c>
    </row>
    <row r="1353" spans="1:25" x14ac:dyDescent="0.25">
      <c r="A1353" s="1095"/>
      <c r="B1353" s="1454">
        <v>1103</v>
      </c>
      <c r="C1353" s="1099">
        <v>1.0109689182821835</v>
      </c>
      <c r="D1353" s="1099">
        <v>1.0144536329470835</v>
      </c>
      <c r="E1353" s="1099">
        <v>0.99616988862631672</v>
      </c>
      <c r="F1353" s="1099">
        <v>0.98667698012799232</v>
      </c>
      <c r="G1353" s="1099">
        <v>1.0107786937629839</v>
      </c>
      <c r="H1353" s="1099">
        <v>0.96262485775850493</v>
      </c>
      <c r="I1353" s="1099">
        <v>1.0327638005000745</v>
      </c>
      <c r="K1353">
        <v>1.7058802625401228</v>
      </c>
      <c r="L1353">
        <v>0</v>
      </c>
      <c r="M1353">
        <v>1.3084922150412533E-3</v>
      </c>
      <c r="N1353">
        <v>0.11896784836783622</v>
      </c>
      <c r="O1353">
        <v>0.12526380444789154</v>
      </c>
      <c r="P1353">
        <v>1.8114324718740887E-2</v>
      </c>
      <c r="Q1353">
        <v>8.80448548846566E-4</v>
      </c>
      <c r="R1353">
        <v>1.304975946815111E-3</v>
      </c>
      <c r="S1353">
        <v>0.10665439695821745</v>
      </c>
      <c r="T1353">
        <v>1.0174310212018427</v>
      </c>
      <c r="U1353">
        <v>0</v>
      </c>
      <c r="V1353">
        <v>0.20767931536188056</v>
      </c>
      <c r="W1353">
        <v>7.8332171582462376E-2</v>
      </c>
      <c r="X1353">
        <v>2.9008733278604239E-2</v>
      </c>
      <c r="Y1353">
        <v>3.5517143420254779E-3</v>
      </c>
    </row>
    <row r="1354" spans="1:25" x14ac:dyDescent="0.25">
      <c r="A1354" s="1095"/>
      <c r="B1354" s="1454">
        <v>1104</v>
      </c>
      <c r="C1354" s="1099">
        <v>0.98578062383798315</v>
      </c>
      <c r="D1354" s="1099">
        <v>1.0004088709791605</v>
      </c>
      <c r="E1354" s="1099">
        <v>0.97949650760523621</v>
      </c>
      <c r="F1354" s="1099">
        <v>1.0118292219352136</v>
      </c>
      <c r="G1354" s="1099">
        <v>1.0105603632599787</v>
      </c>
      <c r="H1354" s="1099">
        <v>1.0192929171781226</v>
      </c>
      <c r="I1354" s="1099">
        <v>1.0113214896897327</v>
      </c>
      <c r="K1354">
        <v>1.7625036635996976</v>
      </c>
      <c r="L1354">
        <v>0</v>
      </c>
      <c r="M1354">
        <v>1.4830691396881261E-3</v>
      </c>
      <c r="N1354">
        <v>0.12823047165118892</v>
      </c>
      <c r="O1354">
        <v>0.12903380674849804</v>
      </c>
      <c r="P1354">
        <v>1.836690173836893E-2</v>
      </c>
      <c r="Q1354">
        <v>8.9233261527486873E-4</v>
      </c>
      <c r="R1354">
        <v>1.4793154950859216E-3</v>
      </c>
      <c r="S1354">
        <v>0.11207150794452468</v>
      </c>
      <c r="T1354">
        <v>1.0438748735476628</v>
      </c>
      <c r="U1354">
        <v>0</v>
      </c>
      <c r="V1354">
        <v>0.21147484944419545</v>
      </c>
      <c r="W1354">
        <v>8.5279996894476864E-2</v>
      </c>
      <c r="X1354">
        <v>2.9256467538707417E-2</v>
      </c>
      <c r="Y1354">
        <v>4.0262091214019842E-3</v>
      </c>
    </row>
    <row r="1355" spans="1:25" x14ac:dyDescent="0.25">
      <c r="A1355" s="1095"/>
      <c r="B1355" s="1454">
        <v>1105</v>
      </c>
      <c r="C1355" s="1099">
        <v>1.0332576403102298</v>
      </c>
      <c r="D1355" s="1099">
        <v>0.96457758340318156</v>
      </c>
      <c r="E1355" s="1099">
        <v>1.0145281718368957</v>
      </c>
      <c r="F1355" s="1099">
        <v>0.9883263586741472</v>
      </c>
      <c r="G1355" s="1099">
        <v>1.0051057135146415</v>
      </c>
      <c r="H1355" s="1099">
        <v>0.97427464391589513</v>
      </c>
      <c r="I1355" s="1099">
        <v>0.98313837005937477</v>
      </c>
      <c r="K1355">
        <v>1.7128672217864092</v>
      </c>
      <c r="L1355">
        <v>0</v>
      </c>
      <c r="M1355">
        <v>1.2874382749155991E-3</v>
      </c>
      <c r="N1355">
        <v>0.12373440972760112</v>
      </c>
      <c r="O1355">
        <v>0.12662612599737541</v>
      </c>
      <c r="P1355">
        <v>1.8328367811380506E-2</v>
      </c>
      <c r="Q1355">
        <v>8.9584744498439055E-4</v>
      </c>
      <c r="R1355">
        <v>1.2840590483323765E-3</v>
      </c>
      <c r="S1355">
        <v>0.10343925731881307</v>
      </c>
      <c r="T1355">
        <v>1.0185953287245131</v>
      </c>
      <c r="U1355">
        <v>0</v>
      </c>
      <c r="V1355">
        <v>0.20722739613414751</v>
      </c>
      <c r="W1355">
        <v>8.0590212555744861E-2</v>
      </c>
      <c r="X1355">
        <v>2.9938869858822048E-2</v>
      </c>
      <c r="Y1355">
        <v>3.4947854396092065E-3</v>
      </c>
    </row>
    <row r="1356" spans="1:25" x14ac:dyDescent="0.25">
      <c r="A1356" s="1095"/>
      <c r="B1356" s="1454">
        <v>1106</v>
      </c>
      <c r="C1356" s="1099">
        <v>1.0255048943891985</v>
      </c>
      <c r="D1356" s="1099">
        <v>0.98573030176618548</v>
      </c>
      <c r="E1356" s="1099">
        <v>0.98525293239160217</v>
      </c>
      <c r="F1356" s="1099">
        <v>1.0012709498979842</v>
      </c>
      <c r="G1356" s="1099">
        <v>1.0275241100918688</v>
      </c>
      <c r="H1356" s="1099">
        <v>0.97923908132892667</v>
      </c>
      <c r="I1356" s="1099">
        <v>1.0115723884013434</v>
      </c>
      <c r="K1356">
        <v>1.7266280143310584</v>
      </c>
      <c r="L1356">
        <v>0</v>
      </c>
      <c r="M1356">
        <v>1.3684755628807564E-3</v>
      </c>
      <c r="N1356">
        <v>0.12039002667118409</v>
      </c>
      <c r="O1356">
        <v>0.12689143079509516</v>
      </c>
      <c r="P1356">
        <v>1.8182780863713246E-2</v>
      </c>
      <c r="Q1356">
        <v>8.6806768026229E-4</v>
      </c>
      <c r="R1356">
        <v>1.3648888874604023E-3</v>
      </c>
      <c r="S1356">
        <v>0.10613457625402221</v>
      </c>
      <c r="T1356">
        <v>1.0328078411086594</v>
      </c>
      <c r="U1356">
        <v>0</v>
      </c>
      <c r="V1356">
        <v>0.20888011483820712</v>
      </c>
      <c r="W1356">
        <v>7.9788396072401707E-2</v>
      </c>
      <c r="X1356">
        <v>2.8973589106766152E-2</v>
      </c>
      <c r="Y1356">
        <v>3.7147776161663868E-3</v>
      </c>
    </row>
    <row r="1357" spans="1:25" x14ac:dyDescent="0.25">
      <c r="A1357" s="1095"/>
      <c r="B1357" s="1454">
        <v>1107</v>
      </c>
      <c r="C1357" s="1099">
        <v>1.0037414095277459</v>
      </c>
      <c r="D1357" s="1099">
        <v>1.01839266278191</v>
      </c>
      <c r="E1357" s="1099">
        <v>0.96045602473638347</v>
      </c>
      <c r="F1357" s="1099">
        <v>1.0194592184193483</v>
      </c>
      <c r="G1357" s="1099">
        <v>0.98992124910886781</v>
      </c>
      <c r="H1357" s="1099">
        <v>1.0245047088630523</v>
      </c>
      <c r="I1357" s="1099">
        <v>1.0209931833948585</v>
      </c>
      <c r="K1357">
        <v>1.7568300295547383</v>
      </c>
      <c r="L1357">
        <v>0</v>
      </c>
      <c r="M1357">
        <v>1.5099438719221895E-3</v>
      </c>
      <c r="N1357">
        <v>0.12324141562333064</v>
      </c>
      <c r="O1357">
        <v>0.12777340820252833</v>
      </c>
      <c r="P1357">
        <v>1.8154445861011205E-2</v>
      </c>
      <c r="Q1357">
        <v>8.5285995984396969E-4</v>
      </c>
      <c r="R1357">
        <v>1.5061368289101395E-3</v>
      </c>
      <c r="S1357">
        <v>0.11038687040810331</v>
      </c>
      <c r="T1357">
        <v>1.0523409684952794</v>
      </c>
      <c r="U1357">
        <v>0</v>
      </c>
      <c r="V1357">
        <v>0.20875187385856825</v>
      </c>
      <c r="W1357">
        <v>8.2917397926684566E-2</v>
      </c>
      <c r="X1357">
        <v>2.8315388311978561E-2</v>
      </c>
      <c r="Y1357">
        <v>4.0992079504211876E-3</v>
      </c>
    </row>
    <row r="1358" spans="1:25" x14ac:dyDescent="0.25">
      <c r="A1358" s="1095"/>
      <c r="B1358" s="1454">
        <v>1108</v>
      </c>
      <c r="C1358" s="1099">
        <v>1.0238975585414967</v>
      </c>
      <c r="D1358" s="1099">
        <v>1.0285941026547056</v>
      </c>
      <c r="E1358" s="1099">
        <v>1.0104949844923197</v>
      </c>
      <c r="F1358" s="1099">
        <v>1.0218984252727152</v>
      </c>
      <c r="G1358" s="1099">
        <v>0.98130226045626345</v>
      </c>
      <c r="H1358" s="1099">
        <v>0.99489255731094528</v>
      </c>
      <c r="I1358" s="1099">
        <v>0.96296032075235638</v>
      </c>
      <c r="K1358">
        <v>1.741894041194753</v>
      </c>
      <c r="L1358">
        <v>0</v>
      </c>
      <c r="M1358">
        <v>1.290647009524602E-3</v>
      </c>
      <c r="N1358">
        <v>0.12254529856630599</v>
      </c>
      <c r="O1358">
        <v>0.12667111999563679</v>
      </c>
      <c r="P1358">
        <v>1.8691925863362421E-2</v>
      </c>
      <c r="Q1358">
        <v>8.774440177475349E-4</v>
      </c>
      <c r="R1358">
        <v>1.2872954493630606E-3</v>
      </c>
      <c r="S1358">
        <v>9.9711272875911056E-2</v>
      </c>
      <c r="T1358">
        <v>1.0533165780671423</v>
      </c>
      <c r="U1358">
        <v>0</v>
      </c>
      <c r="V1358">
        <v>0.20664668519164858</v>
      </c>
      <c r="W1358">
        <v>8.0005398949244036E-2</v>
      </c>
      <c r="X1358">
        <v>2.992807537157836E-2</v>
      </c>
      <c r="Y1358">
        <v>3.5035938563354168E-3</v>
      </c>
    </row>
    <row r="1359" spans="1:25" x14ac:dyDescent="0.25">
      <c r="A1359" s="1095"/>
      <c r="B1359" s="1454">
        <v>1109</v>
      </c>
      <c r="C1359" s="1099">
        <v>0.99366114058832189</v>
      </c>
      <c r="D1359" s="1099">
        <v>0.99238599440656061</v>
      </c>
      <c r="E1359" s="1099">
        <v>0.99541901449756154</v>
      </c>
      <c r="F1359" s="1099">
        <v>1.0226596927160672</v>
      </c>
      <c r="G1359" s="1099">
        <v>1.0347208549969358</v>
      </c>
      <c r="H1359" s="1099">
        <v>0.9864458027426124</v>
      </c>
      <c r="I1359" s="1099">
        <v>1.0294930821955612</v>
      </c>
      <c r="K1359">
        <v>1.7708646412216564</v>
      </c>
      <c r="L1359">
        <v>0</v>
      </c>
      <c r="M1359">
        <v>1.38647803429568E-3</v>
      </c>
      <c r="N1359">
        <v>0.12578267379534652</v>
      </c>
      <c r="O1359">
        <v>0.12988314696711176</v>
      </c>
      <c r="P1359">
        <v>1.8744655520171488E-2</v>
      </c>
      <c r="Q1359">
        <v>9.0299479785126179E-4</v>
      </c>
      <c r="R1359">
        <v>1.3828632855669206E-3</v>
      </c>
      <c r="S1359">
        <v>0.11150016667021932</v>
      </c>
      <c r="T1359">
        <v>1.0545582132666724</v>
      </c>
      <c r="U1359">
        <v>0</v>
      </c>
      <c r="V1359">
        <v>0.2128239183982312</v>
      </c>
      <c r="W1359">
        <v>8.2856358626382839E-2</v>
      </c>
      <c r="X1359">
        <v>3.0052429925843203E-2</v>
      </c>
      <c r="Y1359">
        <v>3.7636980025535865E-3</v>
      </c>
    </row>
    <row r="1360" spans="1:25" x14ac:dyDescent="0.25">
      <c r="A1360" s="1095"/>
      <c r="B1360" s="1454">
        <v>1110</v>
      </c>
      <c r="C1360" s="1099">
        <v>0.99733275820484357</v>
      </c>
      <c r="D1360" s="1099">
        <v>0.99364127594425833</v>
      </c>
      <c r="E1360" s="1099">
        <v>0.99755710631048655</v>
      </c>
      <c r="F1360" s="1099">
        <v>0.97119093029539194</v>
      </c>
      <c r="G1360" s="1099">
        <v>0.98796716326332212</v>
      </c>
      <c r="H1360" s="1099">
        <v>1.0147631099457786</v>
      </c>
      <c r="I1360" s="1099">
        <v>0.99951960978623133</v>
      </c>
      <c r="K1360">
        <v>1.7090388239633483</v>
      </c>
      <c r="L1360">
        <v>0</v>
      </c>
      <c r="M1360">
        <v>1.4077254331906776E-3</v>
      </c>
      <c r="N1360">
        <v>0.12854601901988227</v>
      </c>
      <c r="O1360">
        <v>0.12570800318329012</v>
      </c>
      <c r="P1360">
        <v>1.7951267664825105E-2</v>
      </c>
      <c r="Q1360">
        <v>9.0121500138483465E-4</v>
      </c>
      <c r="R1360">
        <v>1.404141733015471E-3</v>
      </c>
      <c r="S1360">
        <v>0.1094665286961434</v>
      </c>
      <c r="T1360">
        <v>1.0014221063600925</v>
      </c>
      <c r="U1360">
        <v>0</v>
      </c>
      <c r="V1360">
        <v>0.20751583468356641</v>
      </c>
      <c r="W1360">
        <v>8.4568812622178816E-2</v>
      </c>
      <c r="X1360">
        <v>2.9141009510088321E-2</v>
      </c>
      <c r="Y1360">
        <v>3.8216109220702227E-3</v>
      </c>
    </row>
    <row r="1361" spans="1:25" x14ac:dyDescent="0.25">
      <c r="A1361" s="1095"/>
      <c r="B1361" s="1454">
        <v>1111</v>
      </c>
      <c r="C1361" s="1099">
        <v>0.98770030583774959</v>
      </c>
      <c r="D1361" s="1099">
        <v>0.98200081134080042</v>
      </c>
      <c r="E1361" s="1099">
        <v>0.99833852829574687</v>
      </c>
      <c r="F1361" s="1099">
        <v>1.0109107185248054</v>
      </c>
      <c r="G1361" s="1099">
        <v>1.0145520702731015</v>
      </c>
      <c r="H1361" s="1099">
        <v>0.98637616399829842</v>
      </c>
      <c r="I1361" s="1099">
        <v>0.96521351787833642</v>
      </c>
      <c r="K1361">
        <v>1.7545864911544928</v>
      </c>
      <c r="L1361">
        <v>0</v>
      </c>
      <c r="M1361">
        <v>1.3928244871136346E-3</v>
      </c>
      <c r="N1361">
        <v>0.12747829168564076</v>
      </c>
      <c r="O1361">
        <v>0.12980160021666778</v>
      </c>
      <c r="P1361">
        <v>1.8530840469554163E-2</v>
      </c>
      <c r="Q1361">
        <v>9.1504544084348516E-4</v>
      </c>
      <c r="R1361">
        <v>1.3891946265088919E-3</v>
      </c>
      <c r="S1361">
        <v>0.10575192290468079</v>
      </c>
      <c r="T1361">
        <v>1.04235475891665</v>
      </c>
      <c r="U1361">
        <v>0</v>
      </c>
      <c r="V1361">
        <v>0.21207448410222077</v>
      </c>
      <c r="W1361">
        <v>8.3827363682095826E-2</v>
      </c>
      <c r="X1361">
        <v>3.0074883771271599E-2</v>
      </c>
      <c r="Y1361">
        <v>3.7809298254716513E-3</v>
      </c>
    </row>
    <row r="1362" spans="1:25" x14ac:dyDescent="0.25">
      <c r="A1362" s="1095"/>
      <c r="B1362" s="1454">
        <v>1112</v>
      </c>
      <c r="C1362" s="1099">
        <v>1.0175158689557431</v>
      </c>
      <c r="D1362" s="1099">
        <v>0.99944824205792981</v>
      </c>
      <c r="E1362" s="1099">
        <v>0.99229941818011191</v>
      </c>
      <c r="F1362" s="1099">
        <v>1.0143154843332554</v>
      </c>
      <c r="G1362" s="1099">
        <v>0.97960003533134998</v>
      </c>
      <c r="H1362" s="1099">
        <v>1.0141565495940625</v>
      </c>
      <c r="I1362" s="1099">
        <v>1.0324307187499784</v>
      </c>
      <c r="K1362">
        <v>1.7530419854467083</v>
      </c>
      <c r="L1362">
        <v>0</v>
      </c>
      <c r="M1362">
        <v>1.3969122575103058E-3</v>
      </c>
      <c r="N1362">
        <v>0.12554886501370988</v>
      </c>
      <c r="O1362">
        <v>0.12767614052650963</v>
      </c>
      <c r="P1362">
        <v>1.8503289532290065E-2</v>
      </c>
      <c r="Q1362">
        <v>8.7647835596515121E-4</v>
      </c>
      <c r="R1362">
        <v>1.3933694220263386E-3</v>
      </c>
      <c r="S1362">
        <v>0.11077000146020857</v>
      </c>
      <c r="T1362">
        <v>1.0460483769979181</v>
      </c>
      <c r="U1362">
        <v>0</v>
      </c>
      <c r="V1362">
        <v>0.20749880323693551</v>
      </c>
      <c r="W1362">
        <v>8.2856571809308832E-2</v>
      </c>
      <c r="X1362">
        <v>2.9474709106697718E-2</v>
      </c>
      <c r="Y1362">
        <v>3.7922922426491677E-3</v>
      </c>
    </row>
    <row r="1363" spans="1:25" x14ac:dyDescent="0.25">
      <c r="A1363" s="1095"/>
      <c r="B1363" s="1454">
        <v>1113</v>
      </c>
      <c r="C1363" s="1099">
        <v>1.0034962876611115</v>
      </c>
      <c r="D1363" s="1099">
        <v>0.99836011824265736</v>
      </c>
      <c r="E1363" s="1099">
        <v>0.97472240117656406</v>
      </c>
      <c r="F1363" s="1099">
        <v>0.99620295858791352</v>
      </c>
      <c r="G1363" s="1099">
        <v>0.96838822613349163</v>
      </c>
      <c r="H1363" s="1099">
        <v>0.98706790799738242</v>
      </c>
      <c r="I1363" s="1099">
        <v>0.97201925562383906</v>
      </c>
      <c r="K1363">
        <v>1.7197302881672314</v>
      </c>
      <c r="L1363">
        <v>0</v>
      </c>
      <c r="M1363">
        <v>1.4267325809114448E-3</v>
      </c>
      <c r="N1363">
        <v>0.12158007201590575</v>
      </c>
      <c r="O1363">
        <v>0.1270036730704768</v>
      </c>
      <c r="P1363">
        <v>1.7917501380899516E-2</v>
      </c>
      <c r="Q1363">
        <v>8.7291360179118861E-4</v>
      </c>
      <c r="R1363">
        <v>1.4230055836024005E-3</v>
      </c>
      <c r="S1363">
        <v>0.10376774700687197</v>
      </c>
      <c r="T1363">
        <v>1.0278983418227927</v>
      </c>
      <c r="U1363">
        <v>0</v>
      </c>
      <c r="V1363">
        <v>0.20715950782347431</v>
      </c>
      <c r="W1363">
        <v>8.1091092972862946E-2</v>
      </c>
      <c r="X1363">
        <v>2.8570213364562176E-2</v>
      </c>
      <c r="Y1363">
        <v>3.8729521049011709E-3</v>
      </c>
    </row>
    <row r="1364" spans="1:25" x14ac:dyDescent="0.25">
      <c r="A1364" s="1095"/>
      <c r="B1364" s="1454">
        <v>1114</v>
      </c>
      <c r="C1364" s="1099">
        <v>0.99513553901376661</v>
      </c>
      <c r="D1364" s="1099">
        <v>1.032601482813825</v>
      </c>
      <c r="E1364" s="1099">
        <v>0.96652549892476303</v>
      </c>
      <c r="F1364" s="1099">
        <v>0.95849676346179979</v>
      </c>
      <c r="G1364" s="1099">
        <v>0.98953917767265354</v>
      </c>
      <c r="H1364" s="1099">
        <v>1.0112453244758683</v>
      </c>
      <c r="I1364" s="1099">
        <v>0.9928178922176697</v>
      </c>
      <c r="K1364">
        <v>1.676962864548019</v>
      </c>
      <c r="L1364">
        <v>0</v>
      </c>
      <c r="M1364">
        <v>1.4637881026119627E-3</v>
      </c>
      <c r="N1364">
        <v>0.12168450350607946</v>
      </c>
      <c r="O1364">
        <v>0.1230062711754208</v>
      </c>
      <c r="P1364">
        <v>1.7304528903385859E-2</v>
      </c>
      <c r="Q1364">
        <v>8.6098828019955836E-4</v>
      </c>
      <c r="R1364">
        <v>1.4600168609753411E-3</v>
      </c>
      <c r="S1364">
        <v>0.10603819375653893</v>
      </c>
      <c r="T1364">
        <v>0.98923293211763297</v>
      </c>
      <c r="U1364">
        <v>0</v>
      </c>
      <c r="V1364">
        <v>0.20589171579298179</v>
      </c>
      <c r="W1364">
        <v>8.1566460796666615E-2</v>
      </c>
      <c r="X1364">
        <v>2.7407356859601346E-2</v>
      </c>
      <c r="Y1364">
        <v>3.9736846011460096E-3</v>
      </c>
    </row>
    <row r="1365" spans="1:25" x14ac:dyDescent="0.25">
      <c r="A1365" s="1095"/>
      <c r="B1365" s="1454">
        <v>1115</v>
      </c>
      <c r="C1365" s="1099">
        <v>1.0064718961311412</v>
      </c>
      <c r="D1365" s="1099">
        <v>1.0164640702501813</v>
      </c>
      <c r="E1365" s="1099">
        <v>0.9854852299004887</v>
      </c>
      <c r="F1365" s="1099">
        <v>0.98721394872851354</v>
      </c>
      <c r="G1365" s="1099">
        <v>1.0245093638716467</v>
      </c>
      <c r="H1365" s="1099">
        <v>0.96345862816909889</v>
      </c>
      <c r="I1365" s="1099">
        <v>1.0100919888966895</v>
      </c>
      <c r="K1365">
        <v>1.7046972365184034</v>
      </c>
      <c r="L1365">
        <v>0</v>
      </c>
      <c r="M1365">
        <v>1.3429153027541404E-3</v>
      </c>
      <c r="N1365">
        <v>0.11821661579015336</v>
      </c>
      <c r="O1365">
        <v>0.125396438340697</v>
      </c>
      <c r="P1365">
        <v>1.796741058683456E-2</v>
      </c>
      <c r="Q1365">
        <v>8.7389956007974314E-4</v>
      </c>
      <c r="R1365">
        <v>1.3393071426203791E-3</v>
      </c>
      <c r="S1365">
        <v>0.10466925957266467</v>
      </c>
      <c r="T1365">
        <v>1.0183011712762922</v>
      </c>
      <c r="U1365">
        <v>0</v>
      </c>
      <c r="V1365">
        <v>0.20865244803284064</v>
      </c>
      <c r="W1365">
        <v>7.833702751066772E-2</v>
      </c>
      <c r="X1365">
        <v>2.8641421468575217E-2</v>
      </c>
      <c r="Y1365">
        <v>3.6451525397317637E-3</v>
      </c>
    </row>
    <row r="1366" spans="1:25" x14ac:dyDescent="0.25">
      <c r="A1366" s="1095"/>
      <c r="B1366" s="1454">
        <v>1116</v>
      </c>
      <c r="C1366" s="1099">
        <v>0.99382142224091974</v>
      </c>
      <c r="D1366" s="1099">
        <v>0.98537507802275459</v>
      </c>
      <c r="E1366" s="1099">
        <v>1.0138194680617576</v>
      </c>
      <c r="F1366" s="1099">
        <v>0.98376798777651786</v>
      </c>
      <c r="G1366" s="1099">
        <v>0.99761156875851154</v>
      </c>
      <c r="H1366" s="1099">
        <v>1.021176492686676</v>
      </c>
      <c r="I1366" s="1099">
        <v>0.99934613296242358</v>
      </c>
      <c r="K1366">
        <v>1.7335850951396425</v>
      </c>
      <c r="L1366">
        <v>0</v>
      </c>
      <c r="M1366">
        <v>1.3823457136976714E-3</v>
      </c>
      <c r="N1366">
        <v>0.13258544085655433</v>
      </c>
      <c r="O1366">
        <v>0.12730246154844108</v>
      </c>
      <c r="P1366">
        <v>1.8385586593339547E-2</v>
      </c>
      <c r="Q1366">
        <v>9.2280905852247736E-4</v>
      </c>
      <c r="R1366">
        <v>1.378857109852184E-3</v>
      </c>
      <c r="S1366">
        <v>0.11094421198875375</v>
      </c>
      <c r="T1366">
        <v>1.0139177830773698</v>
      </c>
      <c r="U1366">
        <v>0</v>
      </c>
      <c r="V1366">
        <v>0.20924118632023717</v>
      </c>
      <c r="W1366">
        <v>8.6391008907231143E-2</v>
      </c>
      <c r="X1366">
        <v>3.0145300880142299E-2</v>
      </c>
      <c r="Y1366">
        <v>3.7527945128935426E-3</v>
      </c>
    </row>
    <row r="1367" spans="1:25" x14ac:dyDescent="0.25">
      <c r="A1367" s="1095"/>
      <c r="B1367" s="1454">
        <v>1117</v>
      </c>
      <c r="C1367" s="1099">
        <v>1.0018522436676141</v>
      </c>
      <c r="D1367" s="1099">
        <v>0.98649361368677235</v>
      </c>
      <c r="E1367" s="1099">
        <v>0.98725817272965921</v>
      </c>
      <c r="F1367" s="1099">
        <v>0.98446628843244177</v>
      </c>
      <c r="G1367" s="1099">
        <v>1.0220621366810367</v>
      </c>
      <c r="H1367" s="1099">
        <v>1.0357873633943797</v>
      </c>
      <c r="I1367" s="1099">
        <v>1.0290492982356112</v>
      </c>
      <c r="K1367">
        <v>1.7344193113266979</v>
      </c>
      <c r="L1367">
        <v>0</v>
      </c>
      <c r="M1367">
        <v>1.4697952130830617E-3</v>
      </c>
      <c r="N1367">
        <v>0.13010753328897201</v>
      </c>
      <c r="O1367">
        <v>0.12678109771185872</v>
      </c>
      <c r="P1367">
        <v>1.8096517434759356E-2</v>
      </c>
      <c r="Q1367">
        <v>8.9014907754795505E-4</v>
      </c>
      <c r="R1367">
        <v>1.466140198472899E-3</v>
      </c>
      <c r="S1367">
        <v>0.11430896243505659</v>
      </c>
      <c r="T1367">
        <v>1.0154143928135131</v>
      </c>
      <c r="U1367">
        <v>0</v>
      </c>
      <c r="V1367">
        <v>0.209668226367935</v>
      </c>
      <c r="W1367">
        <v>8.6124838009585591E-2</v>
      </c>
      <c r="X1367">
        <v>2.9040898894820651E-2</v>
      </c>
      <c r="Y1367">
        <v>3.9903503072566994E-3</v>
      </c>
    </row>
    <row r="1368" spans="1:25" x14ac:dyDescent="0.25">
      <c r="A1368" s="1095"/>
      <c r="B1368" s="1454">
        <v>1118</v>
      </c>
      <c r="C1368" s="1099">
        <v>1.0199179528501865</v>
      </c>
      <c r="D1368" s="1099">
        <v>1.0324461877025608</v>
      </c>
      <c r="E1368" s="1099">
        <v>0.98194209458684734</v>
      </c>
      <c r="F1368" s="1099">
        <v>1.0317448218512981</v>
      </c>
      <c r="G1368" s="1099">
        <v>0.96333249080693084</v>
      </c>
      <c r="H1368" s="1099">
        <v>0.96375737439988785</v>
      </c>
      <c r="I1368" s="1099">
        <v>1.0044430569703069</v>
      </c>
      <c r="K1368">
        <v>1.7447063574112642</v>
      </c>
      <c r="L1368">
        <v>0</v>
      </c>
      <c r="M1368">
        <v>1.3293319847387142E-3</v>
      </c>
      <c r="N1368">
        <v>0.1157740438589942</v>
      </c>
      <c r="O1368">
        <v>0.12730481123210061</v>
      </c>
      <c r="P1368">
        <v>1.8473216688978004E-2</v>
      </c>
      <c r="Q1368">
        <v>8.5384383529402347E-4</v>
      </c>
      <c r="R1368">
        <v>1.3257675080513189E-3</v>
      </c>
      <c r="S1368">
        <v>0.10204316889315848</v>
      </c>
      <c r="T1368">
        <v>1.0643447611459103</v>
      </c>
      <c r="U1368">
        <v>0</v>
      </c>
      <c r="V1368">
        <v>0.20640735404967323</v>
      </c>
      <c r="W1368">
        <v>7.6882267011234628E-2</v>
      </c>
      <c r="X1368">
        <v>2.9018153054833913E-2</v>
      </c>
      <c r="Y1368">
        <v>3.6083021177741193E-3</v>
      </c>
    </row>
    <row r="1369" spans="1:25" x14ac:dyDescent="0.25">
      <c r="A1369" s="1095"/>
      <c r="B1369" s="1454">
        <v>1119</v>
      </c>
      <c r="C1369" s="1099">
        <v>1.0328356720651615</v>
      </c>
      <c r="D1369" s="1099">
        <v>0.97227457071344003</v>
      </c>
      <c r="E1369" s="1099">
        <v>0.98118999564993481</v>
      </c>
      <c r="F1369" s="1099">
        <v>1.0142944310368744</v>
      </c>
      <c r="G1369" s="1099">
        <v>1.0090944441684131</v>
      </c>
      <c r="H1369" s="1099">
        <v>0.99663257436913311</v>
      </c>
      <c r="I1369" s="1099">
        <v>1.0415815507364938</v>
      </c>
      <c r="K1369">
        <v>1.7496446150611222</v>
      </c>
      <c r="L1369">
        <v>0</v>
      </c>
      <c r="M1369">
        <v>1.4083534507208875E-3</v>
      </c>
      <c r="N1369">
        <v>0.12239180791062032</v>
      </c>
      <c r="O1369">
        <v>0.12812187916050258</v>
      </c>
      <c r="P1369">
        <v>1.8366585831822289E-2</v>
      </c>
      <c r="Q1369">
        <v>8.6298222145517623E-4</v>
      </c>
      <c r="R1369">
        <v>1.4047423736346157E-3</v>
      </c>
      <c r="S1369">
        <v>0.11079958995567808</v>
      </c>
      <c r="T1369">
        <v>1.0463660888384358</v>
      </c>
      <c r="U1369">
        <v>0</v>
      </c>
      <c r="V1369">
        <v>0.20847713086351663</v>
      </c>
      <c r="W1369">
        <v>8.1313810160687963E-2</v>
      </c>
      <c r="X1369">
        <v>2.9125105527655331E-2</v>
      </c>
      <c r="Y1369">
        <v>3.8232456678344092E-3</v>
      </c>
    </row>
    <row r="1370" spans="1:25" x14ac:dyDescent="0.25">
      <c r="A1370" s="1095"/>
      <c r="B1370" s="1454">
        <v>1120</v>
      </c>
      <c r="C1370" s="1099">
        <v>1.0007035551145733</v>
      </c>
      <c r="D1370" s="1099">
        <v>0.98882709579542905</v>
      </c>
      <c r="E1370" s="1099">
        <v>0.97596041936907774</v>
      </c>
      <c r="F1370" s="1099">
        <v>0.99106695998627103</v>
      </c>
      <c r="G1370" s="1099">
        <v>0.97671942463256367</v>
      </c>
      <c r="H1370" s="1099">
        <v>0.98924747718745454</v>
      </c>
      <c r="I1370" s="1099">
        <v>1.002386995949522</v>
      </c>
      <c r="K1370">
        <v>1.7218635281366259</v>
      </c>
      <c r="L1370">
        <v>0</v>
      </c>
      <c r="M1370">
        <v>1.4373072880884761E-3</v>
      </c>
      <c r="N1370">
        <v>0.12294208109879286</v>
      </c>
      <c r="O1370">
        <v>0.12719312110773895</v>
      </c>
      <c r="P1370">
        <v>1.7929181375282547E-2</v>
      </c>
      <c r="Q1370">
        <v>8.7985920932014876E-4</v>
      </c>
      <c r="R1370">
        <v>1.4335651034845878E-3</v>
      </c>
      <c r="S1370">
        <v>0.10805348992524265</v>
      </c>
      <c r="T1370">
        <v>1.0225615580411809</v>
      </c>
      <c r="U1370">
        <v>0</v>
      </c>
      <c r="V1370">
        <v>0.20781570165236929</v>
      </c>
      <c r="W1370">
        <v>8.1938019421441535E-2</v>
      </c>
      <c r="X1370">
        <v>2.8652566852781655E-2</v>
      </c>
      <c r="Y1370">
        <v>3.9016916370756913E-3</v>
      </c>
    </row>
    <row r="1371" spans="1:25" x14ac:dyDescent="0.25">
      <c r="A1371" s="1095"/>
      <c r="B1371" s="1454">
        <v>1121</v>
      </c>
      <c r="C1371" s="1099">
        <v>0.99138086310482043</v>
      </c>
      <c r="D1371" s="1099">
        <v>1.0280626017223569</v>
      </c>
      <c r="E1371" s="1099">
        <v>1.012487504317896</v>
      </c>
      <c r="F1371" s="1099">
        <v>0.98308497780473336</v>
      </c>
      <c r="G1371" s="1099">
        <v>1.0148022953912352</v>
      </c>
      <c r="H1371" s="1099">
        <v>1.0019991858000863</v>
      </c>
      <c r="I1371" s="1099">
        <v>1.0200335243334384</v>
      </c>
      <c r="K1371">
        <v>1.719277741504925</v>
      </c>
      <c r="L1371">
        <v>0</v>
      </c>
      <c r="M1371">
        <v>1.3296320776798728E-3</v>
      </c>
      <c r="N1371">
        <v>0.1270089826770128</v>
      </c>
      <c r="O1371">
        <v>0.12544914838564614</v>
      </c>
      <c r="P1371">
        <v>1.8330982351040085E-2</v>
      </c>
      <c r="Q1371">
        <v>9.0827404264774388E-4</v>
      </c>
      <c r="R1371">
        <v>1.3261841779729144E-3</v>
      </c>
      <c r="S1371">
        <v>0.10921707579726238</v>
      </c>
      <c r="T1371">
        <v>1.0132522546086182</v>
      </c>
      <c r="U1371">
        <v>0</v>
      </c>
      <c r="V1371">
        <v>0.20897930048716329</v>
      </c>
      <c r="W1371">
        <v>8.2822322881870747E-2</v>
      </c>
      <c r="X1371">
        <v>2.9703412017422548E-2</v>
      </c>
      <c r="Y1371">
        <v>3.6094361559454976E-3</v>
      </c>
    </row>
    <row r="1372" spans="1:25" x14ac:dyDescent="0.25">
      <c r="A1372" s="1095"/>
      <c r="B1372" s="1454">
        <v>1122</v>
      </c>
      <c r="C1372" s="1099">
        <v>0.99185856022920094</v>
      </c>
      <c r="D1372" s="1099">
        <v>1.0228586594081119</v>
      </c>
      <c r="E1372" s="1099">
        <v>0.98030373395467651</v>
      </c>
      <c r="F1372" s="1099">
        <v>1.0318042590058827</v>
      </c>
      <c r="G1372" s="1099">
        <v>1.0162193759860039</v>
      </c>
      <c r="H1372" s="1099">
        <v>0.9691959560011516</v>
      </c>
      <c r="I1372" s="1099">
        <v>0.97954995254317623</v>
      </c>
      <c r="K1372">
        <v>1.7605626355491879</v>
      </c>
      <c r="L1372">
        <v>0</v>
      </c>
      <c r="M1372">
        <v>1.3839902882253749E-3</v>
      </c>
      <c r="N1372">
        <v>0.11994006053548278</v>
      </c>
      <c r="O1372">
        <v>0.12919001835770316</v>
      </c>
      <c r="P1372">
        <v>1.8536374000343539E-2</v>
      </c>
      <c r="Q1372">
        <v>8.7977063616417731E-4</v>
      </c>
      <c r="R1372">
        <v>1.3802987825055565E-3</v>
      </c>
      <c r="S1372">
        <v>0.10315059002141386</v>
      </c>
      <c r="T1372">
        <v>1.0644572809836628</v>
      </c>
      <c r="U1372">
        <v>0</v>
      </c>
      <c r="V1372">
        <v>0.21159163678771117</v>
      </c>
      <c r="W1372">
        <v>7.9727564651186605E-2</v>
      </c>
      <c r="X1372">
        <v>2.9336312810628252E-2</v>
      </c>
      <c r="Y1372">
        <v>3.7567182706087611E-3</v>
      </c>
    </row>
    <row r="1373" spans="1:25" x14ac:dyDescent="0.25">
      <c r="A1373" s="1095"/>
      <c r="B1373" s="1454">
        <v>1123</v>
      </c>
      <c r="C1373" s="1099">
        <v>0.99201052549226099</v>
      </c>
      <c r="D1373" s="1099">
        <v>0.98799489277332109</v>
      </c>
      <c r="E1373" s="1099">
        <v>0.99962206134580067</v>
      </c>
      <c r="F1373" s="1099">
        <v>1.0014853220719497</v>
      </c>
      <c r="G1373" s="1099">
        <v>1.0182741849359345</v>
      </c>
      <c r="H1373" s="1099">
        <v>1.003601063995931</v>
      </c>
      <c r="I1373" s="1099">
        <v>1.0399213320515874</v>
      </c>
      <c r="K1373">
        <v>1.7531749082846815</v>
      </c>
      <c r="L1373">
        <v>0</v>
      </c>
      <c r="M1373">
        <v>1.4015688246776044E-3</v>
      </c>
      <c r="N1373">
        <v>0.12878230773589391</v>
      </c>
      <c r="O1373">
        <v>0.12857513556183486</v>
      </c>
      <c r="P1373">
        <v>1.85197263327877E-2</v>
      </c>
      <c r="Q1373">
        <v>9.1006558189101372E-4</v>
      </c>
      <c r="R1373">
        <v>1.3979731067611939E-3</v>
      </c>
      <c r="S1373">
        <v>0.11425538350552894</v>
      </c>
      <c r="T1373">
        <v>1.0325979374701286</v>
      </c>
      <c r="U1373">
        <v>0</v>
      </c>
      <c r="V1373">
        <v>0.21120521821645752</v>
      </c>
      <c r="W1373">
        <v>8.4620230282905731E-2</v>
      </c>
      <c r="X1373">
        <v>2.9907677360274616E-2</v>
      </c>
      <c r="Y1373">
        <v>3.8048219548931796E-3</v>
      </c>
    </row>
    <row r="1374" spans="1:25" x14ac:dyDescent="0.25">
      <c r="A1374" s="1095"/>
      <c r="B1374" s="1454">
        <v>1124</v>
      </c>
      <c r="C1374" s="1099">
        <v>0.99438192070549314</v>
      </c>
      <c r="D1374" s="1099">
        <v>1.0187097977346187</v>
      </c>
      <c r="E1374" s="1099">
        <v>0.96045908824845161</v>
      </c>
      <c r="F1374" s="1099">
        <v>0.98254232671811181</v>
      </c>
      <c r="G1374" s="1099">
        <v>0.9774675753304225</v>
      </c>
      <c r="H1374" s="1099">
        <v>0.97966931077275055</v>
      </c>
      <c r="I1374" s="1099">
        <v>1.0127533325894573</v>
      </c>
      <c r="K1374">
        <v>1.702043057031404</v>
      </c>
      <c r="L1374">
        <v>0</v>
      </c>
      <c r="M1374">
        <v>1.4515047654261579E-3</v>
      </c>
      <c r="N1374">
        <v>0.11845777569502128</v>
      </c>
      <c r="O1374">
        <v>0.12545866457496374</v>
      </c>
      <c r="P1374">
        <v>1.7583227853726235E-2</v>
      </c>
      <c r="Q1374">
        <v>8.6078297315520576E-4</v>
      </c>
      <c r="R1374">
        <v>1.4476623919623692E-3</v>
      </c>
      <c r="S1374">
        <v>0.10707659733282399</v>
      </c>
      <c r="T1374">
        <v>1.0142332622566725</v>
      </c>
      <c r="U1374">
        <v>0</v>
      </c>
      <c r="V1374">
        <v>0.20701094014768609</v>
      </c>
      <c r="W1374">
        <v>7.9698792988120756E-2</v>
      </c>
      <c r="X1374">
        <v>2.7726795773553099E-2</v>
      </c>
      <c r="Y1374">
        <v>3.9400598091423149E-3</v>
      </c>
    </row>
    <row r="1375" spans="1:25" x14ac:dyDescent="0.25">
      <c r="A1375" s="1095"/>
      <c r="B1375" s="1454">
        <v>1125</v>
      </c>
      <c r="C1375" s="1099">
        <v>0.96660004543074118</v>
      </c>
      <c r="D1375" s="1099">
        <v>1.0239870343639834</v>
      </c>
      <c r="E1375" s="1099">
        <v>0.99093291244069648</v>
      </c>
      <c r="F1375" s="1099">
        <v>1.0050722073247005</v>
      </c>
      <c r="G1375" s="1099">
        <v>0.96581336691763775</v>
      </c>
      <c r="H1375" s="1099">
        <v>1.0099596948667606</v>
      </c>
      <c r="I1375" s="1099">
        <v>0.99826777674108058</v>
      </c>
      <c r="K1375">
        <v>1.7523095205970867</v>
      </c>
      <c r="L1375">
        <v>0</v>
      </c>
      <c r="M1375">
        <v>1.4405084854320781E-3</v>
      </c>
      <c r="N1375">
        <v>0.12892885411904292</v>
      </c>
      <c r="O1375">
        <v>0.1285151162277795</v>
      </c>
      <c r="P1375">
        <v>1.8384390112887845E-2</v>
      </c>
      <c r="Q1375">
        <v>9.1243902180150236E-4</v>
      </c>
      <c r="R1375">
        <v>1.4368045694585993E-3</v>
      </c>
      <c r="S1375">
        <v>0.11040908593695718</v>
      </c>
      <c r="T1375">
        <v>1.0365570949266096</v>
      </c>
      <c r="U1375">
        <v>0</v>
      </c>
      <c r="V1375">
        <v>0.2099747575268702</v>
      </c>
      <c r="W1375">
        <v>8.5156805294257454E-2</v>
      </c>
      <c r="X1375">
        <v>2.9564172951285862E-2</v>
      </c>
      <c r="Y1375">
        <v>3.9105083955672786E-3</v>
      </c>
    </row>
    <row r="1376" spans="1:25" x14ac:dyDescent="0.25">
      <c r="A1376" s="1095"/>
      <c r="B1376" s="1454">
        <v>1126</v>
      </c>
      <c r="C1376" s="1099">
        <v>0.98181643626927684</v>
      </c>
      <c r="D1376" s="1099">
        <v>0.98448802643712996</v>
      </c>
      <c r="E1376" s="1099">
        <v>1.0283756990142785</v>
      </c>
      <c r="F1376" s="1099">
        <v>0.9749921914997618</v>
      </c>
      <c r="G1376" s="1099">
        <v>1.0213645118601007</v>
      </c>
      <c r="H1376" s="1099">
        <v>1.0309996980229812</v>
      </c>
      <c r="I1376" s="1099">
        <v>1.0326632539195753</v>
      </c>
      <c r="K1376">
        <v>1.7393352512534626</v>
      </c>
      <c r="L1376">
        <v>0</v>
      </c>
      <c r="M1376">
        <v>1.3687355921371267E-3</v>
      </c>
      <c r="N1376">
        <v>0.13717564055104106</v>
      </c>
      <c r="O1376">
        <v>0.1273482746023854</v>
      </c>
      <c r="P1376">
        <v>1.8556276575096321E-2</v>
      </c>
      <c r="Q1376">
        <v>9.4847894559454244E-4</v>
      </c>
      <c r="R1376">
        <v>1.3653084611422459E-3</v>
      </c>
      <c r="S1376">
        <v>0.11672223468263</v>
      </c>
      <c r="T1376">
        <v>1.0044600225428892</v>
      </c>
      <c r="U1376">
        <v>0</v>
      </c>
      <c r="V1376">
        <v>0.21102983032010336</v>
      </c>
      <c r="W1376">
        <v>8.8624611790947452E-2</v>
      </c>
      <c r="X1376">
        <v>3.0757388816354165E-2</v>
      </c>
      <c r="Y1376">
        <v>3.7159195574159392E-3</v>
      </c>
    </row>
    <row r="1377" spans="1:25" x14ac:dyDescent="0.25">
      <c r="A1377" s="1095"/>
      <c r="B1377" s="1454">
        <v>1127</v>
      </c>
      <c r="C1377" s="1099">
        <v>0.9686902780392469</v>
      </c>
      <c r="D1377" s="1099">
        <v>0.99424978431472055</v>
      </c>
      <c r="E1377" s="1099">
        <v>0.97839742378609984</v>
      </c>
      <c r="F1377" s="1099">
        <v>0.98406841556213676</v>
      </c>
      <c r="G1377" s="1099">
        <v>1.0306710382228523</v>
      </c>
      <c r="H1377" s="1099">
        <v>1.0179733651727825</v>
      </c>
      <c r="I1377" s="1099">
        <v>0.98626838662600946</v>
      </c>
      <c r="K1377">
        <v>1.7359722318220405</v>
      </c>
      <c r="L1377">
        <v>0</v>
      </c>
      <c r="M1377">
        <v>1.5102217118048965E-3</v>
      </c>
      <c r="N1377">
        <v>0.13014326505514132</v>
      </c>
      <c r="O1377">
        <v>0.1280971920615768</v>
      </c>
      <c r="P1377">
        <v>1.797299981216742E-2</v>
      </c>
      <c r="Q1377">
        <v>9.0927326693058294E-4</v>
      </c>
      <c r="R1377">
        <v>1.5063836837891829E-3</v>
      </c>
      <c r="S1377">
        <v>0.11126530858847852</v>
      </c>
      <c r="T1377">
        <v>1.0152676859984948</v>
      </c>
      <c r="U1377">
        <v>0</v>
      </c>
      <c r="V1377">
        <v>0.21267663554469918</v>
      </c>
      <c r="W1377">
        <v>8.6609612534292044E-2</v>
      </c>
      <c r="X1377">
        <v>2.8934217180249626E-2</v>
      </c>
      <c r="Y1377">
        <v>4.0998798080262525E-3</v>
      </c>
    </row>
    <row r="1378" spans="1:25" x14ac:dyDescent="0.25">
      <c r="A1378" s="1095"/>
      <c r="B1378" s="1454">
        <v>1128</v>
      </c>
      <c r="C1378" s="1099">
        <v>1.013241573525439</v>
      </c>
      <c r="D1378" s="1099">
        <v>0.9981348468178296</v>
      </c>
      <c r="E1378" s="1099">
        <v>0.98357538404678979</v>
      </c>
      <c r="F1378" s="1099">
        <v>0.99477713170330484</v>
      </c>
      <c r="G1378" s="1099">
        <v>0.98046007205055308</v>
      </c>
      <c r="H1378" s="1099">
        <v>1.0051847828466369</v>
      </c>
      <c r="I1378" s="1099">
        <v>0.98803286485438857</v>
      </c>
      <c r="K1378">
        <v>1.7227028738739281</v>
      </c>
      <c r="L1378">
        <v>0</v>
      </c>
      <c r="M1378">
        <v>1.4139886536873594E-3</v>
      </c>
      <c r="N1378">
        <v>0.12377155155609108</v>
      </c>
      <c r="O1378">
        <v>0.12644205452762114</v>
      </c>
      <c r="P1378">
        <v>1.803846357906717E-2</v>
      </c>
      <c r="Q1378">
        <v>8.726582594813315E-4</v>
      </c>
      <c r="R1378">
        <v>1.4103641218996821E-3</v>
      </c>
      <c r="S1378">
        <v>0.1057738467789941</v>
      </c>
      <c r="T1378">
        <v>1.0261598717147533</v>
      </c>
      <c r="U1378">
        <v>0</v>
      </c>
      <c r="V1378">
        <v>0.20688910854451556</v>
      </c>
      <c r="W1378">
        <v>8.2112341967352995E-2</v>
      </c>
      <c r="X1378">
        <v>2.8808055264436888E-2</v>
      </c>
      <c r="Y1378">
        <v>3.8385462134031025E-3</v>
      </c>
    </row>
    <row r="1379" spans="1:25" x14ac:dyDescent="0.25">
      <c r="A1379" s="1095"/>
      <c r="B1379" s="1454">
        <v>1129</v>
      </c>
      <c r="C1379" s="1099">
        <v>0.9686277579494843</v>
      </c>
      <c r="D1379" s="1099">
        <v>1.0120354779889984</v>
      </c>
      <c r="E1379" s="1099">
        <v>0.99842884893636175</v>
      </c>
      <c r="F1379" s="1099">
        <v>0.95700164965048962</v>
      </c>
      <c r="G1379" s="1099">
        <v>1.0357996292628364</v>
      </c>
      <c r="H1379" s="1099">
        <v>1.028881121404712</v>
      </c>
      <c r="I1379" s="1099">
        <v>0.98662538846272063</v>
      </c>
      <c r="K1379">
        <v>1.7049564002482025</v>
      </c>
      <c r="L1379">
        <v>0</v>
      </c>
      <c r="M1379">
        <v>1.4457724484248022E-3</v>
      </c>
      <c r="N1379">
        <v>0.13237071048194757</v>
      </c>
      <c r="O1379">
        <v>0.1252750653301978</v>
      </c>
      <c r="P1379">
        <v>1.7828277553768968E-2</v>
      </c>
      <c r="Q1379">
        <v>9.2197275491034253E-4</v>
      </c>
      <c r="R1379">
        <v>1.4421161357911928E-3</v>
      </c>
      <c r="S1379">
        <v>0.11072884349377618</v>
      </c>
      <c r="T1379">
        <v>0.98676629278804062</v>
      </c>
      <c r="U1379">
        <v>0</v>
      </c>
      <c r="V1379">
        <v>0.21101984956897621</v>
      </c>
      <c r="W1379">
        <v>8.7039849138897285E-2</v>
      </c>
      <c r="X1379">
        <v>2.9084230722153683E-2</v>
      </c>
      <c r="Y1379">
        <v>3.9249647281672283E-3</v>
      </c>
    </row>
    <row r="1380" spans="1:25" x14ac:dyDescent="0.25">
      <c r="A1380" s="1095"/>
      <c r="B1380" s="1454">
        <v>1130</v>
      </c>
      <c r="C1380" s="1099">
        <v>0.97217454770558198</v>
      </c>
      <c r="D1380" s="1099">
        <v>1.0335706203814736</v>
      </c>
      <c r="E1380" s="1099">
        <v>1.0262811280380262</v>
      </c>
      <c r="F1380" s="1099">
        <v>0.9800130817028434</v>
      </c>
      <c r="G1380" s="1099">
        <v>1.0137374951529916</v>
      </c>
      <c r="H1380" s="1099">
        <v>0.9958402775689269</v>
      </c>
      <c r="I1380" s="1099">
        <v>0.99596127148027092</v>
      </c>
      <c r="K1380">
        <v>1.7208113432900891</v>
      </c>
      <c r="L1380">
        <v>0</v>
      </c>
      <c r="M1380">
        <v>1.3028824185397634E-3</v>
      </c>
      <c r="N1380">
        <v>0.12973906223328224</v>
      </c>
      <c r="O1380">
        <v>0.12602498925530276</v>
      </c>
      <c r="P1380">
        <v>1.8467294334319821E-2</v>
      </c>
      <c r="Q1380">
        <v>9.3741586678437424E-4</v>
      </c>
      <c r="R1380">
        <v>1.2994731622693707E-3</v>
      </c>
      <c r="S1380">
        <v>0.10784980052574025</v>
      </c>
      <c r="T1380">
        <v>1.0096920206960824</v>
      </c>
      <c r="U1380">
        <v>0</v>
      </c>
      <c r="V1380">
        <v>0.21031006300021843</v>
      </c>
      <c r="W1380">
        <v>8.3922274879433989E-2</v>
      </c>
      <c r="X1380">
        <v>3.0335094178708659E-2</v>
      </c>
      <c r="Y1380">
        <v>3.5367375764844126E-3</v>
      </c>
    </row>
    <row r="1381" spans="1:25" x14ac:dyDescent="0.25">
      <c r="A1381" s="1095"/>
      <c r="B1381" s="1454">
        <v>1131</v>
      </c>
      <c r="C1381" s="1099">
        <v>1.0208402958819955</v>
      </c>
      <c r="D1381" s="1099">
        <v>1.0039735922800082</v>
      </c>
      <c r="E1381" s="1099">
        <v>0.98729693334234325</v>
      </c>
      <c r="F1381" s="1099">
        <v>0.99360749284765204</v>
      </c>
      <c r="G1381" s="1099">
        <v>1.0058265088896021</v>
      </c>
      <c r="H1381" s="1099">
        <v>1.0017922950628857</v>
      </c>
      <c r="I1381" s="1099">
        <v>1.0035187439584285</v>
      </c>
      <c r="K1381">
        <v>1.7190180398683588</v>
      </c>
      <c r="L1381">
        <v>0</v>
      </c>
      <c r="M1381">
        <v>1.3839442544902499E-3</v>
      </c>
      <c r="N1381">
        <v>0.12251163354691658</v>
      </c>
      <c r="O1381">
        <v>0.1257254938312499</v>
      </c>
      <c r="P1381">
        <v>1.8080500714675436E-2</v>
      </c>
      <c r="Q1381">
        <v>8.6751098712998837E-4</v>
      </c>
      <c r="R1381">
        <v>1.3803826233918669E-3</v>
      </c>
      <c r="S1381">
        <v>0.10605747215903227</v>
      </c>
      <c r="T1381">
        <v>1.0248418045735925</v>
      </c>
      <c r="U1381">
        <v>0</v>
      </c>
      <c r="V1381">
        <v>0.20727382224932867</v>
      </c>
      <c r="W1381">
        <v>8.1094835945382901E-2</v>
      </c>
      <c r="X1381">
        <v>2.8811581034284356E-2</v>
      </c>
      <c r="Y1381">
        <v>3.7569464578631564E-3</v>
      </c>
    </row>
    <row r="1382" spans="1:25" x14ac:dyDescent="0.25">
      <c r="A1382" s="1095"/>
      <c r="B1382" s="1454">
        <v>1132</v>
      </c>
      <c r="C1382" s="1099">
        <v>0.99587285260574165</v>
      </c>
      <c r="D1382" s="1099">
        <v>1.0237670666506689</v>
      </c>
      <c r="E1382" s="1099">
        <v>0.97550772503658278</v>
      </c>
      <c r="F1382" s="1099">
        <v>0.99014501944090061</v>
      </c>
      <c r="G1382" s="1099">
        <v>0.99959981115683072</v>
      </c>
      <c r="H1382" s="1099">
        <v>1.0147930733334638</v>
      </c>
      <c r="I1382" s="1099">
        <v>1.0116211559540329</v>
      </c>
      <c r="K1382">
        <v>1.7225801840112269</v>
      </c>
      <c r="L1382">
        <v>0</v>
      </c>
      <c r="M1382">
        <v>1.4523015178127166E-3</v>
      </c>
      <c r="N1382">
        <v>0.12406047998463811</v>
      </c>
      <c r="O1382">
        <v>0.12579678169654773</v>
      </c>
      <c r="P1382">
        <v>1.7929004304957412E-2</v>
      </c>
      <c r="Q1382">
        <v>8.7151710404570959E-4</v>
      </c>
      <c r="R1382">
        <v>1.4485895799933664E-3</v>
      </c>
      <c r="S1382">
        <v>0.1090053486835332</v>
      </c>
      <c r="T1382">
        <v>1.0216239690324009</v>
      </c>
      <c r="U1382">
        <v>0</v>
      </c>
      <c r="V1382">
        <v>0.20824962647323214</v>
      </c>
      <c r="W1382">
        <v>8.2706087090894276E-2</v>
      </c>
      <c r="X1382">
        <v>2.8398498269480692E-2</v>
      </c>
      <c r="Y1382">
        <v>3.942583309315237E-3</v>
      </c>
    </row>
    <row r="1383" spans="1:25" x14ac:dyDescent="0.25">
      <c r="A1383" s="1095"/>
      <c r="B1383" s="1454">
        <v>1133</v>
      </c>
      <c r="C1383" s="1099">
        <v>1.0134658904528084</v>
      </c>
      <c r="D1383" s="1099">
        <v>0.98556577591240113</v>
      </c>
      <c r="E1383" s="1099">
        <v>0.99648619134053884</v>
      </c>
      <c r="F1383" s="1099">
        <v>0.96223787638371649</v>
      </c>
      <c r="G1383" s="1099">
        <v>0.99044404177217282</v>
      </c>
      <c r="H1383" s="1099">
        <v>1.0289130926957613</v>
      </c>
      <c r="I1383" s="1099">
        <v>1.0101280292345081</v>
      </c>
      <c r="K1383">
        <v>1.6983114826867711</v>
      </c>
      <c r="L1383">
        <v>0</v>
      </c>
      <c r="M1383">
        <v>1.415284801991236E-3</v>
      </c>
      <c r="N1383">
        <v>0.12882393746448953</v>
      </c>
      <c r="O1383">
        <v>0.1245681771678723</v>
      </c>
      <c r="P1383">
        <v>1.780522773372906E-2</v>
      </c>
      <c r="Q1383">
        <v>8.8877941539995155E-4</v>
      </c>
      <c r="R1383">
        <v>1.4117387547518368E-3</v>
      </c>
      <c r="S1383">
        <v>0.11044470546831392</v>
      </c>
      <c r="T1383">
        <v>0.99222108652736207</v>
      </c>
      <c r="U1383">
        <v>0</v>
      </c>
      <c r="V1383">
        <v>0.20605980468855389</v>
      </c>
      <c r="W1383">
        <v>8.4805739812492648E-2</v>
      </c>
      <c r="X1383">
        <v>2.8855282944919545E-2</v>
      </c>
      <c r="Y1383">
        <v>3.8422875108790702E-3</v>
      </c>
    </row>
    <row r="1384" spans="1:25" x14ac:dyDescent="0.25">
      <c r="A1384" s="1095"/>
      <c r="B1384" s="1454">
        <v>1134</v>
      </c>
      <c r="C1384" s="1099">
        <v>0.95975496029358465</v>
      </c>
      <c r="D1384" s="1099">
        <v>1.0044677695167563</v>
      </c>
      <c r="E1384" s="1099">
        <v>0.9989952739836222</v>
      </c>
      <c r="F1384" s="1099">
        <v>1.0076895599427658</v>
      </c>
      <c r="G1384" s="1099">
        <v>0.99649841094328573</v>
      </c>
      <c r="H1384" s="1099">
        <v>0.96800052734237108</v>
      </c>
      <c r="I1384" s="1099">
        <v>0.9895533134233937</v>
      </c>
      <c r="K1384">
        <v>1.7538452067838199</v>
      </c>
      <c r="L1384">
        <v>0</v>
      </c>
      <c r="M1384">
        <v>1.3824755401412384E-3</v>
      </c>
      <c r="N1384">
        <v>0.12677379653887277</v>
      </c>
      <c r="O1384">
        <v>0.13001494487137055</v>
      </c>
      <c r="P1384">
        <v>1.8542404766057442E-2</v>
      </c>
      <c r="Q1384">
        <v>9.3384274534375551E-4</v>
      </c>
      <c r="R1384">
        <v>1.3787786751269097E-3</v>
      </c>
      <c r="S1384">
        <v>0.10852167867840058</v>
      </c>
      <c r="T1384">
        <v>1.0390137078559318</v>
      </c>
      <c r="U1384">
        <v>0</v>
      </c>
      <c r="V1384">
        <v>0.21282508408130646</v>
      </c>
      <c r="W1384">
        <v>8.3331532999204608E-2</v>
      </c>
      <c r="X1384">
        <v>3.0139330072916644E-2</v>
      </c>
      <c r="Y1384">
        <v>3.7525810394273464E-3</v>
      </c>
    </row>
    <row r="1385" spans="1:25" x14ac:dyDescent="0.25">
      <c r="A1385" s="1095"/>
      <c r="B1385" s="1454">
        <v>1135</v>
      </c>
      <c r="C1385" s="1099">
        <v>0.99114537302452299</v>
      </c>
      <c r="D1385" s="1099">
        <v>0.99297117093879872</v>
      </c>
      <c r="E1385" s="1099">
        <v>0.97256808981413623</v>
      </c>
      <c r="F1385" s="1099">
        <v>0.96116236988307568</v>
      </c>
      <c r="G1385" s="1099">
        <v>0.97628955730103284</v>
      </c>
      <c r="H1385" s="1099">
        <v>1.0084914775983611</v>
      </c>
      <c r="I1385" s="1099">
        <v>1.0269710250215969</v>
      </c>
      <c r="K1385">
        <v>1.6960965638038559</v>
      </c>
      <c r="L1385">
        <v>0</v>
      </c>
      <c r="M1385">
        <v>1.4808881798428748E-3</v>
      </c>
      <c r="N1385">
        <v>0.1253806486181343</v>
      </c>
      <c r="O1385">
        <v>0.12518088174537945</v>
      </c>
      <c r="P1385">
        <v>1.752060190410664E-2</v>
      </c>
      <c r="Q1385">
        <v>8.8370253460581479E-4</v>
      </c>
      <c r="R1385">
        <v>1.4770896951083433E-3</v>
      </c>
      <c r="S1385">
        <v>0.11261515896214717</v>
      </c>
      <c r="T1385">
        <v>0.99180607904031581</v>
      </c>
      <c r="U1385">
        <v>0</v>
      </c>
      <c r="V1385">
        <v>0.20689481870071977</v>
      </c>
      <c r="W1385">
        <v>8.3735393407623274E-2</v>
      </c>
      <c r="X1385">
        <v>2.8062926147960514E-2</v>
      </c>
      <c r="Y1385">
        <v>4.0201512275977831E-3</v>
      </c>
    </row>
    <row r="1386" spans="1:25" x14ac:dyDescent="0.25">
      <c r="A1386" s="1095"/>
      <c r="B1386" s="1454">
        <v>1136</v>
      </c>
      <c r="C1386" s="1099">
        <v>0.99898706636551238</v>
      </c>
      <c r="D1386" s="1099">
        <v>0.98121432717955059</v>
      </c>
      <c r="E1386" s="1099">
        <v>1.0145881990734862</v>
      </c>
      <c r="F1386" s="1099">
        <v>0.98267030024257351</v>
      </c>
      <c r="G1386" s="1099">
        <v>1.0028571921592238</v>
      </c>
      <c r="H1386" s="1099">
        <v>0.97825248339466431</v>
      </c>
      <c r="I1386" s="1099">
        <v>1.0166120676734054</v>
      </c>
      <c r="K1386">
        <v>1.720856307123124</v>
      </c>
      <c r="L1386">
        <v>0</v>
      </c>
      <c r="M1386">
        <v>1.3190111968394067E-3</v>
      </c>
      <c r="N1386">
        <v>0.12679097189608018</v>
      </c>
      <c r="O1386">
        <v>0.12714574588814184</v>
      </c>
      <c r="P1386">
        <v>1.8358803684473696E-2</v>
      </c>
      <c r="Q1386">
        <v>9.2032019753820592E-4</v>
      </c>
      <c r="R1386">
        <v>1.3155403041305977E-3</v>
      </c>
      <c r="S1386">
        <v>0.10951519546780339</v>
      </c>
      <c r="T1386">
        <v>1.0127643170581819</v>
      </c>
      <c r="U1386">
        <v>0</v>
      </c>
      <c r="V1386">
        <v>0.20912670539428338</v>
      </c>
      <c r="W1386">
        <v>8.2578088127914381E-2</v>
      </c>
      <c r="X1386">
        <v>3.0079163261314646E-2</v>
      </c>
      <c r="Y1386">
        <v>3.5804670400987801E-3</v>
      </c>
    </row>
    <row r="1387" spans="1:25" x14ac:dyDescent="0.25">
      <c r="A1387" s="1095"/>
      <c r="B1387" s="1454">
        <v>1137</v>
      </c>
      <c r="C1387" s="1099">
        <v>1.0078831922940215</v>
      </c>
      <c r="D1387" s="1099">
        <v>1.0057766428895523</v>
      </c>
      <c r="E1387" s="1099">
        <v>0.99262612845252085</v>
      </c>
      <c r="F1387" s="1099">
        <v>1.0111783625600195</v>
      </c>
      <c r="G1387" s="1099">
        <v>1.0041806120675068</v>
      </c>
      <c r="H1387" s="1099">
        <v>0.99788529291097239</v>
      </c>
      <c r="I1387" s="1099">
        <v>1.012978970244456</v>
      </c>
      <c r="K1387">
        <v>1.7462625325765504</v>
      </c>
      <c r="L1387">
        <v>0</v>
      </c>
      <c r="M1387">
        <v>1.3801013165567226E-3</v>
      </c>
      <c r="N1387">
        <v>0.12415465840532842</v>
      </c>
      <c r="O1387">
        <v>0.12764163520782218</v>
      </c>
      <c r="P1387">
        <v>1.8449470091722851E-2</v>
      </c>
      <c r="Q1387">
        <v>8.8292414287235023E-4</v>
      </c>
      <c r="R1387">
        <v>1.3765360541087869E-3</v>
      </c>
      <c r="S1387">
        <v>0.10808028517476734</v>
      </c>
      <c r="T1387">
        <v>1.042803215426406</v>
      </c>
      <c r="U1387">
        <v>0</v>
      </c>
      <c r="V1387">
        <v>0.2091317759371675</v>
      </c>
      <c r="W1387">
        <v>8.1920454732872475E-2</v>
      </c>
      <c r="X1387">
        <v>2.9455201355742519E-2</v>
      </c>
      <c r="Y1387">
        <v>3.7464773642958363E-3</v>
      </c>
    </row>
    <row r="1388" spans="1:25" x14ac:dyDescent="0.25">
      <c r="A1388" s="1095"/>
      <c r="B1388" s="1454">
        <v>1138</v>
      </c>
      <c r="C1388" s="1099">
        <v>0.98943258399017364</v>
      </c>
      <c r="D1388" s="1099">
        <v>1.0196978547029467</v>
      </c>
      <c r="E1388" s="1099">
        <v>0.99399460470074963</v>
      </c>
      <c r="F1388" s="1099">
        <v>0.98812421335815537</v>
      </c>
      <c r="G1388" s="1099">
        <v>0.99530623683759267</v>
      </c>
      <c r="H1388" s="1099">
        <v>1.0089234575791144</v>
      </c>
      <c r="I1388" s="1099">
        <v>0.96261798385345132</v>
      </c>
      <c r="K1388">
        <v>1.7200462342273684</v>
      </c>
      <c r="L1388">
        <v>0</v>
      </c>
      <c r="M1388">
        <v>1.4010327220269074E-3</v>
      </c>
      <c r="N1388">
        <v>0.12656169856675378</v>
      </c>
      <c r="O1388">
        <v>0.12622742799560413</v>
      </c>
      <c r="P1388">
        <v>1.8086479650793866E-2</v>
      </c>
      <c r="Q1388">
        <v>8.957314036393525E-4</v>
      </c>
      <c r="R1388">
        <v>1.3974311177326632E-3</v>
      </c>
      <c r="S1388">
        <v>0.10424596747784562</v>
      </c>
      <c r="T1388">
        <v>1.0189875750678914</v>
      </c>
      <c r="U1388">
        <v>0</v>
      </c>
      <c r="V1388">
        <v>0.208653833703212</v>
      </c>
      <c r="W1388">
        <v>8.3440428515643719E-2</v>
      </c>
      <c r="X1388">
        <v>2.9147346610854882E-2</v>
      </c>
      <c r="Y1388">
        <v>3.8033468394241543E-3</v>
      </c>
    </row>
    <row r="1389" spans="1:25" x14ac:dyDescent="0.25">
      <c r="A1389" s="1095"/>
      <c r="B1389" s="1454">
        <v>1139</v>
      </c>
      <c r="C1389" s="1099">
        <v>0.97220020556272568</v>
      </c>
      <c r="D1389" s="1099">
        <v>1.0007248592914382</v>
      </c>
      <c r="E1389" s="1099">
        <v>0.99340421424378222</v>
      </c>
      <c r="F1389" s="1099">
        <v>1.0146041548979585</v>
      </c>
      <c r="G1389" s="1099">
        <v>0.98250069864711587</v>
      </c>
      <c r="H1389" s="1099">
        <v>0.95381913089527814</v>
      </c>
      <c r="I1389" s="1099">
        <v>1.0139061199797235</v>
      </c>
      <c r="K1389">
        <v>1.7543824851531837</v>
      </c>
      <c r="L1389">
        <v>0</v>
      </c>
      <c r="M1389">
        <v>1.3657545351296939E-3</v>
      </c>
      <c r="N1389">
        <v>0.12313801170150078</v>
      </c>
      <c r="O1389">
        <v>0.13002019606391235</v>
      </c>
      <c r="P1389">
        <v>1.8553759203639223E-2</v>
      </c>
      <c r="Q1389">
        <v>9.1791885857991375E-4</v>
      </c>
      <c r="R1389">
        <v>1.3620569297572416E-3</v>
      </c>
      <c r="S1389">
        <v>0.10909966015651251</v>
      </c>
      <c r="T1389">
        <v>1.046312518100404</v>
      </c>
      <c r="U1389">
        <v>0</v>
      </c>
      <c r="V1389">
        <v>0.21149106246270991</v>
      </c>
      <c r="W1389">
        <v>8.1211871781039072E-2</v>
      </c>
      <c r="X1389">
        <v>2.9934114469404569E-2</v>
      </c>
      <c r="Y1389">
        <v>3.7070699608529895E-3</v>
      </c>
    </row>
    <row r="1390" spans="1:25" x14ac:dyDescent="0.25">
      <c r="A1390" s="1095"/>
      <c r="B1390" s="1454">
        <v>1140</v>
      </c>
      <c r="C1390" s="1099">
        <v>0.97064027403782505</v>
      </c>
      <c r="D1390" s="1099">
        <v>0.99706568131590523</v>
      </c>
      <c r="E1390" s="1099">
        <v>1.0120364201485923</v>
      </c>
      <c r="F1390" s="1099">
        <v>0.98780765124995151</v>
      </c>
      <c r="G1390" s="1099">
        <v>1.0259132927902512</v>
      </c>
      <c r="H1390" s="1099">
        <v>0.98748173121562233</v>
      </c>
      <c r="I1390" s="1099">
        <v>0.99790148988201899</v>
      </c>
      <c r="K1390">
        <v>1.736990358175335</v>
      </c>
      <c r="L1390">
        <v>0</v>
      </c>
      <c r="M1390">
        <v>1.3620232629281519E-3</v>
      </c>
      <c r="N1390">
        <v>0.12992254037989895</v>
      </c>
      <c r="O1390">
        <v>0.12829039806832676</v>
      </c>
      <c r="P1390">
        <v>1.8452022956842382E-2</v>
      </c>
      <c r="Q1390">
        <v>9.3867586341177072E-4</v>
      </c>
      <c r="R1390">
        <v>1.3584549552323791E-3</v>
      </c>
      <c r="S1390">
        <v>0.11006812613275159</v>
      </c>
      <c r="T1390">
        <v>1.0181329331595836</v>
      </c>
      <c r="U1390">
        <v>0</v>
      </c>
      <c r="V1390">
        <v>0.21248413367526986</v>
      </c>
      <c r="W1390">
        <v>8.4744746917393407E-2</v>
      </c>
      <c r="X1390">
        <v>3.0263082755963438E-2</v>
      </c>
      <c r="Y1390">
        <v>3.6972665735868974E-3</v>
      </c>
    </row>
    <row r="1391" spans="1:25" x14ac:dyDescent="0.25">
      <c r="A1391" s="1095"/>
      <c r="B1391" s="1454">
        <v>1141</v>
      </c>
      <c r="C1391" s="1099">
        <v>1.0018959877876719</v>
      </c>
      <c r="D1391" s="1099">
        <v>0.9756197576119976</v>
      </c>
      <c r="E1391" s="1099">
        <v>0.9878126086660054</v>
      </c>
      <c r="F1391" s="1099">
        <v>1.0184463326695621</v>
      </c>
      <c r="G1391" s="1099">
        <v>0.991415490849339</v>
      </c>
      <c r="H1391" s="1099">
        <v>1.0031011556655896</v>
      </c>
      <c r="I1391" s="1099">
        <v>1.0087327241215345</v>
      </c>
      <c r="K1391">
        <v>1.7658724086935735</v>
      </c>
      <c r="L1391">
        <v>0</v>
      </c>
      <c r="M1391">
        <v>1.4353206779018563E-3</v>
      </c>
      <c r="N1391">
        <v>0.12726034340931802</v>
      </c>
      <c r="O1391">
        <v>0.12988859318157783</v>
      </c>
      <c r="P1391">
        <v>1.8537333554701309E-2</v>
      </c>
      <c r="Q1391">
        <v>8.9458286875180356E-4</v>
      </c>
      <c r="R1391">
        <v>1.4316537941983457E-3</v>
      </c>
      <c r="S1391">
        <v>0.11070238713450112</v>
      </c>
      <c r="T1391">
        <v>1.0504456527500585</v>
      </c>
      <c r="U1391">
        <v>0</v>
      </c>
      <c r="V1391">
        <v>0.21030242777881566</v>
      </c>
      <c r="W1391">
        <v>8.4212107702314368E-2</v>
      </c>
      <c r="X1391">
        <v>2.9736157513975882E-2</v>
      </c>
      <c r="Y1391">
        <v>3.8964896832614777E-3</v>
      </c>
    </row>
    <row r="1392" spans="1:25" x14ac:dyDescent="0.25">
      <c r="A1392" s="1095"/>
      <c r="B1392" s="1454">
        <v>1142</v>
      </c>
      <c r="C1392" s="1099">
        <v>1.0070346646235524</v>
      </c>
      <c r="D1392" s="1099">
        <v>1.0058966634265805</v>
      </c>
      <c r="E1392" s="1099">
        <v>1.0098187807345809</v>
      </c>
      <c r="F1392" s="1099">
        <v>1.0343877965581034</v>
      </c>
      <c r="G1392" s="1099">
        <v>1.0363382259512739</v>
      </c>
      <c r="H1392" s="1099">
        <v>0.97906020957479445</v>
      </c>
      <c r="I1392" s="1099">
        <v>0.99016186184684407</v>
      </c>
      <c r="K1392">
        <v>1.7714733930045183</v>
      </c>
      <c r="L1392">
        <v>0</v>
      </c>
      <c r="M1392">
        <v>1.3100396489674801E-3</v>
      </c>
      <c r="N1392">
        <v>0.12412902791152522</v>
      </c>
      <c r="O1392">
        <v>0.12948921999314894</v>
      </c>
      <c r="P1392">
        <v>1.9000443678270505E-2</v>
      </c>
      <c r="Q1392">
        <v>8.9950779310633399E-4</v>
      </c>
      <c r="R1392">
        <v>1.3065965818363332E-3</v>
      </c>
      <c r="S1392">
        <v>0.10458915594143001</v>
      </c>
      <c r="T1392">
        <v>1.0662105152833734</v>
      </c>
      <c r="U1392">
        <v>0</v>
      </c>
      <c r="V1392">
        <v>0.21200517072936548</v>
      </c>
      <c r="W1392">
        <v>8.1071674812243574E-2</v>
      </c>
      <c r="X1392">
        <v>3.0525994752876706E-2</v>
      </c>
      <c r="Y1392">
        <v>3.556125176311055E-3</v>
      </c>
    </row>
    <row r="1393" spans="1:25" x14ac:dyDescent="0.25">
      <c r="A1393" s="1095"/>
      <c r="B1393" s="1454">
        <v>1143</v>
      </c>
      <c r="C1393" s="1099">
        <v>1.0012082904667146</v>
      </c>
      <c r="D1393" s="1099">
        <v>1.0198912456222724</v>
      </c>
      <c r="E1393" s="1099">
        <v>1.035609071214846</v>
      </c>
      <c r="F1393" s="1099">
        <v>0.98311506180426467</v>
      </c>
      <c r="G1393" s="1099">
        <v>0.98994543810047553</v>
      </c>
      <c r="H1393" s="1099">
        <v>1.0421869084455668</v>
      </c>
      <c r="I1393" s="1099">
        <v>0.99380921830515101</v>
      </c>
      <c r="K1393">
        <v>1.7286129539331307</v>
      </c>
      <c r="L1393">
        <v>0</v>
      </c>
      <c r="M1393">
        <v>1.3122287654108893E-3</v>
      </c>
      <c r="N1393">
        <v>0.13441347430413658</v>
      </c>
      <c r="O1393">
        <v>0.12540047678447946</v>
      </c>
      <c r="P1393">
        <v>1.8603285980495262E-2</v>
      </c>
      <c r="Q1393">
        <v>9.2384352402065948E-4</v>
      </c>
      <c r="R1393">
        <v>1.3089647571616432E-3</v>
      </c>
      <c r="S1393">
        <v>0.10873288081585492</v>
      </c>
      <c r="T1393">
        <v>1.0126237371694005</v>
      </c>
      <c r="U1393">
        <v>0</v>
      </c>
      <c r="V1393">
        <v>0.20724975535747531</v>
      </c>
      <c r="W1393">
        <v>8.6476775310411397E-2</v>
      </c>
      <c r="X1393">
        <v>3.0629418126225612E-2</v>
      </c>
      <c r="Y1393">
        <v>3.5625705688777619E-3</v>
      </c>
    </row>
    <row r="1394" spans="1:25" x14ac:dyDescent="0.25">
      <c r="A1394" s="1095"/>
      <c r="B1394" s="1454">
        <v>1144</v>
      </c>
      <c r="C1394" s="1099">
        <v>0.96884125476211314</v>
      </c>
      <c r="D1394" s="1099">
        <v>0.95722453287405485</v>
      </c>
      <c r="E1394" s="1099">
        <v>0.9850158306819552</v>
      </c>
      <c r="F1394" s="1099">
        <v>0.96794510735689387</v>
      </c>
      <c r="G1394" s="1099">
        <v>0.98390303417141423</v>
      </c>
      <c r="H1394" s="1099">
        <v>0.9918966049162925</v>
      </c>
      <c r="I1394" s="1099">
        <v>0.99730233270209978</v>
      </c>
      <c r="K1394">
        <v>1.7194561620212476</v>
      </c>
      <c r="L1394">
        <v>0</v>
      </c>
      <c r="M1394">
        <v>1.4815807680354195E-3</v>
      </c>
      <c r="N1394">
        <v>0.1302504101677236</v>
      </c>
      <c r="O1394">
        <v>0.12859581484239391</v>
      </c>
      <c r="P1394">
        <v>1.7835248862996859E-2</v>
      </c>
      <c r="Q1394">
        <v>9.2945593103864726E-4</v>
      </c>
      <c r="R1394">
        <v>1.4777376121282008E-3</v>
      </c>
      <c r="S1394">
        <v>0.11313367638549031</v>
      </c>
      <c r="T1394">
        <v>0.99843926328360599</v>
      </c>
      <c r="U1394">
        <v>0</v>
      </c>
      <c r="V1394">
        <v>0.21071635157359642</v>
      </c>
      <c r="W1394">
        <v>8.6335666939820435E-2</v>
      </c>
      <c r="X1394">
        <v>2.9202202546348165E-2</v>
      </c>
      <c r="Y1394">
        <v>4.0219146441400457E-3</v>
      </c>
    </row>
    <row r="1395" spans="1:25" x14ac:dyDescent="0.25">
      <c r="A1395" s="1095"/>
      <c r="B1395" s="1454">
        <v>1145</v>
      </c>
      <c r="C1395" s="1099">
        <v>1.0291045768034495</v>
      </c>
      <c r="D1395" s="1099">
        <v>0.99315103036203523</v>
      </c>
      <c r="E1395" s="1099">
        <v>0.99091006473907528</v>
      </c>
      <c r="F1395" s="1099">
        <v>1.0016230129498149</v>
      </c>
      <c r="G1395" s="1099">
        <v>1.0170083597665853</v>
      </c>
      <c r="H1395" s="1099">
        <v>0.98491188465015633</v>
      </c>
      <c r="I1395" s="1099">
        <v>0.99770373450190197</v>
      </c>
      <c r="K1395">
        <v>1.7240315646256537</v>
      </c>
      <c r="L1395">
        <v>0</v>
      </c>
      <c r="M1395">
        <v>1.3500577583461643E-3</v>
      </c>
      <c r="N1395">
        <v>0.12082041902500702</v>
      </c>
      <c r="O1395">
        <v>0.12642380254178176</v>
      </c>
      <c r="P1395">
        <v>1.8224193500980531E-2</v>
      </c>
      <c r="Q1395">
        <v>8.6754593280615605E-4</v>
      </c>
      <c r="R1395">
        <v>1.3465358289552986E-3</v>
      </c>
      <c r="S1395">
        <v>0.10424740487276214</v>
      </c>
      <c r="T1395">
        <v>1.0330005375891305</v>
      </c>
      <c r="U1395">
        <v>0</v>
      </c>
      <c r="V1395">
        <v>0.20789559477424271</v>
      </c>
      <c r="W1395">
        <v>7.9802319581555106E-2</v>
      </c>
      <c r="X1395">
        <v>2.9088442095777489E-2</v>
      </c>
      <c r="Y1395">
        <v>3.6648266409996049E-3</v>
      </c>
    </row>
    <row r="1396" spans="1:25" x14ac:dyDescent="0.25">
      <c r="A1396" s="1095"/>
      <c r="B1396" s="1454">
        <v>1146</v>
      </c>
      <c r="C1396" s="1099">
        <v>0.9967051216692252</v>
      </c>
      <c r="D1396" s="1099">
        <v>1.0466109632124763</v>
      </c>
      <c r="E1396" s="1099">
        <v>1.0066789746126974</v>
      </c>
      <c r="F1396" s="1099">
        <v>1.0178063109525912</v>
      </c>
      <c r="G1396" s="1099">
        <v>0.98198651988946695</v>
      </c>
      <c r="H1396" s="1099">
        <v>0.97921305946223025</v>
      </c>
      <c r="I1396" s="1099">
        <v>1.0169905543544437</v>
      </c>
      <c r="K1396">
        <v>1.7447073959886572</v>
      </c>
      <c r="L1396">
        <v>0</v>
      </c>
      <c r="M1396">
        <v>1.2987442655971917E-3</v>
      </c>
      <c r="N1396">
        <v>0.12189454161531732</v>
      </c>
      <c r="O1396">
        <v>0.12694005908712069</v>
      </c>
      <c r="P1396">
        <v>1.8687032455731663E-2</v>
      </c>
      <c r="Q1396">
        <v>8.916251310390873E-4</v>
      </c>
      <c r="R1396">
        <v>1.2952978901866589E-3</v>
      </c>
      <c r="S1396">
        <v>0.10575738146734102</v>
      </c>
      <c r="T1396">
        <v>1.0492131190930747</v>
      </c>
      <c r="U1396">
        <v>0</v>
      </c>
      <c r="V1396">
        <v>0.20818943250155178</v>
      </c>
      <c r="W1396">
        <v>7.9760017831269986E-2</v>
      </c>
      <c r="X1396">
        <v>2.9852259319365658E-2</v>
      </c>
      <c r="Y1396">
        <v>3.5253738622533426E-3</v>
      </c>
    </row>
    <row r="1397" spans="1:25" x14ac:dyDescent="0.25">
      <c r="A1397" s="1095"/>
      <c r="B1397" s="1454">
        <v>1147</v>
      </c>
      <c r="C1397" s="1099">
        <v>1.0121283254274094</v>
      </c>
      <c r="D1397" s="1099">
        <v>1.0118249479832104</v>
      </c>
      <c r="E1397" s="1099">
        <v>0.99824392479851776</v>
      </c>
      <c r="F1397" s="1099">
        <v>0.98103688479790907</v>
      </c>
      <c r="G1397" s="1099">
        <v>1.0056544407575287</v>
      </c>
      <c r="H1397" s="1099">
        <v>0.96940595263347207</v>
      </c>
      <c r="I1397" s="1099">
        <v>1.0051807342080783</v>
      </c>
      <c r="K1397">
        <v>1.6983068287044092</v>
      </c>
      <c r="L1397">
        <v>0</v>
      </c>
      <c r="M1397">
        <v>1.3120288589268591E-3</v>
      </c>
      <c r="N1397">
        <v>0.12004167181618686</v>
      </c>
      <c r="O1397">
        <v>0.12490051469128192</v>
      </c>
      <c r="P1397">
        <v>1.8022681221679555E-2</v>
      </c>
      <c r="Q1397">
        <v>8.8225112157806502E-4</v>
      </c>
      <c r="R1397">
        <v>1.3085280585776722E-3</v>
      </c>
      <c r="S1397">
        <v>0.10429727322028153</v>
      </c>
      <c r="T1397">
        <v>1.0115544732283264</v>
      </c>
      <c r="U1397">
        <v>0</v>
      </c>
      <c r="V1397">
        <v>0.20712229698862694</v>
      </c>
      <c r="W1397">
        <v>7.8941624713537481E-2</v>
      </c>
      <c r="X1397">
        <v>2.8986160483968852E-2</v>
      </c>
      <c r="Y1397">
        <v>3.5613820192898441E-3</v>
      </c>
    </row>
    <row r="1398" spans="1:25" x14ac:dyDescent="0.25">
      <c r="A1398" s="1095"/>
      <c r="B1398" s="1454">
        <v>1148</v>
      </c>
      <c r="C1398" s="1099">
        <v>1.0084491382345759</v>
      </c>
      <c r="D1398" s="1099">
        <v>1.0394322550657458</v>
      </c>
      <c r="E1398" s="1099">
        <v>0.99765165902476205</v>
      </c>
      <c r="F1398" s="1099">
        <v>0.9981878301472743</v>
      </c>
      <c r="G1398" s="1099">
        <v>1.027594000527128</v>
      </c>
      <c r="H1398" s="1099">
        <v>1.0072476557288064</v>
      </c>
      <c r="I1398" s="1099">
        <v>0.99377984229108873</v>
      </c>
      <c r="K1398">
        <v>1.7237579778369461</v>
      </c>
      <c r="L1398">
        <v>0</v>
      </c>
      <c r="M1398">
        <v>1.3499142905749153E-3</v>
      </c>
      <c r="N1398">
        <v>0.12329823583098283</v>
      </c>
      <c r="O1398">
        <v>0.12516512004743288</v>
      </c>
      <c r="P1398">
        <v>1.827714355310656E-2</v>
      </c>
      <c r="Q1398">
        <v>8.7544829311485652E-4</v>
      </c>
      <c r="R1398">
        <v>1.3464340763365171E-3</v>
      </c>
      <c r="S1398">
        <v>0.10440499939188543</v>
      </c>
      <c r="T1398">
        <v>1.0292565517764078</v>
      </c>
      <c r="U1398">
        <v>0</v>
      </c>
      <c r="V1398">
        <v>0.20858731422293494</v>
      </c>
      <c r="W1398">
        <v>8.1111794927758801E-2</v>
      </c>
      <c r="X1398">
        <v>2.9120300303646818E-2</v>
      </c>
      <c r="Y1398">
        <v>3.6645497039140239E-3</v>
      </c>
    </row>
    <row r="1399" spans="1:25" x14ac:dyDescent="0.25">
      <c r="A1399" s="1095"/>
      <c r="B1399" s="1454">
        <v>1149</v>
      </c>
      <c r="C1399" s="1099">
        <v>1.0047765427603226</v>
      </c>
      <c r="D1399" s="1099">
        <v>0.97468680903679705</v>
      </c>
      <c r="E1399" s="1099">
        <v>0.98219527002796747</v>
      </c>
      <c r="F1399" s="1099">
        <v>0.97292277192000121</v>
      </c>
      <c r="G1399" s="1099">
        <v>0.99934320896875406</v>
      </c>
      <c r="H1399" s="1099">
        <v>0.99618274101332627</v>
      </c>
      <c r="I1399" s="1099">
        <v>0.96106739164544985</v>
      </c>
      <c r="K1399">
        <v>1.7014902549770929</v>
      </c>
      <c r="L1399">
        <v>0</v>
      </c>
      <c r="M1399">
        <v>1.4332720584953162E-3</v>
      </c>
      <c r="N1399">
        <v>0.12493448992244151</v>
      </c>
      <c r="O1399">
        <v>0.12627019419339999</v>
      </c>
      <c r="P1399">
        <v>1.7715326529121646E-2</v>
      </c>
      <c r="Q1399">
        <v>8.8713604846941691E-4</v>
      </c>
      <c r="R1399">
        <v>1.4295715191300915E-3</v>
      </c>
      <c r="S1399">
        <v>0.10449324762468111</v>
      </c>
      <c r="T1399">
        <v>1.0036566625837215</v>
      </c>
      <c r="U1399">
        <v>0</v>
      </c>
      <c r="V1399">
        <v>0.20806202377825669</v>
      </c>
      <c r="W1399">
        <v>8.295279861437875E-2</v>
      </c>
      <c r="X1399">
        <v>2.8631253805040637E-2</v>
      </c>
      <c r="Y1399">
        <v>3.8908224169474826E-3</v>
      </c>
    </row>
    <row r="1400" spans="1:25" x14ac:dyDescent="0.25">
      <c r="A1400" s="1095"/>
      <c r="B1400" s="1454">
        <v>1150</v>
      </c>
      <c r="C1400" s="1099">
        <v>0.97926248364990298</v>
      </c>
      <c r="D1400" s="1099">
        <v>0.97548242577607258</v>
      </c>
      <c r="E1400" s="1099">
        <v>1.0246841758119993</v>
      </c>
      <c r="F1400" s="1099">
        <v>0.96929898684237659</v>
      </c>
      <c r="G1400" s="1099">
        <v>1.0296957255041046</v>
      </c>
      <c r="H1400" s="1099">
        <v>1.0090420841588792</v>
      </c>
      <c r="I1400" s="1099">
        <v>1.0036016877924148</v>
      </c>
      <c r="K1400">
        <v>1.7260690248634571</v>
      </c>
      <c r="L1400">
        <v>0</v>
      </c>
      <c r="M1400">
        <v>1.3596980277047943E-3</v>
      </c>
      <c r="N1400">
        <v>0.13475441506018682</v>
      </c>
      <c r="O1400">
        <v>0.12744354130409868</v>
      </c>
      <c r="P1400">
        <v>1.837906650832432E-2</v>
      </c>
      <c r="Q1400">
        <v>9.5085939489998139E-4</v>
      </c>
      <c r="R1400">
        <v>1.3562226877934238E-3</v>
      </c>
      <c r="S1400">
        <v>0.11272511557527484</v>
      </c>
      <c r="T1400">
        <v>0.99869830350945554</v>
      </c>
      <c r="U1400">
        <v>0</v>
      </c>
      <c r="V1400">
        <v>0.21162048977610121</v>
      </c>
      <c r="W1400">
        <v>8.7247605006335202E-2</v>
      </c>
      <c r="X1400">
        <v>3.0561912991205743E-2</v>
      </c>
      <c r="Y1400">
        <v>3.6911910774848223E-3</v>
      </c>
    </row>
    <row r="1401" spans="1:25" x14ac:dyDescent="0.25">
      <c r="A1401" s="1095"/>
      <c r="B1401" s="1454">
        <v>1151</v>
      </c>
      <c r="C1401" s="1099">
        <v>0.97349061240566881</v>
      </c>
      <c r="D1401" s="1099">
        <v>1.0185766154187432</v>
      </c>
      <c r="E1401" s="1099">
        <v>1.0042816627747786</v>
      </c>
      <c r="F1401" s="1099">
        <v>1.0327452055945614</v>
      </c>
      <c r="G1401" s="1099">
        <v>1.0194950247790437</v>
      </c>
      <c r="H1401" s="1099">
        <v>1.0069513546629543</v>
      </c>
      <c r="I1401" s="1099">
        <v>0.99010787483843798</v>
      </c>
      <c r="K1401">
        <v>1.7874616277836177</v>
      </c>
      <c r="L1401">
        <v>0</v>
      </c>
      <c r="M1401">
        <v>1.3955121541015182E-3</v>
      </c>
      <c r="N1401">
        <v>0.13004297673410098</v>
      </c>
      <c r="O1401">
        <v>0.13054242431980037</v>
      </c>
      <c r="P1401">
        <v>1.8985467102124919E-2</v>
      </c>
      <c r="Q1401">
        <v>9.2057153256206543E-4</v>
      </c>
      <c r="R1401">
        <v>1.3919272659633705E-3</v>
      </c>
      <c r="S1401">
        <v>0.10910614740509672</v>
      </c>
      <c r="T1401">
        <v>1.0646861833194259</v>
      </c>
      <c r="U1401">
        <v>0</v>
      </c>
      <c r="V1401">
        <v>0.21360245476931228</v>
      </c>
      <c r="W1401">
        <v>8.5212638365349702E-2</v>
      </c>
      <c r="X1401">
        <v>3.0577981954728932E-2</v>
      </c>
      <c r="Y1401">
        <v>3.7883671692523881E-3</v>
      </c>
    </row>
    <row r="1402" spans="1:25" x14ac:dyDescent="0.25">
      <c r="A1402" s="1095"/>
      <c r="B1402" s="1454">
        <v>1152</v>
      </c>
      <c r="C1402" s="1099">
        <v>0.99391356720489576</v>
      </c>
      <c r="D1402" s="1099">
        <v>0.99639008719935029</v>
      </c>
      <c r="E1402" s="1099">
        <v>0.96734458250219302</v>
      </c>
      <c r="F1402" s="1099">
        <v>1.004763843642746</v>
      </c>
      <c r="G1402" s="1099">
        <v>0.99838582243199014</v>
      </c>
      <c r="H1402" s="1099">
        <v>1.0090917697372102</v>
      </c>
      <c r="I1402" s="1099">
        <v>1.0229278016826551</v>
      </c>
      <c r="K1402">
        <v>1.7469737012799389</v>
      </c>
      <c r="L1402">
        <v>0</v>
      </c>
      <c r="M1402">
        <v>1.4968856692310578E-3</v>
      </c>
      <c r="N1402">
        <v>0.12474770553875358</v>
      </c>
      <c r="O1402">
        <v>0.12820817149351005</v>
      </c>
      <c r="P1402">
        <v>1.808271181408171E-2</v>
      </c>
      <c r="Q1402">
        <v>8.7520057791337007E-4</v>
      </c>
      <c r="R1402">
        <v>1.4930619560912419E-3</v>
      </c>
      <c r="S1402">
        <v>0.11195885596908815</v>
      </c>
      <c r="T1402">
        <v>1.0369583828947722</v>
      </c>
      <c r="U1402">
        <v>0</v>
      </c>
      <c r="V1402">
        <v>0.20990518481384074</v>
      </c>
      <c r="W1402">
        <v>8.3577981370048779E-2</v>
      </c>
      <c r="X1402">
        <v>2.859970806433201E-2</v>
      </c>
      <c r="Y1402">
        <v>4.0636224567388128E-3</v>
      </c>
    </row>
    <row r="1403" spans="1:25" x14ac:dyDescent="0.25">
      <c r="A1403" s="1095"/>
      <c r="B1403" s="1454">
        <v>1153</v>
      </c>
      <c r="C1403" s="1099">
        <v>1.0178043611133063</v>
      </c>
      <c r="D1403" s="1099">
        <v>0.98164039127100011</v>
      </c>
      <c r="E1403" s="1099">
        <v>0.99292769994530516</v>
      </c>
      <c r="F1403" s="1099">
        <v>0.98306322333260321</v>
      </c>
      <c r="G1403" s="1099">
        <v>0.98932318346566173</v>
      </c>
      <c r="H1403" s="1099">
        <v>1.0178105094479848</v>
      </c>
      <c r="I1403" s="1099">
        <v>1.0040304083045797</v>
      </c>
      <c r="K1403">
        <v>1.7184157445272903</v>
      </c>
      <c r="L1403">
        <v>0</v>
      </c>
      <c r="M1403">
        <v>1.410854769060122E-3</v>
      </c>
      <c r="N1403">
        <v>0.12704440789647933</v>
      </c>
      <c r="O1403">
        <v>0.12611592755886272</v>
      </c>
      <c r="P1403">
        <v>1.8041219734373719E-2</v>
      </c>
      <c r="Q1403">
        <v>8.8313125152498595E-4</v>
      </c>
      <c r="R1403">
        <v>1.4072920163181618E-3</v>
      </c>
      <c r="S1403">
        <v>0.10896181909746218</v>
      </c>
      <c r="T1403">
        <v>1.0137998915262576</v>
      </c>
      <c r="U1403">
        <v>0</v>
      </c>
      <c r="V1403">
        <v>0.20685468263190937</v>
      </c>
      <c r="W1403">
        <v>8.3812076579380668E-2</v>
      </c>
      <c r="X1403">
        <v>2.9075966049051338E-2</v>
      </c>
      <c r="Y1403">
        <v>3.8301849547295371E-3</v>
      </c>
    </row>
    <row r="1404" spans="1:25" x14ac:dyDescent="0.25">
      <c r="A1404" s="1095"/>
      <c r="B1404" s="1454">
        <v>1154</v>
      </c>
      <c r="C1404" s="1099">
        <v>0.99490321100106582</v>
      </c>
      <c r="D1404" s="1099">
        <v>0.97125512908720391</v>
      </c>
      <c r="E1404" s="1099">
        <v>1.0357055238491413</v>
      </c>
      <c r="F1404" s="1099">
        <v>0.9903840489687441</v>
      </c>
      <c r="G1404" s="1099">
        <v>0.98093873503216056</v>
      </c>
      <c r="H1404" s="1099">
        <v>0.97582503053509062</v>
      </c>
      <c r="I1404" s="1099">
        <v>0.98501173208065751</v>
      </c>
      <c r="K1404">
        <v>1.7333990089134745</v>
      </c>
      <c r="L1404">
        <v>0</v>
      </c>
      <c r="M1404">
        <v>1.2723348259789783E-3</v>
      </c>
      <c r="N1404">
        <v>0.13034605764897539</v>
      </c>
      <c r="O1404">
        <v>0.12850427934913011</v>
      </c>
      <c r="P1404">
        <v>1.8713802643047603E-2</v>
      </c>
      <c r="Q1404">
        <v>9.4814084545222297E-4</v>
      </c>
      <c r="R1404">
        <v>1.2689859758848012E-3</v>
      </c>
      <c r="S1404">
        <v>0.10710921158981326</v>
      </c>
      <c r="T1404">
        <v>1.0201081676420396</v>
      </c>
      <c r="U1404">
        <v>0</v>
      </c>
      <c r="V1404">
        <v>0.20918947054183099</v>
      </c>
      <c r="W1404">
        <v>8.3855272049849647E-2</v>
      </c>
      <c r="X1404">
        <v>3.1174193948183784E-2</v>
      </c>
      <c r="Y1404">
        <v>3.4537615052439036E-3</v>
      </c>
    </row>
    <row r="1405" spans="1:25" x14ac:dyDescent="0.25">
      <c r="A1405" s="1095"/>
      <c r="B1405" s="1454">
        <v>1155</v>
      </c>
      <c r="C1405" s="1099">
        <v>0.99708462182954549</v>
      </c>
      <c r="D1405" s="1099">
        <v>1.0057793156256272</v>
      </c>
      <c r="E1405" s="1099">
        <v>1.0199687525662831</v>
      </c>
      <c r="F1405" s="1099">
        <v>0.99563032631759985</v>
      </c>
      <c r="G1405" s="1099">
        <v>1.0058371159752222</v>
      </c>
      <c r="H1405" s="1099">
        <v>0.99903948787829544</v>
      </c>
      <c r="I1405" s="1099">
        <v>1.033927331678089</v>
      </c>
      <c r="K1405">
        <v>1.7396375771995269</v>
      </c>
      <c r="L1405">
        <v>0</v>
      </c>
      <c r="M1405">
        <v>1.3166612395447965E-3</v>
      </c>
      <c r="N1405">
        <v>0.12864251317641059</v>
      </c>
      <c r="O1405">
        <v>0.12713494609086357</v>
      </c>
      <c r="P1405">
        <v>1.8645127045461375E-2</v>
      </c>
      <c r="Q1405">
        <v>9.1806171050423343E-4</v>
      </c>
      <c r="R1405">
        <v>1.3132562676556666E-3</v>
      </c>
      <c r="S1405">
        <v>0.11148293623569902</v>
      </c>
      <c r="T1405">
        <v>1.0259647393771978</v>
      </c>
      <c r="U1405">
        <v>0</v>
      </c>
      <c r="V1405">
        <v>0.209390284800405</v>
      </c>
      <c r="W1405">
        <v>8.3520090919499523E-2</v>
      </c>
      <c r="X1405">
        <v>3.0368032169625334E-2</v>
      </c>
      <c r="Y1405">
        <v>3.5742506457464396E-3</v>
      </c>
    </row>
    <row r="1406" spans="1:25" x14ac:dyDescent="0.25">
      <c r="A1406" s="1095"/>
      <c r="B1406" s="1454">
        <v>1156</v>
      </c>
      <c r="C1406" s="1099">
        <v>0.98295647287145471</v>
      </c>
      <c r="D1406" s="1099">
        <v>1.0148849573272112</v>
      </c>
      <c r="E1406" s="1099">
        <v>0.98802448444885171</v>
      </c>
      <c r="F1406" s="1099">
        <v>1.0388384111673108</v>
      </c>
      <c r="G1406" s="1099">
        <v>1.0177081169570197</v>
      </c>
      <c r="H1406" s="1099">
        <v>0.99922458455050744</v>
      </c>
      <c r="I1406" s="1099">
        <v>1.0149439013913697</v>
      </c>
      <c r="K1406">
        <v>1.7890514527154489</v>
      </c>
      <c r="L1406">
        <v>0</v>
      </c>
      <c r="M1406">
        <v>1.4233296319971116E-3</v>
      </c>
      <c r="N1406">
        <v>0.12627439643752394</v>
      </c>
      <c r="O1406">
        <v>0.13058619845976907</v>
      </c>
      <c r="P1406">
        <v>1.8859348962205227E-2</v>
      </c>
      <c r="Q1406">
        <v>8.9773975249212974E-4</v>
      </c>
      <c r="R1406">
        <v>1.4196522352657353E-3</v>
      </c>
      <c r="S1406">
        <v>0.11052402665230909</v>
      </c>
      <c r="T1406">
        <v>1.0714718227618873</v>
      </c>
      <c r="U1406">
        <v>0</v>
      </c>
      <c r="V1406">
        <v>0.21305721389891674</v>
      </c>
      <c r="W1406">
        <v>8.3549053335857493E-2</v>
      </c>
      <c r="X1406">
        <v>2.9971504455058202E-2</v>
      </c>
      <c r="Y1406">
        <v>3.8638253961597513E-3</v>
      </c>
    </row>
    <row r="1407" spans="1:25" x14ac:dyDescent="0.25">
      <c r="A1407" s="1095"/>
      <c r="B1407" s="1454">
        <v>1157</v>
      </c>
      <c r="C1407" s="1099">
        <v>0.99449986531415457</v>
      </c>
      <c r="D1407" s="1099">
        <v>0.97553598692116072</v>
      </c>
      <c r="E1407" s="1099">
        <v>1.0157093982162952</v>
      </c>
      <c r="F1407" s="1099">
        <v>0.95826741272935645</v>
      </c>
      <c r="G1407" s="1099">
        <v>1.0205026045900771</v>
      </c>
      <c r="H1407" s="1099">
        <v>0.97109952012601086</v>
      </c>
      <c r="I1407" s="1099">
        <v>0.99081301883737027</v>
      </c>
      <c r="K1407">
        <v>1.6908060892197219</v>
      </c>
      <c r="L1407">
        <v>0</v>
      </c>
      <c r="M1407">
        <v>1.3131726750498221E-3</v>
      </c>
      <c r="N1407">
        <v>0.12665457924005363</v>
      </c>
      <c r="O1407">
        <v>0.12574826624078098</v>
      </c>
      <c r="P1407">
        <v>1.7992212024744395E-2</v>
      </c>
      <c r="Q1407">
        <v>9.2769053749353384E-4</v>
      </c>
      <c r="R1407">
        <v>1.3096861550127568E-3</v>
      </c>
      <c r="S1407">
        <v>0.10691681231259482</v>
      </c>
      <c r="T1407">
        <v>0.98758264198717094</v>
      </c>
      <c r="U1407">
        <v>0</v>
      </c>
      <c r="V1407">
        <v>0.2092426290398321</v>
      </c>
      <c r="W1407">
        <v>8.2434957776942652E-2</v>
      </c>
      <c r="X1407">
        <v>2.9745252604125815E-2</v>
      </c>
      <c r="Y1407">
        <v>3.5645339760197558E-3</v>
      </c>
    </row>
    <row r="1408" spans="1:25" x14ac:dyDescent="0.25">
      <c r="A1408" s="1095"/>
      <c r="B1408" s="1454">
        <v>1158</v>
      </c>
      <c r="C1408" s="1099">
        <v>1.0001239212258619</v>
      </c>
      <c r="D1408" s="1099">
        <v>1.0028271553078421</v>
      </c>
      <c r="E1408" s="1099">
        <v>0.99570797789038812</v>
      </c>
      <c r="F1408" s="1099">
        <v>0.99062886585595222</v>
      </c>
      <c r="G1408" s="1099">
        <v>0.97249105501151278</v>
      </c>
      <c r="H1408" s="1099">
        <v>0.96482046582999426</v>
      </c>
      <c r="I1408" s="1099">
        <v>1.0002513664933661</v>
      </c>
      <c r="K1408">
        <v>1.7136990008001769</v>
      </c>
      <c r="L1408">
        <v>0</v>
      </c>
      <c r="M1408">
        <v>1.3352656685234746E-3</v>
      </c>
      <c r="N1408">
        <v>0.1212340044467005</v>
      </c>
      <c r="O1408">
        <v>0.12663220361958868</v>
      </c>
      <c r="P1408">
        <v>1.8139447022532798E-2</v>
      </c>
      <c r="Q1408">
        <v>8.9367987464422313E-4</v>
      </c>
      <c r="R1408">
        <v>1.3316914237950757E-3</v>
      </c>
      <c r="S1408">
        <v>0.10527905039971</v>
      </c>
      <c r="T1408">
        <v>1.0215197423283564</v>
      </c>
      <c r="U1408">
        <v>0</v>
      </c>
      <c r="V1408">
        <v>0.20727539968492875</v>
      </c>
      <c r="W1408">
        <v>7.9846267935318987E-2</v>
      </c>
      <c r="X1408">
        <v>2.9258354669511846E-2</v>
      </c>
      <c r="Y1408">
        <v>3.6244250636103237E-3</v>
      </c>
    </row>
    <row r="1409" spans="1:25" x14ac:dyDescent="0.25">
      <c r="A1409" s="1095"/>
      <c r="B1409" s="1454">
        <v>1159</v>
      </c>
      <c r="C1409" s="1099">
        <v>1.0238293331981965</v>
      </c>
      <c r="D1409" s="1099">
        <v>1.0364183815661323</v>
      </c>
      <c r="E1409" s="1099">
        <v>0.95795616258322114</v>
      </c>
      <c r="F1409" s="1099">
        <v>0.98521262761209105</v>
      </c>
      <c r="G1409" s="1099">
        <v>0.99619153363056823</v>
      </c>
      <c r="H1409" s="1099">
        <v>1.0269806813514051</v>
      </c>
      <c r="I1409" s="1099">
        <v>0.96797443954712581</v>
      </c>
      <c r="K1409">
        <v>1.6966204761630161</v>
      </c>
      <c r="L1409">
        <v>0</v>
      </c>
      <c r="M1409">
        <v>1.4742999985651619E-3</v>
      </c>
      <c r="N1409">
        <v>0.11942338964859897</v>
      </c>
      <c r="O1409">
        <v>0.12340477272306123</v>
      </c>
      <c r="P1409">
        <v>1.74887609825005E-2</v>
      </c>
      <c r="Q1409">
        <v>8.2808240471461117E-4</v>
      </c>
      <c r="R1409">
        <v>1.4705746105604896E-3</v>
      </c>
      <c r="S1409">
        <v>0.10156575245078302</v>
      </c>
      <c r="T1409">
        <v>1.0170660056224388</v>
      </c>
      <c r="U1409">
        <v>0</v>
      </c>
      <c r="V1409">
        <v>0.20511927198184243</v>
      </c>
      <c r="W1409">
        <v>8.0472010910891206E-2</v>
      </c>
      <c r="X1409">
        <v>2.7253735511035503E-2</v>
      </c>
      <c r="Y1409">
        <v>4.0024193151555676E-3</v>
      </c>
    </row>
    <row r="1410" spans="1:25" x14ac:dyDescent="0.25">
      <c r="A1410" s="1095"/>
      <c r="B1410" s="1454">
        <v>1160</v>
      </c>
      <c r="C1410" s="1099">
        <v>0.98659879014812102</v>
      </c>
      <c r="D1410" s="1099">
        <v>0.98723659263797958</v>
      </c>
      <c r="E1410" s="1099">
        <v>1.0024653620599213</v>
      </c>
      <c r="F1410" s="1099">
        <v>0.98933740002300885</v>
      </c>
      <c r="G1410" s="1099">
        <v>0.99006092420308556</v>
      </c>
      <c r="H1410" s="1099">
        <v>0.98135302446762651</v>
      </c>
      <c r="I1410" s="1099">
        <v>1.0185904637284577</v>
      </c>
      <c r="K1410">
        <v>1.7312925438496343</v>
      </c>
      <c r="L1410">
        <v>0</v>
      </c>
      <c r="M1410">
        <v>1.3684156452075256E-3</v>
      </c>
      <c r="N1410">
        <v>0.12681285527626279</v>
      </c>
      <c r="O1410">
        <v>0.12797872620780718</v>
      </c>
      <c r="P1410">
        <v>1.8319731451366228E-2</v>
      </c>
      <c r="Q1410">
        <v>9.1803944025841333E-4</v>
      </c>
      <c r="R1410">
        <v>1.364820363973978E-3</v>
      </c>
      <c r="S1410">
        <v>0.11085793730856691</v>
      </c>
      <c r="T1410">
        <v>1.019989088327917</v>
      </c>
      <c r="U1410">
        <v>0</v>
      </c>
      <c r="V1410">
        <v>0.20970254237387234</v>
      </c>
      <c r="W1410">
        <v>8.3185564819107424E-2</v>
      </c>
      <c r="X1410">
        <v>2.9817062807885195E-2</v>
      </c>
      <c r="Y1410">
        <v>3.7145911178251005E-3</v>
      </c>
    </row>
    <row r="1411" spans="1:25" x14ac:dyDescent="0.25">
      <c r="A1411" s="1095"/>
      <c r="B1411" s="1454">
        <v>1161</v>
      </c>
      <c r="C1411" s="1099">
        <v>1.0052391985507481</v>
      </c>
      <c r="D1411" s="1099">
        <v>0.98696923873965337</v>
      </c>
      <c r="E1411" s="1099">
        <v>0.9723780699268133</v>
      </c>
      <c r="F1411" s="1099">
        <v>1.0000327351797371</v>
      </c>
      <c r="G1411" s="1099">
        <v>0.99032623700514533</v>
      </c>
      <c r="H1411" s="1099">
        <v>0.99526788983679626</v>
      </c>
      <c r="I1411" s="1099">
        <v>0.96967135175329189</v>
      </c>
      <c r="K1411">
        <v>1.7294759546867076</v>
      </c>
      <c r="L1411">
        <v>0</v>
      </c>
      <c r="M1411">
        <v>1.4535383092310924E-3</v>
      </c>
      <c r="N1411">
        <v>0.12299194553659937</v>
      </c>
      <c r="O1411">
        <v>0.12771906270945044</v>
      </c>
      <c r="P1411">
        <v>1.7970478236056499E-2</v>
      </c>
      <c r="Q1411">
        <v>8.7325367433475204E-4</v>
      </c>
      <c r="R1411">
        <v>1.4497825134118568E-3</v>
      </c>
      <c r="S1411">
        <v>0.10465817072732014</v>
      </c>
      <c r="T1411">
        <v>1.0319215116807348</v>
      </c>
      <c r="U1411">
        <v>0</v>
      </c>
      <c r="V1411">
        <v>0.20861133316634117</v>
      </c>
      <c r="W1411">
        <v>8.2149581054076729E-2</v>
      </c>
      <c r="X1411">
        <v>2.8638543616781982E-2</v>
      </c>
      <c r="Y1411">
        <v>3.9458300808299721E-3</v>
      </c>
    </row>
    <row r="1412" spans="1:25" x14ac:dyDescent="0.25">
      <c r="A1412" s="1095"/>
      <c r="B1412" s="1454">
        <v>1162</v>
      </c>
      <c r="C1412" s="1099">
        <v>0.99788337664842042</v>
      </c>
      <c r="D1412" s="1099">
        <v>0.96430218003132673</v>
      </c>
      <c r="E1412" s="1099">
        <v>0.98531595851772158</v>
      </c>
      <c r="F1412" s="1099">
        <v>0.97559136748468456</v>
      </c>
      <c r="G1412" s="1099">
        <v>1.0029639143397791</v>
      </c>
      <c r="H1412" s="1099">
        <v>0.99118677662685506</v>
      </c>
      <c r="I1412" s="1099">
        <v>1.0214074950255774</v>
      </c>
      <c r="K1412">
        <v>1.7167923951243265</v>
      </c>
      <c r="L1412">
        <v>0</v>
      </c>
      <c r="M1412">
        <v>1.4351702687550676E-3</v>
      </c>
      <c r="N1412">
        <v>0.12628531874726551</v>
      </c>
      <c r="O1412">
        <v>0.1273293179307968</v>
      </c>
      <c r="P1412">
        <v>1.7913418754795393E-2</v>
      </c>
      <c r="Q1412">
        <v>9.0003235700747224E-4</v>
      </c>
      <c r="R1412">
        <v>1.4314522518278415E-3</v>
      </c>
      <c r="S1412">
        <v>0.1121776278529352</v>
      </c>
      <c r="T1412">
        <v>1.0063175776494684</v>
      </c>
      <c r="U1412">
        <v>0</v>
      </c>
      <c r="V1412">
        <v>0.20929052917055924</v>
      </c>
      <c r="W1412">
        <v>8.369232448458655E-2</v>
      </c>
      <c r="X1412">
        <v>2.8994025042469864E-2</v>
      </c>
      <c r="Y1412">
        <v>3.8959411513673891E-3</v>
      </c>
    </row>
    <row r="1413" spans="1:25" x14ac:dyDescent="0.25">
      <c r="A1413" s="1095"/>
      <c r="B1413" s="1454">
        <v>1163</v>
      </c>
      <c r="C1413" s="1099">
        <v>1.0072057962288015</v>
      </c>
      <c r="D1413" s="1099">
        <v>0.97659030003736402</v>
      </c>
      <c r="E1413" s="1099">
        <v>1.0241589634350783</v>
      </c>
      <c r="F1413" s="1099">
        <v>1.0105169704010493</v>
      </c>
      <c r="G1413" s="1099">
        <v>1.0137783002478662</v>
      </c>
      <c r="H1413" s="1099">
        <v>1.015305698386872</v>
      </c>
      <c r="I1413" s="1099">
        <v>1.0040213446487047</v>
      </c>
      <c r="K1413">
        <v>1.7641128532911492</v>
      </c>
      <c r="L1413">
        <v>0</v>
      </c>
      <c r="M1413">
        <v>1.3389837378049629E-3</v>
      </c>
      <c r="N1413">
        <v>0.13249557541856105</v>
      </c>
      <c r="O1413">
        <v>0.12911524826030168</v>
      </c>
      <c r="P1413">
        <v>1.8916066520953963E-2</v>
      </c>
      <c r="Q1413">
        <v>9.2356310337053237E-4</v>
      </c>
      <c r="R1413">
        <v>1.3356026541704357E-3</v>
      </c>
      <c r="S1413">
        <v>0.11044821278034526</v>
      </c>
      <c r="T1413">
        <v>1.0411818417242893</v>
      </c>
      <c r="U1413">
        <v>0</v>
      </c>
      <c r="V1413">
        <v>0.21059973864144416</v>
      </c>
      <c r="W1413">
        <v>8.5811377261703944E-2</v>
      </c>
      <c r="X1413">
        <v>3.09895405204559E-2</v>
      </c>
      <c r="Y1413">
        <v>3.6350701433553066E-3</v>
      </c>
    </row>
    <row r="1414" spans="1:25" x14ac:dyDescent="0.25">
      <c r="A1414" s="1095"/>
      <c r="B1414" s="1454">
        <v>1164</v>
      </c>
      <c r="C1414" s="1099">
        <v>1.0064572336431623</v>
      </c>
      <c r="D1414" s="1099">
        <v>0.99832315915968572</v>
      </c>
      <c r="E1414" s="1099">
        <v>0.98878021525647841</v>
      </c>
      <c r="F1414" s="1099">
        <v>1.0277250737703552</v>
      </c>
      <c r="G1414" s="1099">
        <v>1.0311653685931721</v>
      </c>
      <c r="H1414" s="1099">
        <v>1.0089293301780542</v>
      </c>
      <c r="I1414" s="1099">
        <v>1.0138052839274283</v>
      </c>
      <c r="K1414">
        <v>1.7729696208279468</v>
      </c>
      <c r="L1414">
        <v>0</v>
      </c>
      <c r="M1414">
        <v>1.4165264280940203E-3</v>
      </c>
      <c r="N1414">
        <v>0.12596281815960264</v>
      </c>
      <c r="O1414">
        <v>0.12928844076576035</v>
      </c>
      <c r="P1414">
        <v>1.8684055349704687E-2</v>
      </c>
      <c r="Q1414">
        <v>8.8326310003171871E-4</v>
      </c>
      <c r="R1414">
        <v>1.4129168358752828E-3</v>
      </c>
      <c r="S1414">
        <v>0.10968438045261328</v>
      </c>
      <c r="T1414">
        <v>1.0599860210911969</v>
      </c>
      <c r="U1414">
        <v>0</v>
      </c>
      <c r="V1414">
        <v>0.21162839122872137</v>
      </c>
      <c r="W1414">
        <v>8.3305127669184645E-2</v>
      </c>
      <c r="X1414">
        <v>2.9705238744006046E-2</v>
      </c>
      <c r="Y1414">
        <v>3.8454938593427521E-3</v>
      </c>
    </row>
    <row r="1415" spans="1:25" x14ac:dyDescent="0.25">
      <c r="A1415" s="1095"/>
      <c r="B1415" s="1454">
        <v>1165</v>
      </c>
      <c r="C1415" s="1099">
        <v>1.0006087880731702</v>
      </c>
      <c r="D1415" s="1099">
        <v>0.96727404479981227</v>
      </c>
      <c r="E1415" s="1099">
        <v>0.99953028748525807</v>
      </c>
      <c r="F1415" s="1099">
        <v>0.97783852083524481</v>
      </c>
      <c r="G1415" s="1099">
        <v>1.0424446217762477</v>
      </c>
      <c r="H1415" s="1099">
        <v>0.98930863144371761</v>
      </c>
      <c r="I1415" s="1099">
        <v>0.98011114949375977</v>
      </c>
      <c r="K1415">
        <v>1.7167285846102571</v>
      </c>
      <c r="L1415">
        <v>0</v>
      </c>
      <c r="M1415">
        <v>1.3852127983957512E-3</v>
      </c>
      <c r="N1415">
        <v>0.12724028013646865</v>
      </c>
      <c r="O1415">
        <v>0.12727969407989101</v>
      </c>
      <c r="P1415">
        <v>1.8085748966617254E-2</v>
      </c>
      <c r="Q1415">
        <v>9.0984076270865825E-4</v>
      </c>
      <c r="R1415">
        <v>1.3816169421822075E-3</v>
      </c>
      <c r="S1415">
        <v>0.10707015385592032</v>
      </c>
      <c r="T1415">
        <v>1.0082191823794726</v>
      </c>
      <c r="U1415">
        <v>0</v>
      </c>
      <c r="V1415">
        <v>0.21103637220754123</v>
      </c>
      <c r="W1415">
        <v>8.3611557392445218E-2</v>
      </c>
      <c r="X1415">
        <v>2.9519044818686568E-2</v>
      </c>
      <c r="Y1415">
        <v>3.7603058667173839E-3</v>
      </c>
    </row>
    <row r="1416" spans="1:25" x14ac:dyDescent="0.25">
      <c r="A1416" s="1095"/>
      <c r="B1416" s="1454">
        <v>1166</v>
      </c>
      <c r="C1416" s="1099">
        <v>1.0159678505026009</v>
      </c>
      <c r="D1416" s="1099">
        <v>1.0148307085375685</v>
      </c>
      <c r="E1416" s="1099">
        <v>1.0084733799803567</v>
      </c>
      <c r="F1416" s="1099">
        <v>0.9806797820299078</v>
      </c>
      <c r="G1416" s="1099">
        <v>0.98584627767128685</v>
      </c>
      <c r="H1416" s="1099">
        <v>1.0391789525830373</v>
      </c>
      <c r="I1416" s="1099">
        <v>1.0372028214651769</v>
      </c>
      <c r="K1416">
        <v>1.7192525045378728</v>
      </c>
      <c r="L1416">
        <v>0</v>
      </c>
      <c r="M1416">
        <v>1.3697024118926016E-3</v>
      </c>
      <c r="N1416">
        <v>0.12927403324925188</v>
      </c>
      <c r="O1416">
        <v>0.12458784823368274</v>
      </c>
      <c r="P1416">
        <v>1.8238239098218926E-2</v>
      </c>
      <c r="Q1416">
        <v>8.8721817143409137E-4</v>
      </c>
      <c r="R1416">
        <v>1.3662921511930044E-3</v>
      </c>
      <c r="S1416">
        <v>0.11198632668587266</v>
      </c>
      <c r="T1416">
        <v>1.0108890485063748</v>
      </c>
      <c r="U1416">
        <v>0</v>
      </c>
      <c r="V1416">
        <v>0.2057722172494475</v>
      </c>
      <c r="W1416">
        <v>8.4499058312682118E-2</v>
      </c>
      <c r="X1416">
        <v>2.9403328454147361E-2</v>
      </c>
      <c r="Y1416">
        <v>3.718596837460765E-3</v>
      </c>
    </row>
    <row r="1417" spans="1:25" x14ac:dyDescent="0.25">
      <c r="A1417" s="1095"/>
      <c r="B1417" s="1454">
        <v>1167</v>
      </c>
      <c r="C1417" s="1099">
        <v>0.9830428224557417</v>
      </c>
      <c r="D1417" s="1099">
        <v>0.99328665944367189</v>
      </c>
      <c r="E1417" s="1099">
        <v>0.99170844481895304</v>
      </c>
      <c r="F1417" s="1099">
        <v>1.0155636594852697</v>
      </c>
      <c r="G1417" s="1099">
        <v>0.97271054602372109</v>
      </c>
      <c r="H1417" s="1099">
        <v>1.0201362017031506</v>
      </c>
      <c r="I1417" s="1099">
        <v>0.99168555497057886</v>
      </c>
      <c r="K1417">
        <v>1.7687082350241798</v>
      </c>
      <c r="L1417">
        <v>0</v>
      </c>
      <c r="M1417">
        <v>1.4575323999263788E-3</v>
      </c>
      <c r="N1417">
        <v>0.13076477343773227</v>
      </c>
      <c r="O1417">
        <v>0.12984962158879051</v>
      </c>
      <c r="P1417">
        <v>1.8551306472918607E-2</v>
      </c>
      <c r="Q1417">
        <v>9.0890186149639608E-4</v>
      </c>
      <c r="R1417">
        <v>1.4538517395765091E-3</v>
      </c>
      <c r="S1417">
        <v>0.11077674976381859</v>
      </c>
      <c r="T1417">
        <v>1.0473535855769691</v>
      </c>
      <c r="U1417">
        <v>0</v>
      </c>
      <c r="V1417">
        <v>0.21033366058941136</v>
      </c>
      <c r="W1417">
        <v>8.6329344728671278E-2</v>
      </c>
      <c r="X1417">
        <v>2.9887066491690043E-2</v>
      </c>
      <c r="Y1417">
        <v>3.9569051730301103E-3</v>
      </c>
    </row>
    <row r="1418" spans="1:25" x14ac:dyDescent="0.25">
      <c r="A1418" s="1095"/>
      <c r="B1418" s="1454">
        <v>1168</v>
      </c>
      <c r="C1418" s="1099">
        <v>0.99455304081584472</v>
      </c>
      <c r="D1418" s="1099">
        <v>1.0280629975165845</v>
      </c>
      <c r="E1418" s="1099">
        <v>0.98767356600572209</v>
      </c>
      <c r="F1418" s="1099">
        <v>0.9838513897839154</v>
      </c>
      <c r="G1418" s="1099">
        <v>1.0054337530373709</v>
      </c>
      <c r="H1418" s="1099">
        <v>1.0054644286788839</v>
      </c>
      <c r="I1418" s="1099">
        <v>1.0005315172103983</v>
      </c>
      <c r="K1418">
        <v>1.7129037722782399</v>
      </c>
      <c r="L1418">
        <v>0</v>
      </c>
      <c r="M1418">
        <v>1.40068448773736E-3</v>
      </c>
      <c r="N1418">
        <v>0.1241336196197823</v>
      </c>
      <c r="O1418">
        <v>0.12524637224733703</v>
      </c>
      <c r="P1418">
        <v>1.797521186925248E-2</v>
      </c>
      <c r="Q1418">
        <v>8.8238189740703367E-4</v>
      </c>
      <c r="R1418">
        <v>1.397066049321745E-3</v>
      </c>
      <c r="S1418">
        <v>0.10700642490660799</v>
      </c>
      <c r="T1418">
        <v>1.0147678622676131</v>
      </c>
      <c r="U1418">
        <v>0</v>
      </c>
      <c r="V1418">
        <v>0.20822596765646831</v>
      </c>
      <c r="W1418">
        <v>8.214991242691172E-2</v>
      </c>
      <c r="X1418">
        <v>2.8717284581719314E-2</v>
      </c>
      <c r="Y1418">
        <v>3.8023532435544037E-3</v>
      </c>
    </row>
    <row r="1419" spans="1:25" x14ac:dyDescent="0.25">
      <c r="A1419" s="1095"/>
      <c r="B1419" s="1454">
        <v>1169</v>
      </c>
      <c r="C1419" s="1099">
        <v>1.0072568037032459</v>
      </c>
      <c r="D1419" s="1099">
        <v>1.0424551041895191</v>
      </c>
      <c r="E1419" s="1099">
        <v>1.0468559850520374</v>
      </c>
      <c r="F1419" s="1099">
        <v>0.98664231481704823</v>
      </c>
      <c r="G1419" s="1099">
        <v>0.96848487903869152</v>
      </c>
      <c r="H1419" s="1099">
        <v>1.0211925043170549</v>
      </c>
      <c r="I1419" s="1099">
        <v>1.0009210902692816</v>
      </c>
      <c r="K1419">
        <v>1.7197270780348288</v>
      </c>
      <c r="L1419">
        <v>0</v>
      </c>
      <c r="M1419">
        <v>1.2334136826349005E-3</v>
      </c>
      <c r="N1419">
        <v>0.13068584212683965</v>
      </c>
      <c r="O1419">
        <v>0.12442026016373577</v>
      </c>
      <c r="P1419">
        <v>1.8735473470794257E-2</v>
      </c>
      <c r="Q1419">
        <v>9.2073805138323539E-4</v>
      </c>
      <c r="R1419">
        <v>1.2302721682387299E-3</v>
      </c>
      <c r="S1419">
        <v>0.10604688450144664</v>
      </c>
      <c r="T1419">
        <v>1.0159405196349935</v>
      </c>
      <c r="U1419">
        <v>0</v>
      </c>
      <c r="V1419">
        <v>0.2052813505547556</v>
      </c>
      <c r="W1419">
        <v>8.3536205131003474E-2</v>
      </c>
      <c r="X1419">
        <v>3.081455063143701E-2</v>
      </c>
      <c r="Y1419">
        <v>3.3483952828345584E-3</v>
      </c>
    </row>
    <row r="1420" spans="1:25" x14ac:dyDescent="0.25">
      <c r="A1420" s="1095"/>
      <c r="B1420" s="1454">
        <v>1170</v>
      </c>
      <c r="C1420" s="1099">
        <v>0.96417033837132371</v>
      </c>
      <c r="D1420" s="1099">
        <v>0.99023662189121209</v>
      </c>
      <c r="E1420" s="1099">
        <v>0.98243790651815099</v>
      </c>
      <c r="F1420" s="1099">
        <v>0.97844531408557223</v>
      </c>
      <c r="G1420" s="1099">
        <v>1.0029155600888406</v>
      </c>
      <c r="H1420" s="1099">
        <v>1.0254951425594474</v>
      </c>
      <c r="I1420" s="1099">
        <v>0.99669163236832259</v>
      </c>
      <c r="K1420">
        <v>1.735174830193259</v>
      </c>
      <c r="L1420">
        <v>0</v>
      </c>
      <c r="M1420">
        <v>1.5179740595859322E-3</v>
      </c>
      <c r="N1420">
        <v>0.13242268760836634</v>
      </c>
      <c r="O1420">
        <v>0.12810351072563664</v>
      </c>
      <c r="P1420">
        <v>1.7966899666356836E-2</v>
      </c>
      <c r="Q1420">
        <v>9.1889667578124888E-4</v>
      </c>
      <c r="R1420">
        <v>1.5141439322174117E-3</v>
      </c>
      <c r="S1420">
        <v>0.11373219499806415</v>
      </c>
      <c r="T1420">
        <v>1.0093464750358034</v>
      </c>
      <c r="U1420">
        <v>0</v>
      </c>
      <c r="V1420">
        <v>0.21157405649834443</v>
      </c>
      <c r="W1420">
        <v>8.7911882699503507E-2</v>
      </c>
      <c r="X1420">
        <v>2.9081055766687427E-2</v>
      </c>
      <c r="Y1420">
        <v>4.1210006460826861E-3</v>
      </c>
    </row>
    <row r="1421" spans="1:25" x14ac:dyDescent="0.25">
      <c r="A1421" s="1095"/>
      <c r="B1421" s="1454">
        <v>1171</v>
      </c>
      <c r="C1421" s="1099">
        <v>1.0265871520695229</v>
      </c>
      <c r="D1421" s="1099">
        <v>0.99926201458762864</v>
      </c>
      <c r="E1421" s="1099">
        <v>0.98102702700970101</v>
      </c>
      <c r="F1421" s="1099">
        <v>0.96817476565956384</v>
      </c>
      <c r="G1421" s="1099">
        <v>1.014088315505475</v>
      </c>
      <c r="H1421" s="1099">
        <v>1.0313829499509874</v>
      </c>
      <c r="I1421" s="1099">
        <v>1.038564988485128</v>
      </c>
      <c r="K1421">
        <v>1.698249815635021</v>
      </c>
      <c r="L1421">
        <v>0</v>
      </c>
      <c r="M1421">
        <v>1.4367846230658797E-3</v>
      </c>
      <c r="N1421">
        <v>0.12480882249702178</v>
      </c>
      <c r="O1421">
        <v>0.12370335691189516</v>
      </c>
      <c r="P1421">
        <v>1.7699757801441195E-2</v>
      </c>
      <c r="Q1421">
        <v>8.5863175719098125E-4</v>
      </c>
      <c r="R1421">
        <v>1.4331899254831227E-3</v>
      </c>
      <c r="S1421">
        <v>0.1114187596522174</v>
      </c>
      <c r="T1421">
        <v>0.99879291406787207</v>
      </c>
      <c r="U1421">
        <v>0</v>
      </c>
      <c r="V1421">
        <v>0.20600639197843534</v>
      </c>
      <c r="W1421">
        <v>8.2927762223450233E-2</v>
      </c>
      <c r="X1421">
        <v>2.8136342916846906E-2</v>
      </c>
      <c r="Y1421">
        <v>3.9006705262330985E-3</v>
      </c>
    </row>
    <row r="1422" spans="1:25" x14ac:dyDescent="0.25">
      <c r="A1422" s="1095"/>
      <c r="B1422" s="1454">
        <v>1172</v>
      </c>
      <c r="C1422" s="1099">
        <v>1.0136818971827783</v>
      </c>
      <c r="D1422" s="1099">
        <v>1.0137990546117943</v>
      </c>
      <c r="E1422" s="1099">
        <v>1.0050059105015177</v>
      </c>
      <c r="F1422" s="1099">
        <v>1.0096683915524465</v>
      </c>
      <c r="G1422" s="1099">
        <v>0.99303567508688861</v>
      </c>
      <c r="H1422" s="1099">
        <v>0.99255377088179197</v>
      </c>
      <c r="I1422" s="1099">
        <v>1.0158704482769947</v>
      </c>
      <c r="K1422">
        <v>1.7400488556891405</v>
      </c>
      <c r="L1422">
        <v>0</v>
      </c>
      <c r="M1422">
        <v>1.3244929155663873E-3</v>
      </c>
      <c r="N1422">
        <v>0.12369131357150104</v>
      </c>
      <c r="O1422">
        <v>0.12691840050213113</v>
      </c>
      <c r="P1422">
        <v>1.8560636456363765E-2</v>
      </c>
      <c r="Q1422">
        <v>8.863998086620818E-4</v>
      </c>
      <c r="R1422">
        <v>1.3210488651602087E-3</v>
      </c>
      <c r="S1422">
        <v>0.10691370320259534</v>
      </c>
      <c r="T1422">
        <v>1.0408740075126377</v>
      </c>
      <c r="U1422">
        <v>0</v>
      </c>
      <c r="V1422">
        <v>0.20783263879251387</v>
      </c>
      <c r="W1422">
        <v>8.1015861046509818E-2</v>
      </c>
      <c r="X1422">
        <v>2.9763879319304843E-2</v>
      </c>
      <c r="Y1422">
        <v>3.5954595273247261E-3</v>
      </c>
    </row>
    <row r="1423" spans="1:25" x14ac:dyDescent="0.25">
      <c r="A1423" s="1095"/>
      <c r="B1423" s="1454">
        <v>1173</v>
      </c>
      <c r="C1423" s="1099">
        <v>0.99094079861257189</v>
      </c>
      <c r="D1423" s="1099">
        <v>0.9902284492711132</v>
      </c>
      <c r="E1423" s="1099">
        <v>0.99225589932830516</v>
      </c>
      <c r="F1423" s="1099">
        <v>0.96722905374748314</v>
      </c>
      <c r="G1423" s="1099">
        <v>0.97492663434743898</v>
      </c>
      <c r="H1423" s="1099">
        <v>1.0252456394609308</v>
      </c>
      <c r="I1423" s="1099">
        <v>0.99224373415655653</v>
      </c>
      <c r="K1423">
        <v>1.7086796457856424</v>
      </c>
      <c r="L1423">
        <v>0</v>
      </c>
      <c r="M1423">
        <v>1.4488391218868035E-3</v>
      </c>
      <c r="N1423">
        <v>0.13020077187343132</v>
      </c>
      <c r="O1423">
        <v>0.12586211871755779</v>
      </c>
      <c r="P1423">
        <v>1.7834713798197309E-2</v>
      </c>
      <c r="Q1423">
        <v>9.0328534616272228E-4</v>
      </c>
      <c r="R1423">
        <v>1.4451874345263989E-3</v>
      </c>
      <c r="S1423">
        <v>0.11026235372157107</v>
      </c>
      <c r="T1423">
        <v>0.99749010688264228</v>
      </c>
      <c r="U1423">
        <v>0</v>
      </c>
      <c r="V1423">
        <v>0.20730485189616171</v>
      </c>
      <c r="W1423">
        <v>8.592885605366693E-2</v>
      </c>
      <c r="X1423">
        <v>2.8962915392740041E-2</v>
      </c>
      <c r="Y1423">
        <v>3.9333237908711028E-3</v>
      </c>
    </row>
    <row r="1424" spans="1:25" x14ac:dyDescent="0.25">
      <c r="A1424" s="1095"/>
      <c r="B1424" s="1454">
        <v>1174</v>
      </c>
      <c r="C1424" s="1099">
        <v>0.95195936846124485</v>
      </c>
      <c r="D1424" s="1099">
        <v>1.0035417092314882</v>
      </c>
      <c r="E1424" s="1099">
        <v>0.96134192418178532</v>
      </c>
      <c r="F1424" s="1099">
        <v>1.0028538487396406</v>
      </c>
      <c r="G1424" s="1099">
        <v>0.99751279554193772</v>
      </c>
      <c r="H1424" s="1099">
        <v>0.98810450529564553</v>
      </c>
      <c r="I1424" s="1099">
        <v>1.0146055426574201</v>
      </c>
      <c r="K1424">
        <v>1.754128100013939</v>
      </c>
      <c r="L1424">
        <v>0</v>
      </c>
      <c r="M1424">
        <v>1.5370437268750871E-3</v>
      </c>
      <c r="N1424">
        <v>0.12577777546927546</v>
      </c>
      <c r="O1424">
        <v>0.12995733432231424</v>
      </c>
      <c r="P1424">
        <v>1.8041452736315591E-2</v>
      </c>
      <c r="Q1424">
        <v>9.0539987838681444E-4</v>
      </c>
      <c r="R1424">
        <v>1.5330133093361805E-3</v>
      </c>
      <c r="S1424">
        <v>0.11358265438523157</v>
      </c>
      <c r="T1424">
        <v>1.0351725577319926</v>
      </c>
      <c r="U1424">
        <v>0</v>
      </c>
      <c r="V1424">
        <v>0.21324928683332384</v>
      </c>
      <c r="W1424">
        <v>8.4577925660625428E-2</v>
      </c>
      <c r="X1424">
        <v>2.8695386543698589E-2</v>
      </c>
      <c r="Y1424">
        <v>4.1723568703114786E-3</v>
      </c>
    </row>
    <row r="1425" spans="1:25" x14ac:dyDescent="0.25">
      <c r="A1425" s="1095"/>
      <c r="B1425" s="1454">
        <v>1175</v>
      </c>
      <c r="C1425" s="1099">
        <v>1.0145407114174652</v>
      </c>
      <c r="D1425" s="1099">
        <v>0.99157480730031033</v>
      </c>
      <c r="E1425" s="1099">
        <v>1.0398168806407302</v>
      </c>
      <c r="F1425" s="1099">
        <v>0.98145312873551271</v>
      </c>
      <c r="G1425" s="1099">
        <v>0.99505496319623321</v>
      </c>
      <c r="H1425" s="1099">
        <v>1.0153431305935523</v>
      </c>
      <c r="I1425" s="1099">
        <v>0.98169417868825937</v>
      </c>
      <c r="K1425">
        <v>1.7204755961156668</v>
      </c>
      <c r="L1425">
        <v>0</v>
      </c>
      <c r="M1425">
        <v>1.272692371667911E-3</v>
      </c>
      <c r="N1425">
        <v>0.13202032206213063</v>
      </c>
      <c r="O1425">
        <v>0.12588677683416605</v>
      </c>
      <c r="P1425">
        <v>1.8595762702251883E-2</v>
      </c>
      <c r="Q1425">
        <v>9.2598067328944413E-4</v>
      </c>
      <c r="R1425">
        <v>1.2694632436982293E-3</v>
      </c>
      <c r="S1425">
        <v>0.10610229291584979</v>
      </c>
      <c r="T1425">
        <v>1.010793762625666</v>
      </c>
      <c r="U1425">
        <v>0</v>
      </c>
      <c r="V1425">
        <v>0.20714832266084718</v>
      </c>
      <c r="W1425">
        <v>8.4731146840445942E-2</v>
      </c>
      <c r="X1425">
        <v>3.081939745808646E-2</v>
      </c>
      <c r="Y1425">
        <v>3.4550604709007635E-3</v>
      </c>
    </row>
    <row r="1426" spans="1:25" x14ac:dyDescent="0.25">
      <c r="A1426" s="1095"/>
      <c r="B1426" s="1454">
        <v>1176</v>
      </c>
      <c r="C1426" s="1099">
        <v>0.9749492851479562</v>
      </c>
      <c r="D1426" s="1099">
        <v>1.0129024790409706</v>
      </c>
      <c r="E1426" s="1099">
        <v>0.96946471787289568</v>
      </c>
      <c r="F1426" s="1099">
        <v>1.01671238388207</v>
      </c>
      <c r="G1426" s="1099">
        <v>1.0213911101849953</v>
      </c>
      <c r="H1426" s="1099">
        <v>1.0322611432226796</v>
      </c>
      <c r="I1426" s="1099">
        <v>1.0257362081266537</v>
      </c>
      <c r="K1426">
        <v>1.7741051885040733</v>
      </c>
      <c r="L1426">
        <v>0</v>
      </c>
      <c r="M1426">
        <v>1.5383861042279118E-3</v>
      </c>
      <c r="N1426">
        <v>0.12903827437993051</v>
      </c>
      <c r="O1426">
        <v>0.12937011978536095</v>
      </c>
      <c r="P1426">
        <v>1.8354041165798921E-2</v>
      </c>
      <c r="Q1426">
        <v>8.8836169132302893E-4</v>
      </c>
      <c r="R1426">
        <v>1.5345304665673961E-3</v>
      </c>
      <c r="S1426">
        <v>0.11494482482244993</v>
      </c>
      <c r="T1426">
        <v>1.049223662770036</v>
      </c>
      <c r="U1426">
        <v>0</v>
      </c>
      <c r="V1426">
        <v>0.21279909302426409</v>
      </c>
      <c r="W1426">
        <v>8.6340933533152295E-2</v>
      </c>
      <c r="X1426">
        <v>2.8973246897252614E-2</v>
      </c>
      <c r="Y1426">
        <v>4.1764860721641003E-3</v>
      </c>
    </row>
    <row r="1427" spans="1:25" x14ac:dyDescent="0.25">
      <c r="A1427" s="1095"/>
      <c r="B1427" s="1454">
        <v>1177</v>
      </c>
      <c r="C1427" s="1099">
        <v>1.0264609548426562</v>
      </c>
      <c r="D1427" s="1099">
        <v>0.97653247284072464</v>
      </c>
      <c r="E1427" s="1099">
        <v>1.0065227515984199</v>
      </c>
      <c r="F1427" s="1099">
        <v>0.98899620262444998</v>
      </c>
      <c r="G1427" s="1099">
        <v>1.0194939611541598</v>
      </c>
      <c r="H1427" s="1099">
        <v>1.0043070702629195</v>
      </c>
      <c r="I1427" s="1099">
        <v>0.98039853036022284</v>
      </c>
      <c r="K1427">
        <v>1.7207552651130078</v>
      </c>
      <c r="L1427">
        <v>0</v>
      </c>
      <c r="M1427">
        <v>1.3478173252453609E-3</v>
      </c>
      <c r="N1427">
        <v>0.12645335742846026</v>
      </c>
      <c r="O1427">
        <v>0.12642409483294742</v>
      </c>
      <c r="P1427">
        <v>1.8266946802367297E-2</v>
      </c>
      <c r="Q1427">
        <v>8.8997108273320975E-4</v>
      </c>
      <c r="R1427">
        <v>1.3443756716711183E-3</v>
      </c>
      <c r="S1427">
        <v>0.1050342273549156</v>
      </c>
      <c r="T1427">
        <v>1.0195185697037006</v>
      </c>
      <c r="U1427">
        <v>0</v>
      </c>
      <c r="V1427">
        <v>0.20811425955291007</v>
      </c>
      <c r="W1427">
        <v>8.2750659465429047E-2</v>
      </c>
      <c r="X1427">
        <v>2.9647673138151188E-2</v>
      </c>
      <c r="Y1427">
        <v>3.6589474049677235E-3</v>
      </c>
    </row>
    <row r="1428" spans="1:25" x14ac:dyDescent="0.25">
      <c r="A1428" s="1095"/>
      <c r="B1428" s="1454">
        <v>1178</v>
      </c>
      <c r="C1428" s="1099">
        <v>0.99586888453904321</v>
      </c>
      <c r="D1428" s="1099">
        <v>1.0275015890961301</v>
      </c>
      <c r="E1428" s="1099">
        <v>1.0313439082696978</v>
      </c>
      <c r="F1428" s="1099">
        <v>1.0140784194734931</v>
      </c>
      <c r="G1428" s="1099">
        <v>1.0381767217451854</v>
      </c>
      <c r="H1428" s="1099">
        <v>0.97599927965732713</v>
      </c>
      <c r="I1428" s="1099">
        <v>1.0020018836397138</v>
      </c>
      <c r="K1428">
        <v>1.7500631517694218</v>
      </c>
      <c r="L1428">
        <v>0</v>
      </c>
      <c r="M1428">
        <v>1.243796940587482E-3</v>
      </c>
      <c r="N1428">
        <v>0.12575568380775523</v>
      </c>
      <c r="O1428">
        <v>0.12765618543309418</v>
      </c>
      <c r="P1428">
        <v>1.9002636967621406E-2</v>
      </c>
      <c r="Q1428">
        <v>9.2202462119396944E-4</v>
      </c>
      <c r="R1428">
        <v>1.2404959527993005E-3</v>
      </c>
      <c r="S1428">
        <v>0.10527800202845648</v>
      </c>
      <c r="T1428">
        <v>1.0446407637221102</v>
      </c>
      <c r="U1428">
        <v>0</v>
      </c>
      <c r="V1428">
        <v>0.21141049402694656</v>
      </c>
      <c r="W1428">
        <v>8.1106677629017715E-2</v>
      </c>
      <c r="X1428">
        <v>3.0917763466875633E-2</v>
      </c>
      <c r="Y1428">
        <v>3.3762210541387586E-3</v>
      </c>
    </row>
    <row r="1429" spans="1:25" x14ac:dyDescent="0.25">
      <c r="A1429" s="1095"/>
      <c r="B1429" s="1454">
        <v>1179</v>
      </c>
      <c r="C1429" s="1099">
        <v>0.99647206003812006</v>
      </c>
      <c r="D1429" s="1099">
        <v>1.0184621660111488</v>
      </c>
      <c r="E1429" s="1099">
        <v>1.0006893622612008</v>
      </c>
      <c r="F1429" s="1099">
        <v>1.0356869348682722</v>
      </c>
      <c r="G1429" s="1099">
        <v>0.98891911022890944</v>
      </c>
      <c r="H1429" s="1099">
        <v>0.96923148639099788</v>
      </c>
      <c r="I1429" s="1099">
        <v>0.999045933245721</v>
      </c>
      <c r="K1429">
        <v>1.7685639958705968</v>
      </c>
      <c r="L1429">
        <v>0</v>
      </c>
      <c r="M1429">
        <v>1.3249517228805898E-3</v>
      </c>
      <c r="N1429">
        <v>0.12212362404976057</v>
      </c>
      <c r="O1429">
        <v>0.12952316693150562</v>
      </c>
      <c r="P1429">
        <v>1.8877158347744033E-2</v>
      </c>
      <c r="Q1429">
        <v>8.9604187581242777E-4</v>
      </c>
      <c r="R1429">
        <v>1.3214231493166809E-3</v>
      </c>
      <c r="S1429">
        <v>0.10507951844974012</v>
      </c>
      <c r="T1429">
        <v>1.0678292189850258</v>
      </c>
      <c r="U1429">
        <v>0</v>
      </c>
      <c r="V1429">
        <v>0.21026812581765347</v>
      </c>
      <c r="W1429">
        <v>8.0194064310272428E-2</v>
      </c>
      <c r="X1429">
        <v>3.0180127471230851E-2</v>
      </c>
      <c r="Y1429">
        <v>3.5964782054159049E-3</v>
      </c>
    </row>
    <row r="1430" spans="1:25" x14ac:dyDescent="0.25">
      <c r="A1430" s="1095"/>
      <c r="B1430" s="1454">
        <v>1180</v>
      </c>
      <c r="C1430" s="1099">
        <v>0.97918917400133154</v>
      </c>
      <c r="D1430" s="1099">
        <v>1.0166185713677003</v>
      </c>
      <c r="E1430" s="1099">
        <v>1.0201440806519573</v>
      </c>
      <c r="F1430" s="1099">
        <v>1.0010159283622977</v>
      </c>
      <c r="G1430" s="1099">
        <v>0.97779979803640005</v>
      </c>
      <c r="H1430" s="1099">
        <v>1.0124123635461497</v>
      </c>
      <c r="I1430" s="1099">
        <v>1.0040357369728887</v>
      </c>
      <c r="K1430">
        <v>1.750666453513873</v>
      </c>
      <c r="L1430">
        <v>0</v>
      </c>
      <c r="M1430">
        <v>1.3482469282196541E-3</v>
      </c>
      <c r="N1430">
        <v>0.13180172487312397</v>
      </c>
      <c r="O1430">
        <v>0.12799002957689407</v>
      </c>
      <c r="P1430">
        <v>1.8711089340385494E-2</v>
      </c>
      <c r="Q1430">
        <v>9.3100768018332294E-4</v>
      </c>
      <c r="R1430">
        <v>1.3447958215848338E-3</v>
      </c>
      <c r="S1430">
        <v>0.11038614764089399</v>
      </c>
      <c r="T1430">
        <v>1.03150931467508</v>
      </c>
      <c r="U1430">
        <v>0</v>
      </c>
      <c r="V1430">
        <v>0.20953470019115467</v>
      </c>
      <c r="W1430">
        <v>8.556240633314495E-2</v>
      </c>
      <c r="X1430">
        <v>3.0583393395115767E-2</v>
      </c>
      <c r="Y1430">
        <v>3.6600909145304747E-3</v>
      </c>
    </row>
    <row r="1431" spans="1:25" x14ac:dyDescent="0.25">
      <c r="A1431" s="1095"/>
      <c r="B1431" s="1454">
        <v>1181</v>
      </c>
      <c r="C1431" s="1099">
        <v>1.0312061537037094</v>
      </c>
      <c r="D1431" s="1099">
        <v>1.0199263207340217</v>
      </c>
      <c r="E1431" s="1099">
        <v>0.99768725131405178</v>
      </c>
      <c r="F1431" s="1099">
        <v>1.0452394718452378</v>
      </c>
      <c r="G1431" s="1099">
        <v>1.0432785339344328</v>
      </c>
      <c r="H1431" s="1099">
        <v>0.97552220188906602</v>
      </c>
      <c r="I1431" s="1099">
        <v>1.0368242333437419</v>
      </c>
      <c r="K1431">
        <v>1.7726367576555446</v>
      </c>
      <c r="L1431">
        <v>0</v>
      </c>
      <c r="M1431">
        <v>1.2999539863889019E-3</v>
      </c>
      <c r="N1431">
        <v>0.11874063085888377</v>
      </c>
      <c r="O1431">
        <v>0.12834947007066283</v>
      </c>
      <c r="P1431">
        <v>1.8984681670872923E-2</v>
      </c>
      <c r="Q1431">
        <v>8.6267260302243026E-4</v>
      </c>
      <c r="R1431">
        <v>1.296524939793049E-3</v>
      </c>
      <c r="S1431">
        <v>0.10594814194912387</v>
      </c>
      <c r="T1431">
        <v>1.0777715732377848</v>
      </c>
      <c r="U1431">
        <v>0</v>
      </c>
      <c r="V1431">
        <v>0.21045769888446117</v>
      </c>
      <c r="W1431">
        <v>7.8111917181464027E-2</v>
      </c>
      <c r="X1431">
        <v>2.9884686759077777E-2</v>
      </c>
      <c r="Y1431">
        <v>3.5287134867851423E-3</v>
      </c>
    </row>
    <row r="1432" spans="1:25" x14ac:dyDescent="0.25">
      <c r="A1432" s="1095"/>
      <c r="B1432" s="1454">
        <v>1182</v>
      </c>
      <c r="C1432" s="1099">
        <v>1.0409032524003381</v>
      </c>
      <c r="D1432" s="1099">
        <v>1.0163862115924214</v>
      </c>
      <c r="E1432" s="1099">
        <v>1.0471245346039484</v>
      </c>
      <c r="F1432" s="1099">
        <v>0.97341504702737969</v>
      </c>
      <c r="G1432" s="1099">
        <v>1.0003548833883691</v>
      </c>
      <c r="H1432" s="1099">
        <v>0.99757601248792227</v>
      </c>
      <c r="I1432" s="1099">
        <v>1.0300979411659086</v>
      </c>
      <c r="K1432">
        <v>1.6940896027394821</v>
      </c>
      <c r="L1432">
        <v>0</v>
      </c>
      <c r="M1432">
        <v>1.1846111825199795E-3</v>
      </c>
      <c r="N1432">
        <v>0.12561099374634871</v>
      </c>
      <c r="O1432">
        <v>0.1229085040350691</v>
      </c>
      <c r="P1432">
        <v>1.8527045000411087E-2</v>
      </c>
      <c r="Q1432">
        <v>9.0029186433370563E-4</v>
      </c>
      <c r="R1432">
        <v>1.1815419859853495E-3</v>
      </c>
      <c r="S1432">
        <v>0.10576162103362048</v>
      </c>
      <c r="T1432">
        <v>1.0023130619047804</v>
      </c>
      <c r="U1432">
        <v>0</v>
      </c>
      <c r="V1432">
        <v>0.20417526566493463</v>
      </c>
      <c r="W1432">
        <v>8.0279941503297647E-2</v>
      </c>
      <c r="X1432">
        <v>3.040017939257806E-2</v>
      </c>
      <c r="Y1432">
        <v>3.2157677906411203E-3</v>
      </c>
    </row>
    <row r="1433" spans="1:25" x14ac:dyDescent="0.25">
      <c r="A1433" s="1095"/>
      <c r="B1433" s="1454">
        <v>1183</v>
      </c>
      <c r="C1433" s="1099">
        <v>0.99239338376285269</v>
      </c>
      <c r="D1433" s="1099">
        <v>0.98781353003447214</v>
      </c>
      <c r="E1433" s="1099">
        <v>1.0214037004678911</v>
      </c>
      <c r="F1433" s="1099">
        <v>1.0076477804989772</v>
      </c>
      <c r="G1433" s="1099">
        <v>0.99134998079611703</v>
      </c>
      <c r="H1433" s="1099">
        <v>1.0039146706397053</v>
      </c>
      <c r="I1433" s="1099">
        <v>0.98501322019257131</v>
      </c>
      <c r="K1433">
        <v>1.7570606455760649</v>
      </c>
      <c r="L1433">
        <v>0</v>
      </c>
      <c r="M1433">
        <v>1.3403691978049409E-3</v>
      </c>
      <c r="N1433">
        <v>0.13153000083541236</v>
      </c>
      <c r="O1433">
        <v>0.1291237726795437</v>
      </c>
      <c r="P1433">
        <v>1.8803606105892479E-2</v>
      </c>
      <c r="Q1433">
        <v>9.3044389141425663E-4</v>
      </c>
      <c r="R1433">
        <v>1.3369336499827859E-3</v>
      </c>
      <c r="S1433">
        <v>0.10829334690406799</v>
      </c>
      <c r="T1433">
        <v>1.0383062403948722</v>
      </c>
      <c r="U1433">
        <v>0</v>
      </c>
      <c r="V1433">
        <v>0.21026209618811456</v>
      </c>
      <c r="W1433">
        <v>8.5323146515313225E-2</v>
      </c>
      <c r="X1433">
        <v>3.0852734934059073E-2</v>
      </c>
      <c r="Y1433">
        <v>3.6386926751938728E-3</v>
      </c>
    </row>
    <row r="1434" spans="1:25" x14ac:dyDescent="0.25">
      <c r="A1434" s="1095"/>
      <c r="B1434" s="1454">
        <v>1184</v>
      </c>
      <c r="C1434" s="1099">
        <v>0.97570968599784647</v>
      </c>
      <c r="D1434" s="1099">
        <v>1.0147416427236859</v>
      </c>
      <c r="E1434" s="1099">
        <v>0.98746416593374842</v>
      </c>
      <c r="F1434" s="1099">
        <v>1.0245647563762115</v>
      </c>
      <c r="G1434" s="1099">
        <v>1.0115609757201709</v>
      </c>
      <c r="H1434" s="1099">
        <v>1.001413136554083</v>
      </c>
      <c r="I1434" s="1099">
        <v>1.0097630010016247</v>
      </c>
      <c r="K1434">
        <v>1.7747859697865018</v>
      </c>
      <c r="L1434">
        <v>0</v>
      </c>
      <c r="M1434">
        <v>1.4362904303339189E-3</v>
      </c>
      <c r="N1434">
        <v>0.12720867439491165</v>
      </c>
      <c r="O1434">
        <v>0.12991372868605724</v>
      </c>
      <c r="P1434">
        <v>1.8651319260174139E-2</v>
      </c>
      <c r="Q1434">
        <v>9.0392980184795645E-4</v>
      </c>
      <c r="R1434">
        <v>1.4325812112119963E-3</v>
      </c>
      <c r="S1434">
        <v>0.11081547208600068</v>
      </c>
      <c r="T1434">
        <v>1.0567670598920886</v>
      </c>
      <c r="U1434">
        <v>0</v>
      </c>
      <c r="V1434">
        <v>0.21266350281110893</v>
      </c>
      <c r="W1434">
        <v>8.419552258534535E-2</v>
      </c>
      <c r="X1434">
        <v>2.9771455681437145E-2</v>
      </c>
      <c r="Y1434">
        <v>3.8990138066496991E-3</v>
      </c>
    </row>
    <row r="1435" spans="1:25" x14ac:dyDescent="0.25">
      <c r="A1435" s="1095"/>
      <c r="B1435" s="1454">
        <v>1185</v>
      </c>
      <c r="C1435" s="1099">
        <v>1.0279161057932926</v>
      </c>
      <c r="D1435" s="1099">
        <v>0.99097556014049937</v>
      </c>
      <c r="E1435" s="1099">
        <v>0.96178593578265914</v>
      </c>
      <c r="F1435" s="1099">
        <v>0.98533930526396107</v>
      </c>
      <c r="G1435" s="1099">
        <v>0.97032602313826732</v>
      </c>
      <c r="H1435" s="1099">
        <v>0.99058046922365051</v>
      </c>
      <c r="I1435" s="1099">
        <v>0.98616398089251733</v>
      </c>
      <c r="K1435">
        <v>1.698550578266312</v>
      </c>
      <c r="L1435">
        <v>0</v>
      </c>
      <c r="M1435">
        <v>1.4434224178684009E-3</v>
      </c>
      <c r="N1435">
        <v>0.11827868855937984</v>
      </c>
      <c r="O1435">
        <v>0.12523587090131466</v>
      </c>
      <c r="P1435">
        <v>1.7563623752213337E-2</v>
      </c>
      <c r="Q1435">
        <v>8.4312943887613039E-4</v>
      </c>
      <c r="R1435">
        <v>1.439674395037888E-3</v>
      </c>
      <c r="S1435">
        <v>0.10353466682178131</v>
      </c>
      <c r="T1435">
        <v>1.0170800689305857</v>
      </c>
      <c r="U1435">
        <v>0</v>
      </c>
      <c r="V1435">
        <v>0.20486829848668889</v>
      </c>
      <c r="W1435">
        <v>7.9513609243494626E-2</v>
      </c>
      <c r="X1435">
        <v>2.7718051040049173E-2</v>
      </c>
      <c r="Y1435">
        <v>3.9183191147563554E-3</v>
      </c>
    </row>
    <row r="1436" spans="1:25" x14ac:dyDescent="0.25">
      <c r="A1436" s="1095"/>
      <c r="B1436" s="1454">
        <v>1186</v>
      </c>
      <c r="C1436" s="1099">
        <v>0.99502471913470825</v>
      </c>
      <c r="D1436" s="1099">
        <v>1.0240669573834913</v>
      </c>
      <c r="E1436" s="1099">
        <v>0.97351553987941175</v>
      </c>
      <c r="F1436" s="1099">
        <v>1.0125976086895248</v>
      </c>
      <c r="G1436" s="1099">
        <v>1.0083160979133607</v>
      </c>
      <c r="H1436" s="1099">
        <v>1.0083834120841582</v>
      </c>
      <c r="I1436" s="1099">
        <v>0.96570116501698711</v>
      </c>
      <c r="K1436">
        <v>1.7434310591444317</v>
      </c>
      <c r="L1436">
        <v>0</v>
      </c>
      <c r="M1436">
        <v>1.4527197127308122E-3</v>
      </c>
      <c r="N1436">
        <v>0.12334869609361389</v>
      </c>
      <c r="O1436">
        <v>0.12750665743108261</v>
      </c>
      <c r="P1436">
        <v>1.8164885084439541E-2</v>
      </c>
      <c r="Q1436">
        <v>8.7033352705629882E-4</v>
      </c>
      <c r="R1436">
        <v>1.4489897258787227E-3</v>
      </c>
      <c r="S1436">
        <v>0.10381917625388844</v>
      </c>
      <c r="T1436">
        <v>1.0448518801886524</v>
      </c>
      <c r="U1436">
        <v>0</v>
      </c>
      <c r="V1436">
        <v>0.20989219523603797</v>
      </c>
      <c r="W1436">
        <v>8.2330979859117318E-2</v>
      </c>
      <c r="X1436">
        <v>2.870631308288674E-2</v>
      </c>
      <c r="Y1436">
        <v>3.9436723745071203E-3</v>
      </c>
    </row>
    <row r="1437" spans="1:25" x14ac:dyDescent="0.25">
      <c r="A1437" s="1095"/>
      <c r="B1437" s="1454">
        <v>1187</v>
      </c>
      <c r="C1437" s="1099">
        <v>1.0166649823866198</v>
      </c>
      <c r="D1437" s="1099">
        <v>1.0311181673147711</v>
      </c>
      <c r="E1437" s="1099">
        <v>0.99512831165521975</v>
      </c>
      <c r="F1437" s="1099">
        <v>1.0216184516548792</v>
      </c>
      <c r="G1437" s="1099">
        <v>0.97911385502586334</v>
      </c>
      <c r="H1437" s="1099">
        <v>0.995628295125221</v>
      </c>
      <c r="I1437" s="1099">
        <v>0.96584509917410144</v>
      </c>
      <c r="K1437">
        <v>1.7417982827720788</v>
      </c>
      <c r="L1437">
        <v>0</v>
      </c>
      <c r="M1437">
        <v>1.3402236652173538E-3</v>
      </c>
      <c r="N1437">
        <v>0.12148081739911494</v>
      </c>
      <c r="O1437">
        <v>0.12684057402833906</v>
      </c>
      <c r="P1437">
        <v>1.8498053531003103E-2</v>
      </c>
      <c r="Q1437">
        <v>8.6888707470898167E-4</v>
      </c>
      <c r="R1437">
        <v>1.3367423037390883E-3</v>
      </c>
      <c r="S1437">
        <v>0.10055448822303427</v>
      </c>
      <c r="T1437">
        <v>1.0534933644246083</v>
      </c>
      <c r="U1437">
        <v>0</v>
      </c>
      <c r="V1437">
        <v>0.20699765933983633</v>
      </c>
      <c r="W1437">
        <v>8.0036491615871369E-2</v>
      </c>
      <c r="X1437">
        <v>2.9393256603246459E-2</v>
      </c>
      <c r="Y1437">
        <v>3.6381718937957995E-3</v>
      </c>
    </row>
    <row r="1438" spans="1:25" x14ac:dyDescent="0.25">
      <c r="A1438" s="1095"/>
      <c r="B1438" s="1454">
        <v>1188</v>
      </c>
      <c r="C1438" s="1099">
        <v>1.0361809881321511</v>
      </c>
      <c r="D1438" s="1099">
        <v>1.0198132617286331</v>
      </c>
      <c r="E1438" s="1099">
        <v>1.0255907780769009</v>
      </c>
      <c r="F1438" s="1099">
        <v>1.0004122422458099</v>
      </c>
      <c r="G1438" s="1099">
        <v>0.9592239357353326</v>
      </c>
      <c r="H1438" s="1099">
        <v>1.0062160087013958</v>
      </c>
      <c r="I1438" s="1099">
        <v>0.99736229134935206</v>
      </c>
      <c r="K1438">
        <v>1.7212264224414575</v>
      </c>
      <c r="L1438">
        <v>0</v>
      </c>
      <c r="M1438">
        <v>1.2553653769012828E-3</v>
      </c>
      <c r="N1438">
        <v>0.12475384629338809</v>
      </c>
      <c r="O1438">
        <v>0.124924521721994</v>
      </c>
      <c r="P1438">
        <v>1.8596788917528938E-2</v>
      </c>
      <c r="Q1438">
        <v>8.8361306421354409E-4</v>
      </c>
      <c r="R1438">
        <v>1.2521448980920215E-3</v>
      </c>
      <c r="S1438">
        <v>0.10332104676195503</v>
      </c>
      <c r="T1438">
        <v>1.0307289535645725</v>
      </c>
      <c r="U1438">
        <v>0</v>
      </c>
      <c r="V1438">
        <v>0.20379323659516477</v>
      </c>
      <c r="W1438">
        <v>8.0730014232539532E-2</v>
      </c>
      <c r="X1438">
        <v>3.0089696125757508E-2</v>
      </c>
      <c r="Y1438">
        <v>3.407925643151761E-3</v>
      </c>
    </row>
    <row r="1439" spans="1:25" x14ac:dyDescent="0.25">
      <c r="A1439" s="1095"/>
      <c r="B1439" s="1454">
        <v>1189</v>
      </c>
      <c r="C1439" s="1099">
        <v>0.98493097828131249</v>
      </c>
      <c r="D1439" s="1099">
        <v>1.0401731475712241</v>
      </c>
      <c r="E1439" s="1099">
        <v>0.99371592801608044</v>
      </c>
      <c r="F1439" s="1099">
        <v>1.0035725324211786</v>
      </c>
      <c r="G1439" s="1099">
        <v>1.0158014077695474</v>
      </c>
      <c r="H1439" s="1099">
        <v>1.0111414320717982</v>
      </c>
      <c r="I1439" s="1099">
        <v>1.0044772214585744</v>
      </c>
      <c r="K1439">
        <v>1.7415563419710895</v>
      </c>
      <c r="L1439">
        <v>0</v>
      </c>
      <c r="M1439">
        <v>1.3962670053285573E-3</v>
      </c>
      <c r="N1439">
        <v>0.12602479862233298</v>
      </c>
      <c r="O1439">
        <v>0.12672299385891905</v>
      </c>
      <c r="P1439">
        <v>1.8373901849694823E-2</v>
      </c>
      <c r="Q1439">
        <v>8.924392546213447E-4</v>
      </c>
      <c r="R1439">
        <v>1.3926755244213994E-3</v>
      </c>
      <c r="S1439">
        <v>0.10816462946925387</v>
      </c>
      <c r="T1439">
        <v>1.0349267764489944</v>
      </c>
      <c r="U1439">
        <v>0</v>
      </c>
      <c r="V1439">
        <v>0.21024432969898976</v>
      </c>
      <c r="W1439">
        <v>8.3100287329139391E-2</v>
      </c>
      <c r="X1439">
        <v>2.9319373237935955E-2</v>
      </c>
      <c r="Y1439">
        <v>3.7904036821118092E-3</v>
      </c>
    </row>
    <row r="1440" spans="1:25" x14ac:dyDescent="0.25">
      <c r="A1440" s="1095"/>
      <c r="B1440" s="1454">
        <v>1190</v>
      </c>
      <c r="C1440" s="1099">
        <v>1.0108231250191497</v>
      </c>
      <c r="D1440" s="1099">
        <v>1.0157719424012404</v>
      </c>
      <c r="E1440" s="1099">
        <v>0.98636597468039922</v>
      </c>
      <c r="F1440" s="1099">
        <v>1.0383978520657511</v>
      </c>
      <c r="G1440" s="1099">
        <v>1.0001165039018582</v>
      </c>
      <c r="H1440" s="1099">
        <v>0.99264986831579349</v>
      </c>
      <c r="I1440" s="1099">
        <v>0.9849148008624603</v>
      </c>
      <c r="K1440">
        <v>1.7694972709542647</v>
      </c>
      <c r="L1440">
        <v>0</v>
      </c>
      <c r="M1440">
        <v>1.3820061308269169E-3</v>
      </c>
      <c r="N1440">
        <v>0.1219934261495005</v>
      </c>
      <c r="O1440">
        <v>0.12903757730314208</v>
      </c>
      <c r="P1440">
        <v>1.8697099972240089E-2</v>
      </c>
      <c r="Q1440">
        <v>8.7117600130704289E-4</v>
      </c>
      <c r="R1440">
        <v>1.3784190683896196E-3</v>
      </c>
      <c r="S1440">
        <v>0.10393993926156754</v>
      </c>
      <c r="T1440">
        <v>1.0710692772166506</v>
      </c>
      <c r="U1440">
        <v>0</v>
      </c>
      <c r="V1440">
        <v>0.20977852605373579</v>
      </c>
      <c r="W1440">
        <v>8.0796976961411152E-2</v>
      </c>
      <c r="X1440">
        <v>2.956525678871488E-2</v>
      </c>
      <c r="Y1440">
        <v>3.7516023084327708E-3</v>
      </c>
    </row>
    <row r="1441" spans="1:25" x14ac:dyDescent="0.25">
      <c r="A1441" s="1095"/>
      <c r="B1441" s="1454">
        <v>1191</v>
      </c>
      <c r="C1441" s="1099">
        <v>0.99544902757612175</v>
      </c>
      <c r="D1441" s="1099">
        <v>0.99863040423694649</v>
      </c>
      <c r="E1441" s="1099">
        <v>1.0013537174038436</v>
      </c>
      <c r="F1441" s="1099">
        <v>1.0255478718575763</v>
      </c>
      <c r="G1441" s="1099">
        <v>0.96056968397004971</v>
      </c>
      <c r="H1441" s="1099">
        <v>1.0000215102307484</v>
      </c>
      <c r="I1441" s="1099">
        <v>0.9685033667555567</v>
      </c>
      <c r="K1441">
        <v>1.7663497177479004</v>
      </c>
      <c r="L1441">
        <v>0</v>
      </c>
      <c r="M1441">
        <v>1.3812870879866912E-3</v>
      </c>
      <c r="N1441">
        <v>0.12758338477355458</v>
      </c>
      <c r="O1441">
        <v>0.12973605634879254</v>
      </c>
      <c r="P1441">
        <v>1.8729469747680496E-2</v>
      </c>
      <c r="Q1441">
        <v>9.0466842864682004E-4</v>
      </c>
      <c r="R1441">
        <v>1.3777318986377182E-3</v>
      </c>
      <c r="S1441">
        <v>0.10526182086962495</v>
      </c>
      <c r="T1441">
        <v>1.0573552596186477</v>
      </c>
      <c r="U1441">
        <v>0</v>
      </c>
      <c r="V1441">
        <v>0.20905792264791542</v>
      </c>
      <c r="W1441">
        <v>8.374623952564407E-2</v>
      </c>
      <c r="X1441">
        <v>3.0228718917847758E-2</v>
      </c>
      <c r="Y1441">
        <v>3.7497320588935437E-3</v>
      </c>
    </row>
    <row r="1442" spans="1:25" x14ac:dyDescent="0.25">
      <c r="A1442" s="1095"/>
      <c r="B1442" s="1454">
        <v>1192</v>
      </c>
      <c r="C1442" s="1099">
        <v>0.99553088518385657</v>
      </c>
      <c r="D1442" s="1099">
        <v>1.034366939166196</v>
      </c>
      <c r="E1442" s="1099">
        <v>1.0082847620266462</v>
      </c>
      <c r="F1442" s="1099">
        <v>1.0168189430412824</v>
      </c>
      <c r="G1442" s="1099">
        <v>0.99979517543916718</v>
      </c>
      <c r="H1442" s="1099">
        <v>0.96441955190523265</v>
      </c>
      <c r="I1442" s="1099">
        <v>1.0018917608833149</v>
      </c>
      <c r="K1442">
        <v>1.7426058814168379</v>
      </c>
      <c r="L1442">
        <v>0</v>
      </c>
      <c r="M1442">
        <v>1.2850649156307182E-3</v>
      </c>
      <c r="N1442">
        <v>0.12119262451201067</v>
      </c>
      <c r="O1442">
        <v>0.1274761897401237</v>
      </c>
      <c r="P1442">
        <v>1.8688509135424847E-2</v>
      </c>
      <c r="Q1442">
        <v>8.9837713584670011E-4</v>
      </c>
      <c r="R1442">
        <v>1.2816097367755793E-3</v>
      </c>
      <c r="S1442">
        <v>0.10404368059564137</v>
      </c>
      <c r="T1442">
        <v>1.0481471087849239</v>
      </c>
      <c r="U1442">
        <v>0</v>
      </c>
      <c r="V1442">
        <v>0.20945586328089594</v>
      </c>
      <c r="W1442">
        <v>7.9225525110972875E-2</v>
      </c>
      <c r="X1442">
        <v>2.9993339078886374E-2</v>
      </c>
      <c r="Y1442">
        <v>3.4881192209669423E-3</v>
      </c>
    </row>
    <row r="1443" spans="1:25" x14ac:dyDescent="0.25">
      <c r="A1443" s="1095"/>
      <c r="B1443" s="1454">
        <v>1193</v>
      </c>
      <c r="C1443" s="1099">
        <v>1.0326746591770715</v>
      </c>
      <c r="D1443" s="1099">
        <v>0.97460812336691938</v>
      </c>
      <c r="E1443" s="1099">
        <v>0.96356105930337832</v>
      </c>
      <c r="F1443" s="1099">
        <v>0.99157333127802749</v>
      </c>
      <c r="G1443" s="1099">
        <v>1.0115837182329861</v>
      </c>
      <c r="H1443" s="1099">
        <v>0.99172280173927552</v>
      </c>
      <c r="I1443" s="1099">
        <v>0.97261146307299529</v>
      </c>
      <c r="K1443">
        <v>1.7097982779880794</v>
      </c>
      <c r="L1443">
        <v>0</v>
      </c>
      <c r="M1443">
        <v>1.4486776570611661E-3</v>
      </c>
      <c r="N1443">
        <v>0.11935105880087034</v>
      </c>
      <c r="O1443">
        <v>0.12623375947436341</v>
      </c>
      <c r="P1443">
        <v>1.7695449330212755E-2</v>
      </c>
      <c r="Q1443">
        <v>8.4644161515458436E-4</v>
      </c>
      <c r="R1443">
        <v>1.4449356905712279E-3</v>
      </c>
      <c r="S1443">
        <v>0.10283558797835596</v>
      </c>
      <c r="T1443">
        <v>1.0234606220740734</v>
      </c>
      <c r="U1443">
        <v>0</v>
      </c>
      <c r="V1443">
        <v>0.20730745278287688</v>
      </c>
      <c r="W1443">
        <v>8.0147372857951441E-2</v>
      </c>
      <c r="X1443">
        <v>2.7991636413898489E-2</v>
      </c>
      <c r="Y1443">
        <v>3.9326386268124991E-3</v>
      </c>
    </row>
    <row r="1444" spans="1:25" x14ac:dyDescent="0.25">
      <c r="A1444" s="1095"/>
      <c r="B1444" s="1454">
        <v>1194</v>
      </c>
      <c r="C1444" s="1099">
        <v>0.97709349319850591</v>
      </c>
      <c r="D1444" s="1099">
        <v>0.96741637625934673</v>
      </c>
      <c r="E1444" s="1099">
        <v>1.0059501317259865</v>
      </c>
      <c r="F1444" s="1099">
        <v>0.98610140183351558</v>
      </c>
      <c r="G1444" s="1099">
        <v>1.0188145877302104</v>
      </c>
      <c r="H1444" s="1099">
        <v>1.010179380676929</v>
      </c>
      <c r="I1444" s="1099">
        <v>0.99229009873112273</v>
      </c>
      <c r="K1444">
        <v>1.7451215811128697</v>
      </c>
      <c r="L1444">
        <v>0</v>
      </c>
      <c r="M1444">
        <v>1.4272998531858854E-3</v>
      </c>
      <c r="N1444">
        <v>0.13368016334580196</v>
      </c>
      <c r="O1444">
        <v>0.12917444461461061</v>
      </c>
      <c r="P1444">
        <v>1.8378240142150729E-2</v>
      </c>
      <c r="Q1444">
        <v>9.3789566060302444E-4</v>
      </c>
      <c r="R1444">
        <v>1.4236664037916144E-3</v>
      </c>
      <c r="S1444">
        <v>0.11242194275447417</v>
      </c>
      <c r="T1444">
        <v>1.0165511106144065</v>
      </c>
      <c r="U1444">
        <v>0</v>
      </c>
      <c r="V1444">
        <v>0.2123774832186292</v>
      </c>
      <c r="W1444">
        <v>8.7509488632240215E-2</v>
      </c>
      <c r="X1444">
        <v>3.021969493973076E-2</v>
      </c>
      <c r="Y1444">
        <v>3.8747506396168943E-3</v>
      </c>
    </row>
    <row r="1445" spans="1:25" x14ac:dyDescent="0.25">
      <c r="A1445" s="1095"/>
      <c r="B1445" s="1454">
        <v>1195</v>
      </c>
      <c r="C1445" s="1099">
        <v>1.0242994009857134</v>
      </c>
      <c r="D1445" s="1099">
        <v>0.97416952924773814</v>
      </c>
      <c r="E1445" s="1099">
        <v>0.95913004221649023</v>
      </c>
      <c r="F1445" s="1099">
        <v>0.96556348015119131</v>
      </c>
      <c r="G1445" s="1099">
        <v>1.0153536558673162</v>
      </c>
      <c r="H1445" s="1099">
        <v>1.0314650257771802</v>
      </c>
      <c r="I1445" s="1099">
        <v>0.98544763550552661</v>
      </c>
      <c r="K1445">
        <v>1.6935234223407751</v>
      </c>
      <c r="L1445">
        <v>0</v>
      </c>
      <c r="M1445">
        <v>1.5287292910841832E-3</v>
      </c>
      <c r="N1445">
        <v>0.12427813991729446</v>
      </c>
      <c r="O1445">
        <v>0.12465959908380736</v>
      </c>
      <c r="P1445">
        <v>1.7337613833972705E-2</v>
      </c>
      <c r="Q1445">
        <v>8.4952248150640204E-4</v>
      </c>
      <c r="R1445">
        <v>1.5249214231991622E-3</v>
      </c>
      <c r="S1445">
        <v>0.10756834202137325</v>
      </c>
      <c r="T1445">
        <v>0.99674647165286223</v>
      </c>
      <c r="U1445">
        <v>0</v>
      </c>
      <c r="V1445">
        <v>0.20679628789061757</v>
      </c>
      <c r="W1445">
        <v>8.3682968655597795E-2</v>
      </c>
      <c r="X1445">
        <v>2.7457951247892437E-2</v>
      </c>
      <c r="Y1445">
        <v>4.150333423736061E-3</v>
      </c>
    </row>
    <row r="1446" spans="1:25" x14ac:dyDescent="0.25">
      <c r="A1446" s="1095"/>
      <c r="B1446" s="1454">
        <v>1196</v>
      </c>
      <c r="C1446" s="1099">
        <v>0.99142923554603291</v>
      </c>
      <c r="D1446" s="1099">
        <v>0.99760895997721843</v>
      </c>
      <c r="E1446" s="1099">
        <v>0.95901084951203963</v>
      </c>
      <c r="F1446" s="1099">
        <v>0.98289728421992062</v>
      </c>
      <c r="G1446" s="1099">
        <v>1.0191993226454377</v>
      </c>
      <c r="H1446" s="1099">
        <v>0.9958988940357425</v>
      </c>
      <c r="I1446" s="1099">
        <v>0.98333919519694579</v>
      </c>
      <c r="K1446">
        <v>1.7125912548166624</v>
      </c>
      <c r="L1446">
        <v>0</v>
      </c>
      <c r="M1446">
        <v>1.5023838270455286E-3</v>
      </c>
      <c r="N1446">
        <v>0.12207960131883153</v>
      </c>
      <c r="O1446">
        <v>0.12657872261758632</v>
      </c>
      <c r="P1446">
        <v>1.7602910952391377E-2</v>
      </c>
      <c r="Q1446">
        <v>8.6927040536040855E-4</v>
      </c>
      <c r="R1446">
        <v>1.4984859922753653E-3</v>
      </c>
      <c r="S1446">
        <v>0.10673711906251407</v>
      </c>
      <c r="T1446">
        <v>1.0146436992030632</v>
      </c>
      <c r="U1446">
        <v>0</v>
      </c>
      <c r="V1446">
        <v>0.20991707969576284</v>
      </c>
      <c r="W1446">
        <v>8.220859330151474E-2</v>
      </c>
      <c r="X1446">
        <v>2.7879771199207364E-2</v>
      </c>
      <c r="Y1446">
        <v>4.0783848951989497E-3</v>
      </c>
    </row>
    <row r="1447" spans="1:25" x14ac:dyDescent="0.25">
      <c r="A1447" s="1095"/>
      <c r="B1447" s="1454">
        <v>1197</v>
      </c>
      <c r="C1447" s="1099">
        <v>0.97046858990901441</v>
      </c>
      <c r="D1447" s="1099">
        <v>1.0128319979789384</v>
      </c>
      <c r="E1447" s="1099">
        <v>1.0279414549371755</v>
      </c>
      <c r="F1447" s="1099">
        <v>1.0008682417256418</v>
      </c>
      <c r="G1447" s="1099">
        <v>0.96738996389451581</v>
      </c>
      <c r="H1447" s="1099">
        <v>1.0107954453870267</v>
      </c>
      <c r="I1447" s="1099">
        <v>1.0096205517020476</v>
      </c>
      <c r="K1447">
        <v>1.7567358918921825</v>
      </c>
      <c r="L1447">
        <v>0</v>
      </c>
      <c r="M1447">
        <v>1.3382271540624067E-3</v>
      </c>
      <c r="N1447">
        <v>0.13393451633804807</v>
      </c>
      <c r="O1447">
        <v>0.12864379666262074</v>
      </c>
      <c r="P1447">
        <v>1.8841936907894975E-2</v>
      </c>
      <c r="Q1447">
        <v>9.4831602367293952E-4</v>
      </c>
      <c r="R1447">
        <v>1.3347959890766116E-3</v>
      </c>
      <c r="S1447">
        <v>0.11209749629374488</v>
      </c>
      <c r="T1447">
        <v>1.0311306990005424</v>
      </c>
      <c r="U1447">
        <v>0</v>
      </c>
      <c r="V1447">
        <v>0.20992550559065332</v>
      </c>
      <c r="W1447">
        <v>8.6552475318562833E-2</v>
      </c>
      <c r="X1447">
        <v>3.1031706254540624E-2</v>
      </c>
      <c r="Y1447">
        <v>3.6328746668869939E-3</v>
      </c>
    </row>
    <row r="1448" spans="1:25" x14ac:dyDescent="0.25">
      <c r="A1448" s="1095"/>
      <c r="B1448" s="1454">
        <v>1198</v>
      </c>
      <c r="C1448" s="1099">
        <v>0.98065840696376438</v>
      </c>
      <c r="D1448" s="1099">
        <v>1.0078970237533351</v>
      </c>
      <c r="E1448" s="1099">
        <v>1.0215814091003088</v>
      </c>
      <c r="F1448" s="1099">
        <v>0.96122128653693817</v>
      </c>
      <c r="G1448" s="1099">
        <v>0.99307621225982312</v>
      </c>
      <c r="H1448" s="1099">
        <v>1.0310790010904394</v>
      </c>
      <c r="I1448" s="1099">
        <v>0.97165659386778591</v>
      </c>
      <c r="K1448">
        <v>1.7066545129956883</v>
      </c>
      <c r="L1448">
        <v>0</v>
      </c>
      <c r="M1448">
        <v>1.3691324018014032E-3</v>
      </c>
      <c r="N1448">
        <v>0.1344306437136738</v>
      </c>
      <c r="O1448">
        <v>0.1252467879170118</v>
      </c>
      <c r="P1448">
        <v>1.8115673569568665E-2</v>
      </c>
      <c r="Q1448">
        <v>9.3419798555484954E-4</v>
      </c>
      <c r="R1448">
        <v>1.3656848959783547E-3</v>
      </c>
      <c r="S1448">
        <v>0.10827583475784176</v>
      </c>
      <c r="T1448">
        <v>0.99046221561565562</v>
      </c>
      <c r="U1448">
        <v>0</v>
      </c>
      <c r="V1448">
        <v>0.20830735920353816</v>
      </c>
      <c r="W1448">
        <v>8.719573001043561E-2</v>
      </c>
      <c r="X1448">
        <v>2.9972573639282775E-2</v>
      </c>
      <c r="Y1448">
        <v>3.716944088948116E-3</v>
      </c>
    </row>
    <row r="1449" spans="1:25" x14ac:dyDescent="0.25">
      <c r="A1449" s="1095"/>
      <c r="B1449" s="1454">
        <v>1199</v>
      </c>
      <c r="C1449" s="1099">
        <v>0.99692092844070079</v>
      </c>
      <c r="D1449" s="1099">
        <v>0.99951884251529399</v>
      </c>
      <c r="E1449" s="1099">
        <v>0.9757799106576871</v>
      </c>
      <c r="F1449" s="1099">
        <v>0.98071504403715493</v>
      </c>
      <c r="G1449" s="1099">
        <v>1.0014043212281685</v>
      </c>
      <c r="H1449" s="1099">
        <v>0.98686602318735051</v>
      </c>
      <c r="I1449" s="1099">
        <v>1.0042549278452697</v>
      </c>
      <c r="K1449">
        <v>1.7086992842907518</v>
      </c>
      <c r="L1449">
        <v>0</v>
      </c>
      <c r="M1449">
        <v>1.4289883836462432E-3</v>
      </c>
      <c r="N1449">
        <v>0.12216194176765392</v>
      </c>
      <c r="O1449">
        <v>0.12611159331186292</v>
      </c>
      <c r="P1449">
        <v>1.7787650542175033E-2</v>
      </c>
      <c r="Q1449">
        <v>8.7923977867269347E-4</v>
      </c>
      <c r="R1449">
        <v>1.4252467291631056E-3</v>
      </c>
      <c r="S1449">
        <v>0.10769313721302126</v>
      </c>
      <c r="T1449">
        <v>1.0118860640226637</v>
      </c>
      <c r="U1449">
        <v>0</v>
      </c>
      <c r="V1449">
        <v>0.20846737196916079</v>
      </c>
      <c r="W1449">
        <v>8.1426978606858325E-2</v>
      </c>
      <c r="X1449">
        <v>2.8409996968841025E-2</v>
      </c>
      <c r="Y1449">
        <v>3.8790517643239745E-3</v>
      </c>
    </row>
    <row r="1450" spans="1:25" x14ac:dyDescent="0.25">
      <c r="A1450" s="1095"/>
      <c r="B1450" s="1454">
        <v>1200</v>
      </c>
      <c r="C1450" s="1099">
        <v>0.99840897050424959</v>
      </c>
      <c r="D1450" s="1099">
        <v>0.9795524767886008</v>
      </c>
      <c r="E1450" s="1099">
        <v>0.97986002206159806</v>
      </c>
      <c r="F1450" s="1099">
        <v>0.96591623293306927</v>
      </c>
      <c r="G1450" s="1099">
        <v>1.0268258757492406</v>
      </c>
      <c r="H1450" s="1099">
        <v>0.99134788262656071</v>
      </c>
      <c r="I1450" s="1099">
        <v>0.99657209300756433</v>
      </c>
      <c r="K1450">
        <v>1.6978862046414813</v>
      </c>
      <c r="L1450">
        <v>0</v>
      </c>
      <c r="M1450">
        <v>1.4364308467332218E-3</v>
      </c>
      <c r="N1450">
        <v>0.12432606792715385</v>
      </c>
      <c r="O1450">
        <v>0.12581851431583163</v>
      </c>
      <c r="P1450">
        <v>1.7656696512914613E-2</v>
      </c>
      <c r="Q1450">
        <v>8.8884077724209957E-4</v>
      </c>
      <c r="R1450">
        <v>1.4326961232228029E-3</v>
      </c>
      <c r="S1450">
        <v>0.10828196445054952</v>
      </c>
      <c r="T1450">
        <v>0.99649712307076521</v>
      </c>
      <c r="U1450">
        <v>0</v>
      </c>
      <c r="V1450">
        <v>0.20940031417009758</v>
      </c>
      <c r="W1450">
        <v>8.266521188946753E-2</v>
      </c>
      <c r="X1450">
        <v>2.8455879691704235E-2</v>
      </c>
      <c r="Y1450">
        <v>3.8993265592623784E-3</v>
      </c>
    </row>
    <row r="1451" spans="1:25" x14ac:dyDescent="0.25">
      <c r="A1451" s="1095"/>
      <c r="B1451" s="1454">
        <v>1201</v>
      </c>
      <c r="C1451" s="1099">
        <v>1.0119710429222988</v>
      </c>
      <c r="D1451" s="1099">
        <v>1.0121912524161727</v>
      </c>
      <c r="E1451" s="1099">
        <v>0.97347159063910127</v>
      </c>
      <c r="F1451" s="1099">
        <v>1.0440922839051812</v>
      </c>
      <c r="G1451" s="1099">
        <v>1.0091137294420094</v>
      </c>
      <c r="H1451" s="1099">
        <v>0.98011166181154996</v>
      </c>
      <c r="I1451" s="1099">
        <v>1.0356117511076417</v>
      </c>
      <c r="K1451">
        <v>1.7770949052802427</v>
      </c>
      <c r="L1451">
        <v>0</v>
      </c>
      <c r="M1451">
        <v>1.4035241815214287E-3</v>
      </c>
      <c r="N1451">
        <v>0.11914878565989438</v>
      </c>
      <c r="O1451">
        <v>0.12951188987049753</v>
      </c>
      <c r="P1451">
        <v>1.8669582319824293E-2</v>
      </c>
      <c r="Q1451">
        <v>8.5972139709287587E-4</v>
      </c>
      <c r="R1451">
        <v>1.3998391702440664E-3</v>
      </c>
      <c r="S1451">
        <v>0.10852726061704855</v>
      </c>
      <c r="T1451">
        <v>1.0773511557045437</v>
      </c>
      <c r="U1451">
        <v>0</v>
      </c>
      <c r="V1451">
        <v>0.21048032636324879</v>
      </c>
      <c r="W1451">
        <v>7.9529806616859058E-2</v>
      </c>
      <c r="X1451">
        <v>2.9210160977963851E-2</v>
      </c>
      <c r="Y1451">
        <v>3.8099007645458973E-3</v>
      </c>
    </row>
    <row r="1452" spans="1:25" x14ac:dyDescent="0.25">
      <c r="A1452" s="1095"/>
      <c r="B1452" s="1454">
        <v>1202</v>
      </c>
      <c r="C1452" s="1099">
        <v>0.99936083355754224</v>
      </c>
      <c r="D1452" s="1099">
        <v>1.0258571618704315</v>
      </c>
      <c r="E1452" s="1099">
        <v>0.98310766364412205</v>
      </c>
      <c r="F1452" s="1099">
        <v>1.0265945189623686</v>
      </c>
      <c r="G1452" s="1099">
        <v>1.0074188790249858</v>
      </c>
      <c r="H1452" s="1099">
        <v>0.99728739522779686</v>
      </c>
      <c r="I1452" s="1099">
        <v>0.96279416451240529</v>
      </c>
      <c r="K1452">
        <v>1.7562196384911399</v>
      </c>
      <c r="L1452">
        <v>0</v>
      </c>
      <c r="M1452">
        <v>1.4030604628061368E-3</v>
      </c>
      <c r="N1452">
        <v>0.12263766447225651</v>
      </c>
      <c r="O1452">
        <v>0.12828807680285131</v>
      </c>
      <c r="P1452">
        <v>1.8472151743204726E-2</v>
      </c>
      <c r="Q1452">
        <v>8.7470845098490261E-4</v>
      </c>
      <c r="R1452">
        <v>1.3994221187300559E-3</v>
      </c>
      <c r="S1452">
        <v>0.10232488486544339</v>
      </c>
      <c r="T1452">
        <v>1.0589955305394549</v>
      </c>
      <c r="U1452">
        <v>0</v>
      </c>
      <c r="V1452">
        <v>0.21018132095940636</v>
      </c>
      <c r="W1452">
        <v>8.1383020484053853E-2</v>
      </c>
      <c r="X1452">
        <v>2.9257152829752421E-2</v>
      </c>
      <c r="Y1452">
        <v>3.8087656878057555E-3</v>
      </c>
    </row>
    <row r="1453" spans="1:25" x14ac:dyDescent="0.25">
      <c r="A1453" s="1095"/>
      <c r="B1453" s="1454">
        <v>1203</v>
      </c>
      <c r="C1453" s="1099">
        <v>1.0155786917514724</v>
      </c>
      <c r="D1453" s="1099">
        <v>1.0149744950503705</v>
      </c>
      <c r="E1453" s="1099">
        <v>1.0185310741525235</v>
      </c>
      <c r="F1453" s="1099">
        <v>0.95277935143663994</v>
      </c>
      <c r="G1453" s="1099">
        <v>1.0210978572524718</v>
      </c>
      <c r="H1453" s="1099">
        <v>0.99607058701054096</v>
      </c>
      <c r="I1453" s="1099">
        <v>1.0150844689685525</v>
      </c>
      <c r="K1453">
        <v>1.6743085776345292</v>
      </c>
      <c r="L1453">
        <v>0</v>
      </c>
      <c r="M1453">
        <v>1.2828631462893261E-3</v>
      </c>
      <c r="N1453">
        <v>0.12479557881418195</v>
      </c>
      <c r="O1453">
        <v>0.12252039372718952</v>
      </c>
      <c r="P1453">
        <v>1.79005627593989E-2</v>
      </c>
      <c r="Q1453">
        <v>8.9674419273058268E-4</v>
      </c>
      <c r="R1453">
        <v>1.2795223502233043E-3</v>
      </c>
      <c r="S1453">
        <v>0.10649052138443381</v>
      </c>
      <c r="T1453">
        <v>0.98184813768538703</v>
      </c>
      <c r="U1453">
        <v>0</v>
      </c>
      <c r="V1453">
        <v>0.20607713989926113</v>
      </c>
      <c r="W1453">
        <v>8.1090718918120544E-2</v>
      </c>
      <c r="X1453">
        <v>2.9209683007011711E-2</v>
      </c>
      <c r="Y1453">
        <v>3.482438042878443E-3</v>
      </c>
    </row>
    <row r="1454" spans="1:25" x14ac:dyDescent="0.25">
      <c r="A1454" s="1095"/>
      <c r="B1454" s="1454">
        <v>1204</v>
      </c>
      <c r="C1454" s="1099">
        <v>1.0060814279762185</v>
      </c>
      <c r="D1454" s="1099">
        <v>1.0073310123661641</v>
      </c>
      <c r="E1454" s="1099">
        <v>1.0253874306155097</v>
      </c>
      <c r="F1454" s="1099">
        <v>1.0296301259531286</v>
      </c>
      <c r="G1454" s="1099">
        <v>1.0161342597254945</v>
      </c>
      <c r="H1454" s="1099">
        <v>0.98284438018752318</v>
      </c>
      <c r="I1454" s="1099">
        <v>1.0006008700870928</v>
      </c>
      <c r="K1454">
        <v>1.7696015039181339</v>
      </c>
      <c r="L1454">
        <v>0</v>
      </c>
      <c r="M1454">
        <v>1.2727438837183437E-3</v>
      </c>
      <c r="N1454">
        <v>0.12639640057304238</v>
      </c>
      <c r="O1454">
        <v>0.12918027976175411</v>
      </c>
      <c r="P1454">
        <v>1.9147406470158664E-2</v>
      </c>
      <c r="Q1454">
        <v>9.1435251480878556E-4</v>
      </c>
      <c r="R1454">
        <v>1.2694092647668887E-3</v>
      </c>
      <c r="S1454">
        <v>0.10595641850205179</v>
      </c>
      <c r="T1454">
        <v>1.0608383282181564</v>
      </c>
      <c r="U1454">
        <v>0</v>
      </c>
      <c r="V1454">
        <v>0.21086371001696835</v>
      </c>
      <c r="W1454">
        <v>8.1802624328477846E-2</v>
      </c>
      <c r="X1454">
        <v>3.105040459362193E-2</v>
      </c>
      <c r="Y1454">
        <v>3.4549135580438052E-3</v>
      </c>
    </row>
    <row r="1455" spans="1:25" x14ac:dyDescent="0.25">
      <c r="A1455" s="1095"/>
      <c r="B1455" s="1454">
        <v>1205</v>
      </c>
      <c r="C1455" s="1099">
        <v>0.98546332342903054</v>
      </c>
      <c r="D1455" s="1099">
        <v>1.016970170303209</v>
      </c>
      <c r="E1455" s="1099">
        <v>0.9979329194130514</v>
      </c>
      <c r="F1455" s="1099">
        <v>0.98996535206175984</v>
      </c>
      <c r="G1455" s="1099">
        <v>0.99218138364507713</v>
      </c>
      <c r="H1455" s="1099">
        <v>1.0278916906769213</v>
      </c>
      <c r="I1455" s="1099">
        <v>0.97005426284417173</v>
      </c>
      <c r="K1455">
        <v>1.7315618448327701</v>
      </c>
      <c r="L1455">
        <v>0</v>
      </c>
      <c r="M1455">
        <v>1.4234551141586479E-3</v>
      </c>
      <c r="N1455">
        <v>0.13013310386506652</v>
      </c>
      <c r="O1455">
        <v>0.1267075193592799</v>
      </c>
      <c r="P1455">
        <v>1.8205866718417299E-2</v>
      </c>
      <c r="Q1455">
        <v>9.0399497961119878E-4</v>
      </c>
      <c r="R1455">
        <v>1.4198645605616226E-3</v>
      </c>
      <c r="S1455">
        <v>0.106932285342901</v>
      </c>
      <c r="T1455">
        <v>1.0207698526199782</v>
      </c>
      <c r="U1455">
        <v>0</v>
      </c>
      <c r="V1455">
        <v>0.20902857638357786</v>
      </c>
      <c r="W1455">
        <v>8.5593781145943765E-2</v>
      </c>
      <c r="X1455">
        <v>2.9426051695967532E-2</v>
      </c>
      <c r="Y1455">
        <v>3.8644032756221408E-3</v>
      </c>
    </row>
    <row r="1456" spans="1:25" x14ac:dyDescent="0.25">
      <c r="A1456" s="1095"/>
      <c r="B1456" s="1454">
        <v>1206</v>
      </c>
      <c r="C1456" s="1099">
        <v>0.99184086129459126</v>
      </c>
      <c r="D1456" s="1099">
        <v>0.96248407842904693</v>
      </c>
      <c r="E1456" s="1099">
        <v>0.98240771168236385</v>
      </c>
      <c r="F1456" s="1099">
        <v>1.0257677933483977</v>
      </c>
      <c r="G1456" s="1099">
        <v>1.0259271418173206</v>
      </c>
      <c r="H1456" s="1099">
        <v>0.98889595693853605</v>
      </c>
      <c r="I1456" s="1099">
        <v>0.9619145229929541</v>
      </c>
      <c r="K1456">
        <v>1.7745830472396111</v>
      </c>
      <c r="L1456">
        <v>0</v>
      </c>
      <c r="M1456">
        <v>1.4566959351209206E-3</v>
      </c>
      <c r="N1456">
        <v>0.12705747300323297</v>
      </c>
      <c r="O1456">
        <v>0.13159794729794488</v>
      </c>
      <c r="P1456">
        <v>1.8554042150889485E-2</v>
      </c>
      <c r="Q1456">
        <v>9.0344745456650633E-4</v>
      </c>
      <c r="R1456">
        <v>1.4529298486689387E-3</v>
      </c>
      <c r="S1456">
        <v>0.10652198653405166</v>
      </c>
      <c r="T1456">
        <v>1.0581644250241962</v>
      </c>
      <c r="U1456">
        <v>0</v>
      </c>
      <c r="V1456">
        <v>0.21362260722614779</v>
      </c>
      <c r="W1456">
        <v>8.435159509681367E-2</v>
      </c>
      <c r="X1456">
        <v>2.9858893448338846E-2</v>
      </c>
      <c r="Y1456">
        <v>3.9543960898809584E-3</v>
      </c>
    </row>
    <row r="1457" spans="1:25" x14ac:dyDescent="0.25">
      <c r="A1457" s="1095"/>
      <c r="B1457" s="1454">
        <v>1207</v>
      </c>
      <c r="C1457" s="1099">
        <v>1.004131427686431</v>
      </c>
      <c r="D1457" s="1099">
        <v>1.0258172578040505</v>
      </c>
      <c r="E1457" s="1099">
        <v>0.9751954010588475</v>
      </c>
      <c r="F1457" s="1099">
        <v>1.0366468395443338</v>
      </c>
      <c r="G1457" s="1099">
        <v>0.97097970928026223</v>
      </c>
      <c r="H1457" s="1099">
        <v>0.99138037923231392</v>
      </c>
      <c r="I1457" s="1099">
        <v>0.98130947025189896</v>
      </c>
      <c r="K1457">
        <v>1.7635478844177861</v>
      </c>
      <c r="L1457">
        <v>0</v>
      </c>
      <c r="M1457">
        <v>1.4126926047266645E-3</v>
      </c>
      <c r="N1457">
        <v>0.12055692923872738</v>
      </c>
      <c r="O1457">
        <v>0.12874807416077069</v>
      </c>
      <c r="P1457">
        <v>1.8496383539332945E-2</v>
      </c>
      <c r="Q1457">
        <v>8.633744889581759E-4</v>
      </c>
      <c r="R1457">
        <v>1.4090117662976141E-3</v>
      </c>
      <c r="S1457">
        <v>0.10346618794947908</v>
      </c>
      <c r="T1457">
        <v>1.0696140501780433</v>
      </c>
      <c r="U1457">
        <v>0</v>
      </c>
      <c r="V1457">
        <v>0.20850694069108128</v>
      </c>
      <c r="W1457">
        <v>8.0385626349242623E-2</v>
      </c>
      <c r="X1457">
        <v>2.9079133113319243E-2</v>
      </c>
      <c r="Y1457">
        <v>3.8348655472581765E-3</v>
      </c>
    </row>
    <row r="1458" spans="1:25" x14ac:dyDescent="0.25">
      <c r="A1458" s="1095"/>
      <c r="B1458" s="1454">
        <v>1208</v>
      </c>
      <c r="C1458" s="1099">
        <v>0.99886726562235406</v>
      </c>
      <c r="D1458" s="1099">
        <v>1.0159148366848518</v>
      </c>
      <c r="E1458" s="1099">
        <v>1.0082283333305353</v>
      </c>
      <c r="F1458" s="1099">
        <v>1.0047290986897353</v>
      </c>
      <c r="G1458" s="1099">
        <v>0.98313925606023522</v>
      </c>
      <c r="H1458" s="1099">
        <v>0.97475769668082557</v>
      </c>
      <c r="I1458" s="1099">
        <v>1.0341003956589607</v>
      </c>
      <c r="K1458">
        <v>1.7369459615955367</v>
      </c>
      <c r="L1458">
        <v>0</v>
      </c>
      <c r="M1458">
        <v>1.3075237422287395E-3</v>
      </c>
      <c r="N1458">
        <v>0.1232940855675882</v>
      </c>
      <c r="O1458">
        <v>0.12722397103621974</v>
      </c>
      <c r="P1458">
        <v>1.8567547995586471E-2</v>
      </c>
      <c r="Q1458">
        <v>9.0179387563426487E-4</v>
      </c>
      <c r="R1458">
        <v>1.3040548139494667E-3</v>
      </c>
      <c r="S1458">
        <v>0.10891968731936041</v>
      </c>
      <c r="T1458">
        <v>1.0356864481078978</v>
      </c>
      <c r="U1458">
        <v>0</v>
      </c>
      <c r="V1458">
        <v>0.20828046841311673</v>
      </c>
      <c r="W1458">
        <v>8.0601968906076779E-2</v>
      </c>
      <c r="X1458">
        <v>2.9924251980316566E-2</v>
      </c>
      <c r="Y1458">
        <v>3.5492073220165627E-3</v>
      </c>
    </row>
    <row r="1459" spans="1:25" x14ac:dyDescent="0.25">
      <c r="A1459" s="1095"/>
      <c r="B1459" s="1454">
        <v>1209</v>
      </c>
      <c r="C1459" s="1099">
        <v>0.99683176657154238</v>
      </c>
      <c r="D1459" s="1099">
        <v>1.0025912704173292</v>
      </c>
      <c r="E1459" s="1099">
        <v>0.99757247337107957</v>
      </c>
      <c r="F1459" s="1099">
        <v>0.9720966694742762</v>
      </c>
      <c r="G1459" s="1099">
        <v>0.98833764782933542</v>
      </c>
      <c r="H1459" s="1099">
        <v>1.0339135729055864</v>
      </c>
      <c r="I1459" s="1099">
        <v>1.0107817187868118</v>
      </c>
      <c r="K1459">
        <v>1.7146162469176909</v>
      </c>
      <c r="L1459">
        <v>0</v>
      </c>
      <c r="M1459">
        <v>1.4275072413689604E-3</v>
      </c>
      <c r="N1459">
        <v>0.13036407323402149</v>
      </c>
      <c r="O1459">
        <v>0.1254012055828197</v>
      </c>
      <c r="P1459">
        <v>1.798974313615909E-2</v>
      </c>
      <c r="Q1459">
        <v>8.9845398084801849E-4</v>
      </c>
      <c r="R1459">
        <v>1.423934691282912E-3</v>
      </c>
      <c r="S1459">
        <v>0.11149974829871769</v>
      </c>
      <c r="T1459">
        <v>1.0023555941848159</v>
      </c>
      <c r="U1459">
        <v>0</v>
      </c>
      <c r="V1459">
        <v>0.20735901125340156</v>
      </c>
      <c r="W1459">
        <v>8.5764102848519444E-2</v>
      </c>
      <c r="X1459">
        <v>2.9112406118746118E-2</v>
      </c>
      <c r="Y1459">
        <v>3.8754808297272584E-3</v>
      </c>
    </row>
    <row r="1460" spans="1:25" x14ac:dyDescent="0.25">
      <c r="A1460" s="1095"/>
      <c r="B1460" s="1454">
        <v>1210</v>
      </c>
      <c r="C1460" s="1099">
        <v>1.0330912005606709</v>
      </c>
      <c r="D1460" s="1099">
        <v>1.0037877592813893</v>
      </c>
      <c r="E1460" s="1099">
        <v>0.98623528064775157</v>
      </c>
      <c r="F1460" s="1099">
        <v>1.0383903524347038</v>
      </c>
      <c r="G1460" s="1099">
        <v>0.98816437472002616</v>
      </c>
      <c r="H1460" s="1099">
        <v>1.0114050720334558</v>
      </c>
      <c r="I1460" s="1099">
        <v>1.011304362424323</v>
      </c>
      <c r="K1460">
        <v>1.7705783565069149</v>
      </c>
      <c r="L1460">
        <v>0</v>
      </c>
      <c r="M1460">
        <v>1.3902491086982566E-3</v>
      </c>
      <c r="N1460">
        <v>0.12267973090836033</v>
      </c>
      <c r="O1460">
        <v>0.12844737086511449</v>
      </c>
      <c r="P1460">
        <v>1.8703569083622616E-2</v>
      </c>
      <c r="Q1460">
        <v>8.5633728954297769E-4</v>
      </c>
      <c r="R1460">
        <v>1.386721709157447E-3</v>
      </c>
      <c r="S1460">
        <v>0.10659956330173098</v>
      </c>
      <c r="T1460">
        <v>1.0710656313443545</v>
      </c>
      <c r="U1460">
        <v>0</v>
      </c>
      <c r="V1460">
        <v>0.20773807557912954</v>
      </c>
      <c r="W1460">
        <v>8.1257901096153343E-2</v>
      </c>
      <c r="X1460">
        <v>2.9459505078808911E-2</v>
      </c>
      <c r="Y1460">
        <v>3.7741993596380041E-3</v>
      </c>
    </row>
    <row r="1461" spans="1:25" x14ac:dyDescent="0.25">
      <c r="A1461" s="1095"/>
      <c r="B1461" s="1454">
        <v>1211</v>
      </c>
      <c r="C1461" s="1099">
        <v>0.98888175365663711</v>
      </c>
      <c r="D1461" s="1099">
        <v>1.0377286916289035</v>
      </c>
      <c r="E1461" s="1099">
        <v>0.99963779482801463</v>
      </c>
      <c r="F1461" s="1099">
        <v>1.034640421647286</v>
      </c>
      <c r="G1461" s="1099">
        <v>0.96420209651087696</v>
      </c>
      <c r="H1461" s="1099">
        <v>0.97481351363138824</v>
      </c>
      <c r="I1461" s="1099">
        <v>0.98069971700255654</v>
      </c>
      <c r="K1461">
        <v>1.7637337388246808</v>
      </c>
      <c r="L1461">
        <v>0</v>
      </c>
      <c r="M1461">
        <v>1.3299704318740725E-3</v>
      </c>
      <c r="N1461">
        <v>0.12219784654574435</v>
      </c>
      <c r="O1461">
        <v>0.12896223783310659</v>
      </c>
      <c r="P1461">
        <v>1.8804698789465814E-2</v>
      </c>
      <c r="Q1461">
        <v>8.9519993585053807E-4</v>
      </c>
      <c r="R1461">
        <v>1.3264336220532519E-3</v>
      </c>
      <c r="S1461">
        <v>0.10307228403028655</v>
      </c>
      <c r="T1461">
        <v>1.0667825649185352</v>
      </c>
      <c r="U1461">
        <v>0</v>
      </c>
      <c r="V1461">
        <v>0.20909502947365424</v>
      </c>
      <c r="W1461">
        <v>8.029296395094665E-2</v>
      </c>
      <c r="X1461">
        <v>3.0024335096406871E-2</v>
      </c>
      <c r="Y1461">
        <v>3.6101150605029587E-3</v>
      </c>
    </row>
    <row r="1462" spans="1:25" x14ac:dyDescent="0.25">
      <c r="A1462" s="1095"/>
      <c r="B1462" s="1454">
        <v>1212</v>
      </c>
      <c r="C1462" s="1099">
        <v>0.97942680993464037</v>
      </c>
      <c r="D1462" s="1099">
        <v>1.0028682286188229</v>
      </c>
      <c r="E1462" s="1099">
        <v>1.0003445576520513</v>
      </c>
      <c r="F1462" s="1099">
        <v>1.0159216609325348</v>
      </c>
      <c r="G1462" s="1099">
        <v>0.95735897858037511</v>
      </c>
      <c r="H1462" s="1099">
        <v>1.0254856250503581</v>
      </c>
      <c r="I1462" s="1099">
        <v>0.97619359064431888</v>
      </c>
      <c r="K1462">
        <v>1.7686804181070386</v>
      </c>
      <c r="L1462">
        <v>0</v>
      </c>
      <c r="M1462">
        <v>1.4359594455235496E-3</v>
      </c>
      <c r="N1462">
        <v>0.13223697444238136</v>
      </c>
      <c r="O1462">
        <v>0.1296592704650153</v>
      </c>
      <c r="P1462">
        <v>1.8641949465910013E-2</v>
      </c>
      <c r="Q1462">
        <v>9.1695208095744849E-4</v>
      </c>
      <c r="R1462">
        <v>1.4323446530374211E-3</v>
      </c>
      <c r="S1462">
        <v>0.10916964145642116</v>
      </c>
      <c r="T1462">
        <v>1.0474609425229888</v>
      </c>
      <c r="U1462">
        <v>0</v>
      </c>
      <c r="V1462">
        <v>0.20965878742988117</v>
      </c>
      <c r="W1462">
        <v>8.6852917175835723E-2</v>
      </c>
      <c r="X1462">
        <v>3.0188227886851039E-2</v>
      </c>
      <c r="Y1462">
        <v>3.8983699732798856E-3</v>
      </c>
    </row>
    <row r="1463" spans="1:25" x14ac:dyDescent="0.25">
      <c r="A1463" s="1095"/>
      <c r="B1463" s="1454">
        <v>1213</v>
      </c>
      <c r="C1463" s="1099">
        <v>1.0302699095854078</v>
      </c>
      <c r="D1463" s="1099">
        <v>1.0224807404203842</v>
      </c>
      <c r="E1463" s="1099">
        <v>1.0292944128295596</v>
      </c>
      <c r="F1463" s="1099">
        <v>1.0034090175790011</v>
      </c>
      <c r="G1463" s="1099">
        <v>0.96180940370755763</v>
      </c>
      <c r="H1463" s="1099">
        <v>1.0171118347031696</v>
      </c>
      <c r="I1463" s="1099">
        <v>0.95475685681057276</v>
      </c>
      <c r="K1463">
        <v>1.7258995950564184</v>
      </c>
      <c r="L1463">
        <v>0</v>
      </c>
      <c r="M1463">
        <v>1.2642097745778566E-3</v>
      </c>
      <c r="N1463">
        <v>0.12704684203283195</v>
      </c>
      <c r="O1463">
        <v>0.12533080757014406</v>
      </c>
      <c r="P1463">
        <v>1.8651764768027122E-2</v>
      </c>
      <c r="Q1463">
        <v>8.9112062112712046E-4</v>
      </c>
      <c r="R1463">
        <v>1.2609990663590555E-3</v>
      </c>
      <c r="S1463">
        <v>0.10000492029511614</v>
      </c>
      <c r="T1463">
        <v>1.0337090929570354</v>
      </c>
      <c r="U1463">
        <v>0</v>
      </c>
      <c r="V1463">
        <v>0.2044727431207361</v>
      </c>
      <c r="W1463">
        <v>8.2036931215853162E-2</v>
      </c>
      <c r="X1463">
        <v>3.0326559413365949E-2</v>
      </c>
      <c r="Y1463">
        <v>3.4320237703988426E-3</v>
      </c>
    </row>
    <row r="1464" spans="1:25" x14ac:dyDescent="0.25">
      <c r="A1464" s="1095"/>
      <c r="B1464" s="1454">
        <v>1214</v>
      </c>
      <c r="C1464" s="1099">
        <v>0.99358788402782838</v>
      </c>
      <c r="D1464" s="1099">
        <v>0.98315681108543973</v>
      </c>
      <c r="E1464" s="1099">
        <v>1.016437847234491</v>
      </c>
      <c r="F1464" s="1099">
        <v>0.98238402625592613</v>
      </c>
      <c r="G1464" s="1099">
        <v>0.99499948368687785</v>
      </c>
      <c r="H1464" s="1099">
        <v>0.99313359384940059</v>
      </c>
      <c r="I1464" s="1099">
        <v>0.99576743555285074</v>
      </c>
      <c r="K1464">
        <v>1.7243885882369092</v>
      </c>
      <c r="L1464">
        <v>0</v>
      </c>
      <c r="M1464">
        <v>1.3389747940822851E-3</v>
      </c>
      <c r="N1464">
        <v>0.12943526179644757</v>
      </c>
      <c r="O1464">
        <v>0.12732255342007068</v>
      </c>
      <c r="P1464">
        <v>1.8368457916439925E-2</v>
      </c>
      <c r="Q1464">
        <v>9.2634973951152301E-4</v>
      </c>
      <c r="R1464">
        <v>1.3355011848737548E-3</v>
      </c>
      <c r="S1464">
        <v>0.10874106687421635</v>
      </c>
      <c r="T1464">
        <v>1.0124160971451459</v>
      </c>
      <c r="U1464">
        <v>0</v>
      </c>
      <c r="V1464">
        <v>0.20913796669899043</v>
      </c>
      <c r="W1464">
        <v>8.4208798158056597E-2</v>
      </c>
      <c r="X1464">
        <v>3.0200716119860051E-2</v>
      </c>
      <c r="Y1464">
        <v>3.6347939773790873E-3</v>
      </c>
    </row>
    <row r="1465" spans="1:25" x14ac:dyDescent="0.25">
      <c r="A1465" s="1095"/>
      <c r="B1465" s="1454">
        <v>1215</v>
      </c>
      <c r="C1465" s="1099">
        <v>1.0039781732739774</v>
      </c>
      <c r="D1465" s="1099">
        <v>1.0122890526532256</v>
      </c>
      <c r="E1465" s="1099">
        <v>1.0033309356255395</v>
      </c>
      <c r="F1465" s="1099">
        <v>0.99679166101352223</v>
      </c>
      <c r="G1465" s="1099">
        <v>1.0048016782105624</v>
      </c>
      <c r="H1465" s="1099">
        <v>0.97484134422710511</v>
      </c>
      <c r="I1465" s="1099">
        <v>1.0078806163293186</v>
      </c>
      <c r="K1465">
        <v>1.7234873883870916</v>
      </c>
      <c r="L1465">
        <v>0</v>
      </c>
      <c r="M1465">
        <v>1.3167055407444297E-3</v>
      </c>
      <c r="N1465">
        <v>0.12233726578500156</v>
      </c>
      <c r="O1465">
        <v>0.1265064349544191</v>
      </c>
      <c r="P1465">
        <v>1.8352125807278487E-2</v>
      </c>
      <c r="Q1465">
        <v>8.939505102910732E-4</v>
      </c>
      <c r="R1465">
        <v>1.3132140109987627E-3</v>
      </c>
      <c r="S1465">
        <v>0.10583126132967011</v>
      </c>
      <c r="T1465">
        <v>1.027648723602536</v>
      </c>
      <c r="U1465">
        <v>0</v>
      </c>
      <c r="V1465">
        <v>0.20857932077869529</v>
      </c>
      <c r="W1465">
        <v>8.0208528045977473E-2</v>
      </c>
      <c r="X1465">
        <v>2.9559133465911547E-2</v>
      </c>
      <c r="Y1465">
        <v>3.5741356370562519E-3</v>
      </c>
    </row>
    <row r="1466" spans="1:25" x14ac:dyDescent="0.25">
      <c r="A1466" s="1095"/>
      <c r="B1466" s="1454">
        <v>1216</v>
      </c>
      <c r="C1466" s="1099">
        <v>0.98079831729863542</v>
      </c>
      <c r="D1466" s="1099">
        <v>1.0247836680086841</v>
      </c>
      <c r="E1466" s="1099">
        <v>1.0290849918619049</v>
      </c>
      <c r="F1466" s="1099">
        <v>1.0026371724783452</v>
      </c>
      <c r="G1466" s="1099">
        <v>0.99590980945611174</v>
      </c>
      <c r="H1466" s="1099">
        <v>1.013939823024538</v>
      </c>
      <c r="I1466" s="1099">
        <v>1.0191905508065375</v>
      </c>
      <c r="K1466">
        <v>1.7542376661311618</v>
      </c>
      <c r="L1466">
        <v>0</v>
      </c>
      <c r="M1466">
        <v>1.3173580554434177E-3</v>
      </c>
      <c r="N1466">
        <v>0.13230186688180212</v>
      </c>
      <c r="O1466">
        <v>0.12769602680963835</v>
      </c>
      <c r="P1466">
        <v>1.8876694260207501E-2</v>
      </c>
      <c r="Q1466">
        <v>9.3502694290424225E-4</v>
      </c>
      <c r="R1466">
        <v>1.313986961792636E-3</v>
      </c>
      <c r="S1466">
        <v>0.11146316170507352</v>
      </c>
      <c r="T1466">
        <v>1.0329200006317525</v>
      </c>
      <c r="U1466">
        <v>0</v>
      </c>
      <c r="V1466">
        <v>0.21014018050545252</v>
      </c>
      <c r="W1466">
        <v>8.5440608426581161E-2</v>
      </c>
      <c r="X1466">
        <v>3.0891231707084577E-2</v>
      </c>
      <c r="Y1466">
        <v>3.5762393543140132E-3</v>
      </c>
    </row>
    <row r="1467" spans="1:25" x14ac:dyDescent="0.25">
      <c r="A1467" s="1095"/>
      <c r="B1467" s="1454">
        <v>1217</v>
      </c>
      <c r="C1467" s="1099">
        <v>1.0208856367979444</v>
      </c>
      <c r="D1467" s="1099">
        <v>1.0154813059348731</v>
      </c>
      <c r="E1467" s="1099">
        <v>1.0209124858089165</v>
      </c>
      <c r="F1467" s="1099">
        <v>1.0151821330075439</v>
      </c>
      <c r="G1467" s="1099">
        <v>1.0193369995052177</v>
      </c>
      <c r="H1467" s="1099">
        <v>1.0226374281393642</v>
      </c>
      <c r="I1467" s="1099">
        <v>0.97456226792775358</v>
      </c>
      <c r="K1467">
        <v>1.7511685678708302</v>
      </c>
      <c r="L1467">
        <v>0</v>
      </c>
      <c r="M1467">
        <v>1.3109885685174667E-3</v>
      </c>
      <c r="N1467">
        <v>0.12846170083724925</v>
      </c>
      <c r="O1467">
        <v>0.12695342056039227</v>
      </c>
      <c r="P1467">
        <v>1.8822350725899668E-2</v>
      </c>
      <c r="Q1467">
        <v>8.9408633895928869E-4</v>
      </c>
      <c r="R1467">
        <v>1.3076822253380209E-3</v>
      </c>
      <c r="S1467">
        <v>0.1038259632854613</v>
      </c>
      <c r="T1467">
        <v>1.0460843424022492</v>
      </c>
      <c r="U1467">
        <v>0</v>
      </c>
      <c r="V1467">
        <v>0.20879616376415441</v>
      </c>
      <c r="W1467">
        <v>8.335667918128857E-2</v>
      </c>
      <c r="X1467">
        <v>3.0418087178315158E-2</v>
      </c>
      <c r="Y1467">
        <v>3.5590799400403647E-3</v>
      </c>
    </row>
    <row r="1468" spans="1:25" x14ac:dyDescent="0.25">
      <c r="A1468" s="1095"/>
      <c r="B1468" s="1454">
        <v>1218</v>
      </c>
      <c r="C1468" s="1099">
        <v>0.98363584088155465</v>
      </c>
      <c r="D1468" s="1099">
        <v>1.0098946319709374</v>
      </c>
      <c r="E1468" s="1099">
        <v>1.0114514155387693</v>
      </c>
      <c r="F1468" s="1099">
        <v>1.0069868054562916</v>
      </c>
      <c r="G1468" s="1099">
        <v>1.0080863769874753</v>
      </c>
      <c r="H1468" s="1099">
        <v>1.006197943227467</v>
      </c>
      <c r="I1468" s="1099">
        <v>1.007839794226977</v>
      </c>
      <c r="K1468">
        <v>1.7562958851740449</v>
      </c>
      <c r="L1468">
        <v>0</v>
      </c>
      <c r="M1468">
        <v>1.3647628760407669E-3</v>
      </c>
      <c r="N1468">
        <v>0.12996067528813221</v>
      </c>
      <c r="O1468">
        <v>0.1284773683125647</v>
      </c>
      <c r="P1468">
        <v>1.8701181270374574E-2</v>
      </c>
      <c r="Q1468">
        <v>9.2099425321338631E-4</v>
      </c>
      <c r="R1468">
        <v>1.3612554114020067E-3</v>
      </c>
      <c r="S1468">
        <v>0.11036218577069554</v>
      </c>
      <c r="T1468">
        <v>1.0379181857552926</v>
      </c>
      <c r="U1468">
        <v>0</v>
      </c>
      <c r="V1468">
        <v>0.2110980954569707</v>
      </c>
      <c r="W1468">
        <v>8.4798828513911712E-2</v>
      </c>
      <c r="X1468">
        <v>3.0356989525416069E-2</v>
      </c>
      <c r="Y1468">
        <v>3.7048884921104946E-3</v>
      </c>
    </row>
    <row r="1469" spans="1:25" x14ac:dyDescent="0.25">
      <c r="A1469" s="1095"/>
      <c r="B1469" s="1454">
        <v>1219</v>
      </c>
      <c r="C1469" s="1099">
        <v>0.99584218213778875</v>
      </c>
      <c r="D1469" s="1099">
        <v>1.0013983461521003</v>
      </c>
      <c r="E1469" s="1099">
        <v>0.98809003127681039</v>
      </c>
      <c r="F1469" s="1099">
        <v>0.9905235314192955</v>
      </c>
      <c r="G1469" s="1099">
        <v>0.97593987410159944</v>
      </c>
      <c r="H1469" s="1099">
        <v>1.0145120008200883</v>
      </c>
      <c r="I1469" s="1099">
        <v>0.95256189724042595</v>
      </c>
      <c r="K1469">
        <v>1.7235615794867543</v>
      </c>
      <c r="L1469">
        <v>0</v>
      </c>
      <c r="M1469">
        <v>1.4331709020914494E-3</v>
      </c>
      <c r="N1469">
        <v>0.12717750086126384</v>
      </c>
      <c r="O1469">
        <v>0.12687555136051124</v>
      </c>
      <c r="P1469">
        <v>1.8028295151287833E-2</v>
      </c>
      <c r="Q1469">
        <v>8.9093886902529636E-4</v>
      </c>
      <c r="R1469">
        <v>1.4295221085177496E-3</v>
      </c>
      <c r="S1469">
        <v>0.10405689040409327</v>
      </c>
      <c r="T1469">
        <v>1.021637256839464</v>
      </c>
      <c r="U1469">
        <v>0</v>
      </c>
      <c r="V1469">
        <v>0.20781724797089721</v>
      </c>
      <c r="W1469">
        <v>8.4143280346450022E-2</v>
      </c>
      <c r="X1469">
        <v>2.9047578539785329E-2</v>
      </c>
      <c r="Y1469">
        <v>3.8906879375488904E-3</v>
      </c>
    </row>
    <row r="1470" spans="1:25" x14ac:dyDescent="0.25">
      <c r="A1470" s="1095"/>
      <c r="B1470" s="1454">
        <v>1220</v>
      </c>
      <c r="C1470" s="1099">
        <v>1.012079101305571</v>
      </c>
      <c r="D1470" s="1099">
        <v>1.0000974453712621</v>
      </c>
      <c r="E1470" s="1099">
        <v>1.0115961902450907</v>
      </c>
      <c r="F1470" s="1099">
        <v>0.97570949590833933</v>
      </c>
      <c r="G1470" s="1099">
        <v>1.0001688012368806</v>
      </c>
      <c r="H1470" s="1099">
        <v>0.99182727902906509</v>
      </c>
      <c r="I1470" s="1099">
        <v>1.0134179510567252</v>
      </c>
      <c r="K1470">
        <v>1.7042084615881068</v>
      </c>
      <c r="L1470">
        <v>0</v>
      </c>
      <c r="M1470">
        <v>1.3140968357323122E-3</v>
      </c>
      <c r="N1470">
        <v>0.12518646343936074</v>
      </c>
      <c r="O1470">
        <v>0.12507393363440714</v>
      </c>
      <c r="P1470">
        <v>1.8162974925703793E-2</v>
      </c>
      <c r="Q1470">
        <v>8.9874212275771167E-4</v>
      </c>
      <c r="R1470">
        <v>1.3106756548691373E-3</v>
      </c>
      <c r="S1470">
        <v>0.10747482503526028</v>
      </c>
      <c r="T1470">
        <v>1.0056759875309007</v>
      </c>
      <c r="U1470">
        <v>0</v>
      </c>
      <c r="V1470">
        <v>0.20696341657246836</v>
      </c>
      <c r="W1470">
        <v>8.167670940771099E-2</v>
      </c>
      <c r="X1470">
        <v>2.9531603031961499E-2</v>
      </c>
      <c r="Y1470">
        <v>3.5672270684402835E-3</v>
      </c>
    </row>
    <row r="1471" spans="1:25" x14ac:dyDescent="0.25">
      <c r="A1471" s="1095"/>
      <c r="B1471" s="1454">
        <v>1221</v>
      </c>
      <c r="C1471" s="1099">
        <v>1.0001413371176466</v>
      </c>
      <c r="D1471" s="1099">
        <v>0.99444566951037172</v>
      </c>
      <c r="E1471" s="1099">
        <v>0.95323158914146666</v>
      </c>
      <c r="F1471" s="1099">
        <v>0.99470147816750853</v>
      </c>
      <c r="G1471" s="1099">
        <v>0.97579586197710466</v>
      </c>
      <c r="H1471" s="1099">
        <v>1.0372226437238012</v>
      </c>
      <c r="I1471" s="1099">
        <v>1.0332880029854847</v>
      </c>
      <c r="K1471">
        <v>1.7379947633334505</v>
      </c>
      <c r="L1471">
        <v>0</v>
      </c>
      <c r="M1471">
        <v>1.5754158263506515E-3</v>
      </c>
      <c r="N1471">
        <v>0.12580489079195037</v>
      </c>
      <c r="O1471">
        <v>0.12715288105935965</v>
      </c>
      <c r="P1471">
        <v>1.7760972881047273E-2</v>
      </c>
      <c r="Q1471">
        <v>8.5751702758596587E-4</v>
      </c>
      <c r="R1471">
        <v>1.5715007041030423E-3</v>
      </c>
      <c r="S1471">
        <v>0.11450760798214989</v>
      </c>
      <c r="T1471">
        <v>1.0270075961868423</v>
      </c>
      <c r="U1471">
        <v>0</v>
      </c>
      <c r="V1471">
        <v>0.20777657821279705</v>
      </c>
      <c r="W1471">
        <v>8.5019041489166197E-2</v>
      </c>
      <c r="X1471">
        <v>2.7834485953298415E-2</v>
      </c>
      <c r="Y1471">
        <v>4.277106871500601E-3</v>
      </c>
    </row>
    <row r="1472" spans="1:25" x14ac:dyDescent="0.25">
      <c r="A1472" s="1095"/>
      <c r="B1472" s="1454">
        <v>1222</v>
      </c>
      <c r="C1472" s="1099">
        <v>1.0262730044778472</v>
      </c>
      <c r="D1472" s="1099">
        <v>0.99586009107274887</v>
      </c>
      <c r="E1472" s="1099">
        <v>0.99400814730026477</v>
      </c>
      <c r="F1472" s="1099">
        <v>1.0165181809100747</v>
      </c>
      <c r="G1472" s="1099">
        <v>1.0223769265234917</v>
      </c>
      <c r="H1472" s="1099">
        <v>1.0093415753446231</v>
      </c>
      <c r="I1472" s="1099">
        <v>0.99003415160416774</v>
      </c>
      <c r="K1472">
        <v>1.7493344052787565</v>
      </c>
      <c r="L1472">
        <v>0</v>
      </c>
      <c r="M1472">
        <v>1.3776759370613158E-3</v>
      </c>
      <c r="N1472">
        <v>0.12446015826636476</v>
      </c>
      <c r="O1472">
        <v>0.1275686591804589</v>
      </c>
      <c r="P1472">
        <v>1.8504158231245307E-2</v>
      </c>
      <c r="Q1472">
        <v>8.7179925210290141E-4</v>
      </c>
      <c r="R1472">
        <v>1.3741707081831116E-3</v>
      </c>
      <c r="S1472">
        <v>0.10528631902987877</v>
      </c>
      <c r="T1472">
        <v>1.0482679964469273</v>
      </c>
      <c r="U1472">
        <v>0</v>
      </c>
      <c r="V1472">
        <v>0.2090804644060015</v>
      </c>
      <c r="W1472">
        <v>8.2054247620325108E-2</v>
      </c>
      <c r="X1472">
        <v>2.9504068401907151E-2</v>
      </c>
      <c r="Y1472">
        <v>3.7400396724222235E-3</v>
      </c>
    </row>
    <row r="1473" spans="1:25" x14ac:dyDescent="0.25">
      <c r="A1473" s="1095"/>
      <c r="B1473" s="1454">
        <v>1223</v>
      </c>
      <c r="C1473" s="1099">
        <v>1.0078308944849068</v>
      </c>
      <c r="D1473" s="1099">
        <v>0.99430331172006348</v>
      </c>
      <c r="E1473" s="1099">
        <v>1.0321181878448309</v>
      </c>
      <c r="F1473" s="1099">
        <v>1.0136607838345275</v>
      </c>
      <c r="G1473" s="1099">
        <v>0.9845512198636045</v>
      </c>
      <c r="H1473" s="1099">
        <v>0.95641142980674054</v>
      </c>
      <c r="I1473" s="1099">
        <v>1.0393625552332622</v>
      </c>
      <c r="K1473">
        <v>1.7491267707154547</v>
      </c>
      <c r="L1473">
        <v>0</v>
      </c>
      <c r="M1473">
        <v>1.2271132886347721E-3</v>
      </c>
      <c r="N1473">
        <v>0.12435439565241831</v>
      </c>
      <c r="O1473">
        <v>0.1285187921812885</v>
      </c>
      <c r="P1473">
        <v>1.9018959502455822E-2</v>
      </c>
      <c r="Q1473">
        <v>9.2385812676460159E-4</v>
      </c>
      <c r="R1473">
        <v>1.2238136758542047E-3</v>
      </c>
      <c r="S1473">
        <v>0.10877184209371499</v>
      </c>
      <c r="T1473">
        <v>1.0441879474715607</v>
      </c>
      <c r="U1473">
        <v>0</v>
      </c>
      <c r="V1473">
        <v>0.20877325639246361</v>
      </c>
      <c r="W1473">
        <v>8.016692047521487E-2</v>
      </c>
      <c r="X1473">
        <v>3.1083281036747779E-2</v>
      </c>
      <c r="Y1473">
        <v>3.3308173956053235E-3</v>
      </c>
    </row>
    <row r="1474" spans="1:25" x14ac:dyDescent="0.25">
      <c r="A1474" s="1095"/>
      <c r="B1474" s="1454">
        <v>1224</v>
      </c>
      <c r="C1474" s="1099">
        <v>0.99731257125263861</v>
      </c>
      <c r="D1474" s="1099">
        <v>1.0231969096101721</v>
      </c>
      <c r="E1474" s="1099">
        <v>0.99707544516416935</v>
      </c>
      <c r="F1474" s="1099">
        <v>0.99391842562796584</v>
      </c>
      <c r="G1474" s="1099">
        <v>1.0273210306932317</v>
      </c>
      <c r="H1474" s="1099">
        <v>1.0105756173294311</v>
      </c>
      <c r="I1474" s="1099">
        <v>0.9728504938818695</v>
      </c>
      <c r="K1474">
        <v>1.7263348713270601</v>
      </c>
      <c r="L1474">
        <v>0</v>
      </c>
      <c r="M1474">
        <v>1.3821921650223857E-3</v>
      </c>
      <c r="N1474">
        <v>0.12602843267796932</v>
      </c>
      <c r="O1474">
        <v>0.1261207128983203</v>
      </c>
      <c r="P1474">
        <v>1.8226583324867564E-2</v>
      </c>
      <c r="Q1474">
        <v>8.9028318821330048E-4</v>
      </c>
      <c r="R1474">
        <v>1.3786466253573595E-3</v>
      </c>
      <c r="S1474">
        <v>0.1044956380400571</v>
      </c>
      <c r="T1474">
        <v>1.0248713313541267</v>
      </c>
      <c r="U1474">
        <v>0</v>
      </c>
      <c r="V1474">
        <v>0.20974450213758139</v>
      </c>
      <c r="W1474">
        <v>8.2936313551160087E-2</v>
      </c>
      <c r="X1474">
        <v>2.9272398050942811E-2</v>
      </c>
      <c r="Y1474">
        <v>3.752221643484824E-3</v>
      </c>
    </row>
    <row r="1475" spans="1:25" x14ac:dyDescent="0.25">
      <c r="A1475" s="1095"/>
      <c r="B1475" s="1454">
        <v>1225</v>
      </c>
      <c r="C1475" s="1099">
        <v>1.0013538048404111</v>
      </c>
      <c r="D1475" s="1099">
        <v>0.98546984864248865</v>
      </c>
      <c r="E1475" s="1099">
        <v>0.97676717674716362</v>
      </c>
      <c r="F1475" s="1099">
        <v>0.96295809830239953</v>
      </c>
      <c r="G1475" s="1099">
        <v>1.0250386912762353</v>
      </c>
      <c r="H1475" s="1099">
        <v>1.0274525218872816</v>
      </c>
      <c r="I1475" s="1099">
        <v>0.9905359706137411</v>
      </c>
      <c r="K1475">
        <v>1.7002317571367724</v>
      </c>
      <c r="L1475">
        <v>0</v>
      </c>
      <c r="M1475">
        <v>1.4885944983059388E-3</v>
      </c>
      <c r="N1475">
        <v>0.12765206099627485</v>
      </c>
      <c r="O1475">
        <v>0.12515351663399243</v>
      </c>
      <c r="P1475">
        <v>1.758155158628413E-2</v>
      </c>
      <c r="Q1475">
        <v>8.8123099739306483E-4</v>
      </c>
      <c r="R1475">
        <v>1.4848558911233515E-3</v>
      </c>
      <c r="S1475">
        <v>0.10941313164409751</v>
      </c>
      <c r="T1475">
        <v>0.9935357971904466</v>
      </c>
      <c r="U1475">
        <v>0</v>
      </c>
      <c r="V1475">
        <v>0.20871931881409678</v>
      </c>
      <c r="W1475">
        <v>8.5035556889502081E-2</v>
      </c>
      <c r="X1475">
        <v>2.8222042738842639E-2</v>
      </c>
      <c r="Y1475">
        <v>4.0412882530248056E-3</v>
      </c>
    </row>
    <row r="1476" spans="1:25" x14ac:dyDescent="0.25">
      <c r="A1476" s="1095"/>
      <c r="B1476" s="1454">
        <v>1226</v>
      </c>
      <c r="C1476" s="1099">
        <v>1.0161725570832656</v>
      </c>
      <c r="D1476" s="1099">
        <v>0.98591385769344775</v>
      </c>
      <c r="E1476" s="1099">
        <v>1.0199615256209267</v>
      </c>
      <c r="F1476" s="1099">
        <v>0.97303109507209207</v>
      </c>
      <c r="G1476" s="1099">
        <v>1.0001952402776115</v>
      </c>
      <c r="H1476" s="1099">
        <v>1.0020684977239627</v>
      </c>
      <c r="I1476" s="1099">
        <v>0.97945457424952309</v>
      </c>
      <c r="K1476">
        <v>1.7037737232504926</v>
      </c>
      <c r="L1476">
        <v>0</v>
      </c>
      <c r="M1476">
        <v>1.3105965831482983E-3</v>
      </c>
      <c r="N1476">
        <v>0.12804928479415614</v>
      </c>
      <c r="O1476">
        <v>0.12533943872413558</v>
      </c>
      <c r="P1476">
        <v>1.8200081048801633E-2</v>
      </c>
      <c r="Q1476">
        <v>9.0802687478330985E-4</v>
      </c>
      <c r="R1476">
        <v>1.3072287535551461E-3</v>
      </c>
      <c r="S1476">
        <v>0.10508634136660132</v>
      </c>
      <c r="T1476">
        <v>1.0026771698831207</v>
      </c>
      <c r="U1476">
        <v>0</v>
      </c>
      <c r="V1476">
        <v>0.20693409402842486</v>
      </c>
      <c r="W1476">
        <v>8.3135293801059121E-2</v>
      </c>
      <c r="X1476">
        <v>2.9889514819666771E-2</v>
      </c>
      <c r="Y1476">
        <v>3.5578457393343117E-3</v>
      </c>
    </row>
    <row r="1477" spans="1:25" x14ac:dyDescent="0.25">
      <c r="A1477" s="1095"/>
      <c r="B1477" s="1454">
        <v>1227</v>
      </c>
      <c r="C1477" s="1099">
        <v>0.96657688655766583</v>
      </c>
      <c r="D1477" s="1099">
        <v>0.99503941131202245</v>
      </c>
      <c r="E1477" s="1099">
        <v>0.99359026714683063</v>
      </c>
      <c r="F1477" s="1099">
        <v>1.0037105042129328</v>
      </c>
      <c r="G1477" s="1099">
        <v>1.0399352326519131</v>
      </c>
      <c r="H1477" s="1099">
        <v>1.0030519153214044</v>
      </c>
      <c r="I1477" s="1099">
        <v>1.0272336055432902</v>
      </c>
      <c r="K1477">
        <v>1.7642460997003218</v>
      </c>
      <c r="L1477">
        <v>0</v>
      </c>
      <c r="M1477">
        <v>1.4467910655137528E-3</v>
      </c>
      <c r="N1477">
        <v>0.13053500077332167</v>
      </c>
      <c r="O1477">
        <v>0.12975605847769076</v>
      </c>
      <c r="P1477">
        <v>1.8524756945256838E-2</v>
      </c>
      <c r="Q1477">
        <v>9.2554475543215925E-4</v>
      </c>
      <c r="R1477">
        <v>1.4430648996184823E-3</v>
      </c>
      <c r="S1477">
        <v>0.11512320531613461</v>
      </c>
      <c r="T1477">
        <v>1.0350728320599121</v>
      </c>
      <c r="U1477">
        <v>0</v>
      </c>
      <c r="V1477">
        <v>0.2143746986422366</v>
      </c>
      <c r="W1477">
        <v>8.6080759085995856E-2</v>
      </c>
      <c r="X1477">
        <v>2.9929422859691104E-2</v>
      </c>
      <c r="Y1477">
        <v>3.9275469505451986E-3</v>
      </c>
    </row>
    <row r="1478" spans="1:25" x14ac:dyDescent="0.25">
      <c r="A1478" s="1095"/>
      <c r="B1478" s="1454">
        <v>1228</v>
      </c>
      <c r="C1478" s="1099">
        <v>0.99369331607805211</v>
      </c>
      <c r="D1478" s="1099">
        <v>0.98720715669363301</v>
      </c>
      <c r="E1478" s="1099">
        <v>1.0415693241292592</v>
      </c>
      <c r="F1478" s="1099">
        <v>0.99518115259865458</v>
      </c>
      <c r="G1478" s="1099">
        <v>0.97021317470509094</v>
      </c>
      <c r="H1478" s="1099">
        <v>1.020251986660196</v>
      </c>
      <c r="I1478" s="1099">
        <v>0.97329361730481145</v>
      </c>
      <c r="K1478">
        <v>1.7475391795463282</v>
      </c>
      <c r="L1478">
        <v>0</v>
      </c>
      <c r="M1478">
        <v>1.3035913154821621E-3</v>
      </c>
      <c r="N1478">
        <v>0.13594303710594294</v>
      </c>
      <c r="O1478">
        <v>0.12821243845654701</v>
      </c>
      <c r="P1478">
        <v>1.8863727848274368E-2</v>
      </c>
      <c r="Q1478">
        <v>9.4876393475225079E-4</v>
      </c>
      <c r="R1478">
        <v>1.3003006720639096E-3</v>
      </c>
      <c r="S1478">
        <v>0.10799823456264053</v>
      </c>
      <c r="T1478">
        <v>1.0248824418329749</v>
      </c>
      <c r="U1478">
        <v>0</v>
      </c>
      <c r="V1478">
        <v>0.20855080679110077</v>
      </c>
      <c r="W1478">
        <v>8.716079157787214E-2</v>
      </c>
      <c r="X1478">
        <v>3.144323829428361E-2</v>
      </c>
      <c r="Y1478">
        <v>3.5389897853566167E-3</v>
      </c>
    </row>
    <row r="1479" spans="1:25" x14ac:dyDescent="0.25">
      <c r="A1479" s="1095"/>
      <c r="B1479" s="1454">
        <v>1229</v>
      </c>
      <c r="C1479" s="1099">
        <v>1.000816873389615</v>
      </c>
      <c r="D1479" s="1099">
        <v>0.98278454502427581</v>
      </c>
      <c r="E1479" s="1099">
        <v>1.0185746487965808</v>
      </c>
      <c r="F1479" s="1099">
        <v>1.0068071546542059</v>
      </c>
      <c r="G1479" s="1099">
        <v>1.002858637905891</v>
      </c>
      <c r="H1479" s="1099">
        <v>1.0067508374404928</v>
      </c>
      <c r="I1479" s="1099">
        <v>0.98355727136552717</v>
      </c>
      <c r="K1479">
        <v>1.7543647779001363</v>
      </c>
      <c r="L1479">
        <v>0</v>
      </c>
      <c r="M1479">
        <v>1.3456082055561959E-3</v>
      </c>
      <c r="N1479">
        <v>0.13092343452315294</v>
      </c>
      <c r="O1479">
        <v>0.12884561584213608</v>
      </c>
      <c r="P1479">
        <v>1.8746196491081675E-2</v>
      </c>
      <c r="Q1479">
        <v>9.2181906702204052E-4</v>
      </c>
      <c r="R1479">
        <v>1.3421744586193901E-3</v>
      </c>
      <c r="S1479">
        <v>0.10779848198206228</v>
      </c>
      <c r="T1479">
        <v>1.0375230201554566</v>
      </c>
      <c r="U1479">
        <v>0</v>
      </c>
      <c r="V1479">
        <v>0.21020495430694666</v>
      </c>
      <c r="W1479">
        <v>8.5070357210292685E-2</v>
      </c>
      <c r="X1479">
        <v>3.0681375640250114E-2</v>
      </c>
      <c r="Y1479">
        <v>3.6529564286706066E-3</v>
      </c>
    </row>
    <row r="1480" spans="1:25" x14ac:dyDescent="0.25">
      <c r="A1480" s="1095"/>
      <c r="B1480" s="1454">
        <v>1230</v>
      </c>
      <c r="C1480" s="1099">
        <v>0.96746279377495414</v>
      </c>
      <c r="D1480" s="1099">
        <v>0.99892929736285774</v>
      </c>
      <c r="E1480" s="1099">
        <v>1.0012625367088968</v>
      </c>
      <c r="F1480" s="1099">
        <v>0.96784529121748208</v>
      </c>
      <c r="G1480" s="1099">
        <v>0.96996062580590259</v>
      </c>
      <c r="H1480" s="1099">
        <v>1.0387823823410107</v>
      </c>
      <c r="I1480" s="1099">
        <v>1.0087338814979985</v>
      </c>
      <c r="K1480">
        <v>1.7252280119006098</v>
      </c>
      <c r="L1480">
        <v>0</v>
      </c>
      <c r="M1480">
        <v>1.4652843614927076E-3</v>
      </c>
      <c r="N1480">
        <v>0.13531503736624956</v>
      </c>
      <c r="O1480">
        <v>0.12677446723577721</v>
      </c>
      <c r="P1480">
        <v>1.8047676076391333E-2</v>
      </c>
      <c r="Q1480">
        <v>9.3063884143254583E-4</v>
      </c>
      <c r="R1480">
        <v>1.461626075434743E-3</v>
      </c>
      <c r="S1480">
        <v>0.11504674134609001</v>
      </c>
      <c r="T1480">
        <v>0.99786565221688461</v>
      </c>
      <c r="U1480">
        <v>0</v>
      </c>
      <c r="V1480">
        <v>0.2089083577062528</v>
      </c>
      <c r="W1480">
        <v>8.8826135576576828E-2</v>
      </c>
      <c r="X1480">
        <v>2.953889946858523E-2</v>
      </c>
      <c r="Y1480">
        <v>3.9780643524270978E-3</v>
      </c>
    </row>
    <row r="1481" spans="1:25" x14ac:dyDescent="0.25">
      <c r="A1481" s="1095"/>
      <c r="B1481" s="1454">
        <v>1231</v>
      </c>
      <c r="C1481" s="1099">
        <v>0.99452086088300939</v>
      </c>
      <c r="D1481" s="1099">
        <v>0.98705374140753022</v>
      </c>
      <c r="E1481" s="1099">
        <v>0.98640397613384057</v>
      </c>
      <c r="F1481" s="1099">
        <v>1.0248595703086378</v>
      </c>
      <c r="G1481" s="1099">
        <v>1.0194526587713577</v>
      </c>
      <c r="H1481" s="1099">
        <v>0.95240363739912093</v>
      </c>
      <c r="I1481" s="1099">
        <v>0.99956315472348745</v>
      </c>
      <c r="K1481">
        <v>1.7592467881201905</v>
      </c>
      <c r="L1481">
        <v>0</v>
      </c>
      <c r="M1481">
        <v>1.3673699361022766E-3</v>
      </c>
      <c r="N1481">
        <v>0.12070305740066456</v>
      </c>
      <c r="O1481">
        <v>0.13021612630954285</v>
      </c>
      <c r="P1481">
        <v>1.8572049415986978E-2</v>
      </c>
      <c r="Q1481">
        <v>8.9570825409812616E-4</v>
      </c>
      <c r="R1481">
        <v>1.363682298691143E-3</v>
      </c>
      <c r="S1481">
        <v>0.10611575960781729</v>
      </c>
      <c r="T1481">
        <v>1.0571038628520151</v>
      </c>
      <c r="U1481">
        <v>0</v>
      </c>
      <c r="V1481">
        <v>0.2122629313201527</v>
      </c>
      <c r="W1481">
        <v>7.9940532913587437E-2</v>
      </c>
      <c r="X1481">
        <v>2.9728954004447319E-2</v>
      </c>
      <c r="Y1481">
        <v>3.7114936792883441E-3</v>
      </c>
    </row>
    <row r="1482" spans="1:25" x14ac:dyDescent="0.25">
      <c r="A1482" s="1095"/>
      <c r="B1482" s="1454">
        <v>1232</v>
      </c>
      <c r="C1482" s="1099">
        <v>1.0085548812118601</v>
      </c>
      <c r="D1482" s="1099">
        <v>0.98835837134573656</v>
      </c>
      <c r="E1482" s="1099">
        <v>1.0028159641484882</v>
      </c>
      <c r="F1482" s="1099">
        <v>1.020279529552226</v>
      </c>
      <c r="G1482" s="1099">
        <v>0.99252768328643959</v>
      </c>
      <c r="H1482" s="1099">
        <v>1.0189838715075172</v>
      </c>
      <c r="I1482" s="1099">
        <v>0.97530112506047317</v>
      </c>
      <c r="K1482">
        <v>1.7649642524333462</v>
      </c>
      <c r="L1482">
        <v>0</v>
      </c>
      <c r="M1482">
        <v>1.3943508644359212E-3</v>
      </c>
      <c r="N1482">
        <v>0.12936722778692755</v>
      </c>
      <c r="O1482">
        <v>0.12914305460610986</v>
      </c>
      <c r="P1482">
        <v>1.8700418615338936E-2</v>
      </c>
      <c r="Q1482">
        <v>8.9797190474351449E-4</v>
      </c>
      <c r="R1482">
        <v>1.3908380059241795E-3</v>
      </c>
      <c r="S1482">
        <v>0.10663409803328812</v>
      </c>
      <c r="T1482">
        <v>1.0518792624873516</v>
      </c>
      <c r="U1482">
        <v>0</v>
      </c>
      <c r="V1482">
        <v>0.20954236059906214</v>
      </c>
      <c r="W1482">
        <v>8.4843514693022468E-2</v>
      </c>
      <c r="X1482">
        <v>3.0174454003513738E-2</v>
      </c>
      <c r="Y1482">
        <v>3.7854025625001847E-3</v>
      </c>
    </row>
    <row r="1483" spans="1:25" x14ac:dyDescent="0.25">
      <c r="A1483" s="1095"/>
      <c r="B1483" s="1454">
        <v>1233</v>
      </c>
      <c r="C1483" s="1099">
        <v>0.97677364410455525</v>
      </c>
      <c r="D1483" s="1099">
        <v>1.0333661126051674</v>
      </c>
      <c r="E1483" s="1099">
        <v>0.98508725889615789</v>
      </c>
      <c r="F1483" s="1099">
        <v>1.0107058058589655</v>
      </c>
      <c r="G1483" s="1099">
        <v>1.0297292746282289</v>
      </c>
      <c r="H1483" s="1099">
        <v>1.0196787172028934</v>
      </c>
      <c r="I1483" s="1099">
        <v>1.0172983560574085</v>
      </c>
      <c r="K1483">
        <v>1.7588552999002698</v>
      </c>
      <c r="L1483">
        <v>0</v>
      </c>
      <c r="M1483">
        <v>1.450906057728369E-3</v>
      </c>
      <c r="N1483">
        <v>0.12758717726960675</v>
      </c>
      <c r="O1483">
        <v>0.12795619953815285</v>
      </c>
      <c r="P1483">
        <v>1.8428574561308246E-2</v>
      </c>
      <c r="Q1483">
        <v>8.9417753826127584E-4</v>
      </c>
      <c r="R1483">
        <v>1.4472095949297956E-3</v>
      </c>
      <c r="S1483">
        <v>0.11149658713271164</v>
      </c>
      <c r="T1483">
        <v>1.0425449171583545</v>
      </c>
      <c r="U1483">
        <v>0</v>
      </c>
      <c r="V1483">
        <v>0.21216925400937292</v>
      </c>
      <c r="W1483">
        <v>8.4566726852274621E-2</v>
      </c>
      <c r="X1483">
        <v>2.9276554858139056E-2</v>
      </c>
      <c r="Y1483">
        <v>3.938827444884151E-3</v>
      </c>
    </row>
    <row r="1484" spans="1:25" x14ac:dyDescent="0.25">
      <c r="A1484" s="1095"/>
      <c r="B1484" s="1454">
        <v>1234</v>
      </c>
      <c r="C1484" s="1099">
        <v>1.0167325789401704</v>
      </c>
      <c r="D1484" s="1099">
        <v>0.98528883981788506</v>
      </c>
      <c r="E1484" s="1099">
        <v>0.98282160973085986</v>
      </c>
      <c r="F1484" s="1099">
        <v>0.97745340016301485</v>
      </c>
      <c r="G1484" s="1099">
        <v>0.98247087735252792</v>
      </c>
      <c r="H1484" s="1099">
        <v>1.0167843649760935</v>
      </c>
      <c r="I1484" s="1099">
        <v>0.97718771279299943</v>
      </c>
      <c r="K1484">
        <v>1.705667459888597</v>
      </c>
      <c r="L1484">
        <v>0</v>
      </c>
      <c r="M1484">
        <v>1.4367520856263148E-3</v>
      </c>
      <c r="N1484">
        <v>0.12548174521747937</v>
      </c>
      <c r="O1484">
        <v>0.12553063661763</v>
      </c>
      <c r="P1484">
        <v>1.7778476892122669E-2</v>
      </c>
      <c r="Q1484">
        <v>8.7349064666610054E-4</v>
      </c>
      <c r="R1484">
        <v>1.4331155680511428E-3</v>
      </c>
      <c r="S1484">
        <v>0.10578991367874716</v>
      </c>
      <c r="T1484">
        <v>1.008311891080852</v>
      </c>
      <c r="U1484">
        <v>0</v>
      </c>
      <c r="V1484">
        <v>0.20617608331350137</v>
      </c>
      <c r="W1484">
        <v>8.3284718367822155E-2</v>
      </c>
      <c r="X1484">
        <v>2.854367244153282E-2</v>
      </c>
      <c r="Y1484">
        <v>3.9004681498151701E-3</v>
      </c>
    </row>
    <row r="1485" spans="1:25" x14ac:dyDescent="0.25">
      <c r="A1485" s="1095"/>
      <c r="B1485" s="1454">
        <v>1235</v>
      </c>
      <c r="C1485" s="1099">
        <v>0.95583691194605369</v>
      </c>
      <c r="D1485" s="1099">
        <v>0.98058953213961197</v>
      </c>
      <c r="E1485" s="1099">
        <v>1.0055830870510396</v>
      </c>
      <c r="F1485" s="1099">
        <v>1.0157465839614326</v>
      </c>
      <c r="G1485" s="1099">
        <v>1.0354161588561552</v>
      </c>
      <c r="H1485" s="1099">
        <v>1.0206139725263388</v>
      </c>
      <c r="I1485" s="1099">
        <v>1.0236233259558487</v>
      </c>
      <c r="K1485">
        <v>1.7953417438090966</v>
      </c>
      <c r="L1485">
        <v>0</v>
      </c>
      <c r="M1485">
        <v>1.4647361158807021E-3</v>
      </c>
      <c r="N1485">
        <v>0.13703741928737953</v>
      </c>
      <c r="O1485">
        <v>0.1320092794964576</v>
      </c>
      <c r="P1485">
        <v>1.8927199382452079E-2</v>
      </c>
      <c r="Q1485">
        <v>9.5321870708166344E-4</v>
      </c>
      <c r="R1485">
        <v>1.4610390868351841E-3</v>
      </c>
      <c r="S1485">
        <v>0.11841413103316364</v>
      </c>
      <c r="T1485">
        <v>1.0471227218192958</v>
      </c>
      <c r="U1485">
        <v>0</v>
      </c>
      <c r="V1485">
        <v>0.21625613729887747</v>
      </c>
      <c r="W1485">
        <v>8.9726693009189604E-2</v>
      </c>
      <c r="X1485">
        <v>3.0922174041282086E-2</v>
      </c>
      <c r="Y1485">
        <v>3.9764667629598374E-3</v>
      </c>
    </row>
    <row r="1486" spans="1:25" x14ac:dyDescent="0.25">
      <c r="A1486" s="1095"/>
      <c r="B1486" s="1454">
        <v>1236</v>
      </c>
      <c r="C1486" s="1099">
        <v>1.0012389187009223</v>
      </c>
      <c r="D1486" s="1099">
        <v>1.0083689759283625</v>
      </c>
      <c r="E1486" s="1099">
        <v>1.0220875877031048</v>
      </c>
      <c r="F1486" s="1099">
        <v>1.0158774274305928</v>
      </c>
      <c r="G1486" s="1099">
        <v>0.98810412235494094</v>
      </c>
      <c r="H1486" s="1099">
        <v>0.99287466425578697</v>
      </c>
      <c r="I1486" s="1099">
        <v>1.0094696355974679</v>
      </c>
      <c r="K1486">
        <v>1.7566831251698227</v>
      </c>
      <c r="L1486">
        <v>0</v>
      </c>
      <c r="M1486">
        <v>1.2980868796919616E-3</v>
      </c>
      <c r="N1486">
        <v>0.1276394283721301</v>
      </c>
      <c r="O1486">
        <v>0.12833831458707415</v>
      </c>
      <c r="P1486">
        <v>1.8910100183896394E-2</v>
      </c>
      <c r="Q1486">
        <v>9.152988736792425E-4</v>
      </c>
      <c r="R1486">
        <v>1.2947144244320368E-3</v>
      </c>
      <c r="S1486">
        <v>0.10793751331458307</v>
      </c>
      <c r="T1486">
        <v>1.0467660761240545</v>
      </c>
      <c r="U1486">
        <v>0</v>
      </c>
      <c r="V1486">
        <v>0.20916176901965972</v>
      </c>
      <c r="W1486">
        <v>8.2766266124021576E-2</v>
      </c>
      <c r="X1486">
        <v>3.0727945165174384E-2</v>
      </c>
      <c r="Y1486">
        <v>3.5237858608086958E-3</v>
      </c>
    </row>
    <row r="1487" spans="1:25" x14ac:dyDescent="0.25">
      <c r="A1487" s="1095"/>
      <c r="B1487" s="1454">
        <v>1237</v>
      </c>
      <c r="C1487" s="1099">
        <v>1.025174036256872</v>
      </c>
      <c r="D1487" s="1099">
        <v>0.97530918310948289</v>
      </c>
      <c r="E1487" s="1099">
        <v>0.98983345974142645</v>
      </c>
      <c r="F1487" s="1099">
        <v>0.98446955666761538</v>
      </c>
      <c r="G1487" s="1099">
        <v>1.0057084817484432</v>
      </c>
      <c r="H1487" s="1099">
        <v>0.98500028315424681</v>
      </c>
      <c r="I1487" s="1099">
        <v>1.0231800601301897</v>
      </c>
      <c r="K1487">
        <v>1.7118024989322782</v>
      </c>
      <c r="L1487">
        <v>0</v>
      </c>
      <c r="M1487">
        <v>1.3704965968178052E-3</v>
      </c>
      <c r="N1487">
        <v>0.12225152625893589</v>
      </c>
      <c r="O1487">
        <v>0.12613833319575898</v>
      </c>
      <c r="P1487">
        <v>1.8018799975147333E-2</v>
      </c>
      <c r="Q1487">
        <v>8.7622636020633646E-4</v>
      </c>
      <c r="R1487">
        <v>1.3669274849408659E-3</v>
      </c>
      <c r="S1487">
        <v>0.10840779621441397</v>
      </c>
      <c r="T1487">
        <v>1.015341531694915</v>
      </c>
      <c r="U1487">
        <v>0</v>
      </c>
      <c r="V1487">
        <v>0.20730771842249957</v>
      </c>
      <c r="W1487">
        <v>8.0799650811200538E-2</v>
      </c>
      <c r="X1487">
        <v>2.8944159104590233E-2</v>
      </c>
      <c r="Y1487">
        <v>3.7203260064847298E-3</v>
      </c>
    </row>
    <row r="1488" spans="1:25" x14ac:dyDescent="0.25">
      <c r="A1488" s="1095"/>
      <c r="B1488" s="1454">
        <v>1238</v>
      </c>
      <c r="C1488" s="1099">
        <v>0.9850759005515578</v>
      </c>
      <c r="D1488" s="1099">
        <v>0.99450997058726209</v>
      </c>
      <c r="E1488" s="1099">
        <v>1.0394784148304539</v>
      </c>
      <c r="F1488" s="1099">
        <v>0.97344226252745514</v>
      </c>
      <c r="G1488" s="1099">
        <v>0.99094455079297239</v>
      </c>
      <c r="H1488" s="1099">
        <v>1.0170781302481837</v>
      </c>
      <c r="I1488" s="1099">
        <v>0.9886335203296619</v>
      </c>
      <c r="K1488">
        <v>1.7243455602328022</v>
      </c>
      <c r="L1488">
        <v>0</v>
      </c>
      <c r="M1488">
        <v>1.3074161952903185E-3</v>
      </c>
      <c r="N1488">
        <v>0.13548340355098126</v>
      </c>
      <c r="O1488">
        <v>0.12664455686590539</v>
      </c>
      <c r="P1488">
        <v>1.8551534331453946E-2</v>
      </c>
      <c r="Q1488">
        <v>9.5222374787427638E-4</v>
      </c>
      <c r="R1488">
        <v>1.3040920628600591E-3</v>
      </c>
      <c r="S1488">
        <v>0.10973854498730233</v>
      </c>
      <c r="T1488">
        <v>1.0025528188213644</v>
      </c>
      <c r="U1488">
        <v>0</v>
      </c>
      <c r="V1488">
        <v>0.20892261873332429</v>
      </c>
      <c r="W1488">
        <v>8.6970722615467913E-2</v>
      </c>
      <c r="X1488">
        <v>3.0983152010286442E-2</v>
      </c>
      <c r="Y1488">
        <v>3.549308701272097E-3</v>
      </c>
    </row>
    <row r="1489" spans="1:25" x14ac:dyDescent="0.25">
      <c r="A1489" s="1095"/>
      <c r="B1489" s="1454">
        <v>1239</v>
      </c>
      <c r="C1489" s="1099">
        <v>0.98541759155881159</v>
      </c>
      <c r="D1489" s="1099">
        <v>1.0259195933809948</v>
      </c>
      <c r="E1489" s="1099">
        <v>1.0189529987634804</v>
      </c>
      <c r="F1489" s="1099">
        <v>1.0141202324508118</v>
      </c>
      <c r="G1489" s="1099">
        <v>1.0195419349665427</v>
      </c>
      <c r="H1489" s="1099">
        <v>0.99959998126992378</v>
      </c>
      <c r="I1489" s="1099">
        <v>0.96358309388966823</v>
      </c>
      <c r="K1489">
        <v>1.7547969463738788</v>
      </c>
      <c r="L1489">
        <v>0</v>
      </c>
      <c r="M1489">
        <v>1.3211129406041678E-3</v>
      </c>
      <c r="N1489">
        <v>0.12868165576370347</v>
      </c>
      <c r="O1489">
        <v>0.12822340611871411</v>
      </c>
      <c r="P1489">
        <v>1.8818614898356827E-2</v>
      </c>
      <c r="Q1489">
        <v>9.2063326895973439E-4</v>
      </c>
      <c r="R1489">
        <v>1.317687639382482E-3</v>
      </c>
      <c r="S1489">
        <v>0.10392531956109169</v>
      </c>
      <c r="T1489">
        <v>1.0450480143779526</v>
      </c>
      <c r="U1489">
        <v>0</v>
      </c>
      <c r="V1489">
        <v>0.21141422852164335</v>
      </c>
      <c r="W1489">
        <v>8.3595188319060681E-2</v>
      </c>
      <c r="X1489">
        <v>3.058699946683369E-2</v>
      </c>
      <c r="Y1489">
        <v>3.5863113787855342E-3</v>
      </c>
    </row>
    <row r="1490" spans="1:25" x14ac:dyDescent="0.25">
      <c r="A1490" s="1095"/>
      <c r="B1490" s="1454">
        <v>1240</v>
      </c>
      <c r="C1490" s="1099">
        <v>0.97163535794930356</v>
      </c>
      <c r="D1490" s="1099">
        <v>1.0000784176874953</v>
      </c>
      <c r="E1490" s="1099">
        <v>0.97888730289505033</v>
      </c>
      <c r="F1490" s="1099">
        <v>1.0273743545207368</v>
      </c>
      <c r="G1490" s="1099">
        <v>0.99331805995768796</v>
      </c>
      <c r="H1490" s="1099">
        <v>1.0138882901154376</v>
      </c>
      <c r="I1490" s="1099">
        <v>1.0245014625189035</v>
      </c>
      <c r="K1490">
        <v>1.7871640375099294</v>
      </c>
      <c r="L1490">
        <v>0</v>
      </c>
      <c r="M1490">
        <v>1.4990496752289755E-3</v>
      </c>
      <c r="N1490">
        <v>0.12937180642286336</v>
      </c>
      <c r="O1490">
        <v>0.13099273065035771</v>
      </c>
      <c r="P1490">
        <v>1.8627426691774102E-2</v>
      </c>
      <c r="Q1490">
        <v>9.0486491080321238E-4</v>
      </c>
      <c r="R1490">
        <v>1.4952360806483047E-3</v>
      </c>
      <c r="S1490">
        <v>0.114818784332821</v>
      </c>
      <c r="T1490">
        <v>1.0599313304136926</v>
      </c>
      <c r="U1490">
        <v>0</v>
      </c>
      <c r="V1490">
        <v>0.21270993468286253</v>
      </c>
      <c r="W1490">
        <v>8.6070720195897607E-2</v>
      </c>
      <c r="X1490">
        <v>2.9670713096354235E-2</v>
      </c>
      <c r="Y1490">
        <v>4.0695397070831711E-3</v>
      </c>
    </row>
    <row r="1491" spans="1:25" x14ac:dyDescent="0.25">
      <c r="A1491" s="1095"/>
      <c r="B1491" s="1454">
        <v>1241</v>
      </c>
      <c r="C1491" s="1099">
        <v>1.0315877917025646</v>
      </c>
      <c r="D1491" s="1099">
        <v>1.0104369157391744</v>
      </c>
      <c r="E1491" s="1099">
        <v>1.0263177894386599</v>
      </c>
      <c r="F1491" s="1099">
        <v>0.97130749657178772</v>
      </c>
      <c r="G1491" s="1099">
        <v>1.0094306091323397</v>
      </c>
      <c r="H1491" s="1099">
        <v>0.98908096754127295</v>
      </c>
      <c r="I1491" s="1099">
        <v>0.98912703145837877</v>
      </c>
      <c r="K1491">
        <v>1.687290544878344</v>
      </c>
      <c r="L1491">
        <v>0</v>
      </c>
      <c r="M1491">
        <v>1.2408581920162959E-3</v>
      </c>
      <c r="N1491">
        <v>0.12357695090145819</v>
      </c>
      <c r="O1491">
        <v>0.12338026036493759</v>
      </c>
      <c r="P1491">
        <v>1.8195193110405593E-2</v>
      </c>
      <c r="Q1491">
        <v>8.9149520686454976E-4</v>
      </c>
      <c r="R1491">
        <v>1.2376163121145198E-3</v>
      </c>
      <c r="S1491">
        <v>0.10218362722987427</v>
      </c>
      <c r="T1491">
        <v>1.0007217628419953</v>
      </c>
      <c r="U1491">
        <v>0</v>
      </c>
      <c r="V1491">
        <v>0.20535002958482451</v>
      </c>
      <c r="W1491">
        <v>7.9934580390574911E-2</v>
      </c>
      <c r="X1491">
        <v>2.9691503505842435E-2</v>
      </c>
      <c r="Y1491">
        <v>3.3683836214680814E-3</v>
      </c>
    </row>
    <row r="1492" spans="1:25" x14ac:dyDescent="0.25">
      <c r="A1492" s="1095"/>
      <c r="B1492" s="1454">
        <v>1242</v>
      </c>
      <c r="C1492" s="1099">
        <v>0.99437014624800124</v>
      </c>
      <c r="D1492" s="1099">
        <v>0.98590491932200186</v>
      </c>
      <c r="E1492" s="1099">
        <v>1.0061365900105212</v>
      </c>
      <c r="F1492" s="1099">
        <v>1.0053242547144787</v>
      </c>
      <c r="G1492" s="1099">
        <v>1.0024835467864579</v>
      </c>
      <c r="H1492" s="1099">
        <v>1.0094472334672322</v>
      </c>
      <c r="I1492" s="1099">
        <v>0.96677516600584879</v>
      </c>
      <c r="K1492">
        <v>1.7512638068234225</v>
      </c>
      <c r="L1492">
        <v>0</v>
      </c>
      <c r="M1492">
        <v>1.3899867117797581E-3</v>
      </c>
      <c r="N1492">
        <v>0.13025842563807505</v>
      </c>
      <c r="O1492">
        <v>0.12887384891971584</v>
      </c>
      <c r="P1492">
        <v>1.8546409162146494E-2</v>
      </c>
      <c r="Q1492">
        <v>9.1482414732713352E-4</v>
      </c>
      <c r="R1492">
        <v>1.3864446968236248E-3</v>
      </c>
      <c r="S1492">
        <v>0.10655444556697731</v>
      </c>
      <c r="T1492">
        <v>1.0363620050389684</v>
      </c>
      <c r="U1492">
        <v>0</v>
      </c>
      <c r="V1492">
        <v>0.21052683289945162</v>
      </c>
      <c r="W1492">
        <v>8.5260152169512257E-2</v>
      </c>
      <c r="X1492">
        <v>3.019695987282164E-2</v>
      </c>
      <c r="Y1492">
        <v>3.7734454233824318E-3</v>
      </c>
    </row>
    <row r="1493" spans="1:25" x14ac:dyDescent="0.25">
      <c r="A1493" s="1095"/>
      <c r="B1493" s="1454">
        <v>1243</v>
      </c>
      <c r="C1493" s="1099">
        <v>1.016656834806098</v>
      </c>
      <c r="D1493" s="1099">
        <v>1.041757926298418</v>
      </c>
      <c r="E1493" s="1099">
        <v>0.96815202899484343</v>
      </c>
      <c r="F1493" s="1099">
        <v>0.99032199317477809</v>
      </c>
      <c r="G1493" s="1099">
        <v>0.99733131677047915</v>
      </c>
      <c r="H1493" s="1099">
        <v>0.98969690673472654</v>
      </c>
      <c r="I1493" s="1099">
        <v>1.0151110881073642</v>
      </c>
      <c r="K1493">
        <v>1.7011910538037216</v>
      </c>
      <c r="L1493">
        <v>0</v>
      </c>
      <c r="M1493">
        <v>1.3966092476256412E-3</v>
      </c>
      <c r="N1493">
        <v>0.11666755623852283</v>
      </c>
      <c r="O1493">
        <v>0.12395078088626418</v>
      </c>
      <c r="P1493">
        <v>1.7740961510195993E-2</v>
      </c>
      <c r="Q1493">
        <v>8.4123390597282122E-4</v>
      </c>
      <c r="R1493">
        <v>1.3929431764552265E-3</v>
      </c>
      <c r="S1493">
        <v>0.10439245995153454</v>
      </c>
      <c r="T1493">
        <v>1.0220292465690262</v>
      </c>
      <c r="U1493">
        <v>0</v>
      </c>
      <c r="V1493">
        <v>0.20589671453948932</v>
      </c>
      <c r="W1493">
        <v>7.8126002092818794E-2</v>
      </c>
      <c r="X1493">
        <v>2.7758632038349218E-2</v>
      </c>
      <c r="Y1493">
        <v>3.7911321427164181E-3</v>
      </c>
    </row>
    <row r="1494" spans="1:25" x14ac:dyDescent="0.25">
      <c r="A1494" s="1095"/>
      <c r="B1494" s="1454">
        <v>1244</v>
      </c>
      <c r="C1494" s="1099">
        <v>0.95972747577382678</v>
      </c>
      <c r="D1494" s="1099">
        <v>0.96261750324094042</v>
      </c>
      <c r="E1494" s="1099">
        <v>0.96719129879628662</v>
      </c>
      <c r="F1494" s="1099">
        <v>0.97706022114800772</v>
      </c>
      <c r="G1494" s="1099">
        <v>1.0037905843393844</v>
      </c>
      <c r="H1494" s="1099">
        <v>1.0024713825159748</v>
      </c>
      <c r="I1494" s="1099">
        <v>1.0366307243461865</v>
      </c>
      <c r="K1494">
        <v>1.7388903559775732</v>
      </c>
      <c r="L1494">
        <v>0</v>
      </c>
      <c r="M1494">
        <v>1.5632161147737136E-3</v>
      </c>
      <c r="N1494">
        <v>0.13021317720998493</v>
      </c>
      <c r="O1494">
        <v>0.1294742598139588</v>
      </c>
      <c r="P1494">
        <v>1.7833147072366967E-2</v>
      </c>
      <c r="Q1494">
        <v>9.1881548113877673E-4</v>
      </c>
      <c r="R1494">
        <v>1.5591999305799363E-3</v>
      </c>
      <c r="S1494">
        <v>0.11908126738756868</v>
      </c>
      <c r="T1494">
        <v>1.0083716824757476</v>
      </c>
      <c r="U1494">
        <v>0</v>
      </c>
      <c r="V1494">
        <v>0.21276502245731893</v>
      </c>
      <c r="W1494">
        <v>8.7247873739161652E-2</v>
      </c>
      <c r="X1494">
        <v>2.8745498303598016E-2</v>
      </c>
      <c r="Y1494">
        <v>4.2436282209196083E-3</v>
      </c>
    </row>
    <row r="1495" spans="1:25" x14ac:dyDescent="0.25">
      <c r="A1495" s="1095"/>
      <c r="B1495" s="1454">
        <v>1245</v>
      </c>
      <c r="C1495" s="1099">
        <v>1.0278614023007813</v>
      </c>
      <c r="D1495" s="1099">
        <v>1.0048765219653677</v>
      </c>
      <c r="E1495" s="1099">
        <v>1.0097637450893977</v>
      </c>
      <c r="F1495" s="1099">
        <v>0.95789085134068086</v>
      </c>
      <c r="G1495" s="1099">
        <v>0.98922462296785907</v>
      </c>
      <c r="H1495" s="1099">
        <v>1.0145581607627079</v>
      </c>
      <c r="I1495" s="1099">
        <v>0.97865490442547365</v>
      </c>
      <c r="K1495">
        <v>1.6761858997574317</v>
      </c>
      <c r="L1495">
        <v>0</v>
      </c>
      <c r="M1495">
        <v>1.3244968375249945E-3</v>
      </c>
      <c r="N1495">
        <v>0.12548809560829619</v>
      </c>
      <c r="O1495">
        <v>0.12272090745277595</v>
      </c>
      <c r="P1495">
        <v>1.7790842084883175E-2</v>
      </c>
      <c r="Q1495">
        <v>8.8158949661802405E-4</v>
      </c>
      <c r="R1495">
        <v>1.3211217792626275E-3</v>
      </c>
      <c r="S1495">
        <v>0.10337689272308831</v>
      </c>
      <c r="T1495">
        <v>0.98736170976173143</v>
      </c>
      <c r="U1495">
        <v>0</v>
      </c>
      <c r="V1495">
        <v>0.20408091080318541</v>
      </c>
      <c r="W1495">
        <v>8.1961975167812395E-2</v>
      </c>
      <c r="X1495">
        <v>2.8930693741828061E-2</v>
      </c>
      <c r="Y1495">
        <v>3.595657975475384E-3</v>
      </c>
    </row>
    <row r="1496" spans="1:25" x14ac:dyDescent="0.25">
      <c r="A1496" s="1095"/>
      <c r="B1496" s="1454">
        <v>1246</v>
      </c>
      <c r="C1496" s="1099">
        <v>0.99046512853306767</v>
      </c>
      <c r="D1496" s="1099">
        <v>1.0143313589461314</v>
      </c>
      <c r="E1496" s="1099">
        <v>1.0051927713734135</v>
      </c>
      <c r="F1496" s="1099">
        <v>1.0127904195424655</v>
      </c>
      <c r="G1496" s="1099">
        <v>1.0006405380856305</v>
      </c>
      <c r="H1496" s="1099">
        <v>0.99754584271678937</v>
      </c>
      <c r="I1496" s="1099">
        <v>0.9997156465157131</v>
      </c>
      <c r="K1496">
        <v>1.7541053537097495</v>
      </c>
      <c r="L1496">
        <v>0</v>
      </c>
      <c r="M1496">
        <v>1.3592103447884315E-3</v>
      </c>
      <c r="N1496">
        <v>0.12700623849382348</v>
      </c>
      <c r="O1496">
        <v>0.12832653302131575</v>
      </c>
      <c r="P1496">
        <v>1.8654243764751124E-2</v>
      </c>
      <c r="Q1496">
        <v>9.0716205816009326E-4</v>
      </c>
      <c r="R1496">
        <v>1.3556876716845447E-3</v>
      </c>
      <c r="S1496">
        <v>0.10788214340349359</v>
      </c>
      <c r="T1496">
        <v>1.0440869302375693</v>
      </c>
      <c r="U1496">
        <v>0</v>
      </c>
      <c r="V1496">
        <v>0.2102979909905365</v>
      </c>
      <c r="W1496">
        <v>8.3177883490779744E-2</v>
      </c>
      <c r="X1496">
        <v>3.0080015982418863E-2</v>
      </c>
      <c r="Y1496">
        <v>3.6897349400044667E-3</v>
      </c>
    </row>
    <row r="1497" spans="1:25" x14ac:dyDescent="0.25">
      <c r="A1497" s="1095"/>
      <c r="B1497" s="1454">
        <v>1247</v>
      </c>
      <c r="C1497" s="1099">
        <v>1.0056871510933079</v>
      </c>
      <c r="D1497" s="1099">
        <v>1.0250594710451144</v>
      </c>
      <c r="E1497" s="1099">
        <v>0.99715989142834049</v>
      </c>
      <c r="F1497" s="1099">
        <v>1.0057834966767887</v>
      </c>
      <c r="G1497" s="1099">
        <v>1.0092425010581376</v>
      </c>
      <c r="H1497" s="1099">
        <v>1.0347622114124766</v>
      </c>
      <c r="I1497" s="1099">
        <v>0.97201727575965069</v>
      </c>
      <c r="K1497">
        <v>1.742294669357408</v>
      </c>
      <c r="L1497">
        <v>0</v>
      </c>
      <c r="M1497">
        <v>1.4040828049928329E-3</v>
      </c>
      <c r="N1497">
        <v>0.1280652218306719</v>
      </c>
      <c r="O1497">
        <v>0.12649689493875779</v>
      </c>
      <c r="P1497">
        <v>1.8389173738315643E-2</v>
      </c>
      <c r="Q1497">
        <v>8.8230493817249812E-4</v>
      </c>
      <c r="R1497">
        <v>1.4005699618094645E-3</v>
      </c>
      <c r="S1497">
        <v>0.10514414624870204</v>
      </c>
      <c r="T1497">
        <v>1.0371033758692132</v>
      </c>
      <c r="U1497">
        <v>0</v>
      </c>
      <c r="V1497">
        <v>0.20872591245235159</v>
      </c>
      <c r="W1497">
        <v>8.4272436642368664E-2</v>
      </c>
      <c r="X1497">
        <v>2.9406825803753936E-2</v>
      </c>
      <c r="Y1497">
        <v>3.8118897382815346E-3</v>
      </c>
    </row>
    <row r="1498" spans="1:25" x14ac:dyDescent="0.25">
      <c r="A1498" s="1095"/>
      <c r="B1498" s="1454">
        <v>1248</v>
      </c>
      <c r="C1498" s="1099">
        <v>1.024689227197471</v>
      </c>
      <c r="D1498" s="1099">
        <v>0.97879695793336441</v>
      </c>
      <c r="E1498" s="1099">
        <v>0.99599570083530098</v>
      </c>
      <c r="F1498" s="1099">
        <v>1.0121539946782849</v>
      </c>
      <c r="G1498" s="1099">
        <v>1.0020364354421534</v>
      </c>
      <c r="H1498" s="1099">
        <v>1.0214582064445599</v>
      </c>
      <c r="I1498" s="1099">
        <v>1.0280664732405189</v>
      </c>
      <c r="K1498">
        <v>1.7564759270066337</v>
      </c>
      <c r="L1498">
        <v>0</v>
      </c>
      <c r="M1498">
        <v>1.4042386197991568E-3</v>
      </c>
      <c r="N1498">
        <v>0.12762896285843267</v>
      </c>
      <c r="O1498">
        <v>0.12812390352986158</v>
      </c>
      <c r="P1498">
        <v>1.8546825460146472E-2</v>
      </c>
      <c r="Q1498">
        <v>8.8102220549296376E-4</v>
      </c>
      <c r="R1498">
        <v>1.4007181527073054E-3</v>
      </c>
      <c r="S1498">
        <v>0.11150998584672182</v>
      </c>
      <c r="T1498">
        <v>1.0437073982940097</v>
      </c>
      <c r="U1498">
        <v>0</v>
      </c>
      <c r="V1498">
        <v>0.20852354806260259</v>
      </c>
      <c r="W1498">
        <v>8.4043649010320756E-2</v>
      </c>
      <c r="X1498">
        <v>2.9701859141082868E-2</v>
      </c>
      <c r="Y1498">
        <v>3.8122930650543417E-3</v>
      </c>
    </row>
    <row r="1499" spans="1:25" x14ac:dyDescent="0.25">
      <c r="A1499" s="1095"/>
      <c r="B1499" s="1454">
        <v>1249</v>
      </c>
      <c r="C1499" s="1099">
        <v>0.99497873769144385</v>
      </c>
      <c r="D1499" s="1099">
        <v>1.0080240010047588</v>
      </c>
      <c r="E1499" s="1099">
        <v>0.99183902150412862</v>
      </c>
      <c r="F1499" s="1099">
        <v>1.01963532877409</v>
      </c>
      <c r="G1499" s="1099">
        <v>0.99847720378464044</v>
      </c>
      <c r="H1499" s="1099">
        <v>0.97556120237810262</v>
      </c>
      <c r="I1499" s="1099">
        <v>1.0251989002518316</v>
      </c>
      <c r="K1499">
        <v>1.7562090037992095</v>
      </c>
      <c r="L1499">
        <v>0</v>
      </c>
      <c r="M1499">
        <v>1.3666923402637665E-3</v>
      </c>
      <c r="N1499">
        <v>0.12264866947738443</v>
      </c>
      <c r="O1499">
        <v>0.1288437910211451</v>
      </c>
      <c r="P1499">
        <v>1.8585951227857857E-2</v>
      </c>
      <c r="Q1499">
        <v>8.9284521551864077E-4</v>
      </c>
      <c r="R1499">
        <v>1.3630781718101781E-3</v>
      </c>
      <c r="S1499">
        <v>0.10902287983442854</v>
      </c>
      <c r="T1499">
        <v>1.0515487187797696</v>
      </c>
      <c r="U1499">
        <v>0</v>
      </c>
      <c r="V1499">
        <v>0.21031498193684126</v>
      </c>
      <c r="W1499">
        <v>8.0964864923292884E-2</v>
      </c>
      <c r="X1499">
        <v>2.9680066106353115E-2</v>
      </c>
      <c r="Y1499">
        <v>3.7098494450687304E-3</v>
      </c>
    </row>
    <row r="1500" spans="1:25" x14ac:dyDescent="0.25">
      <c r="A1500" s="1095"/>
      <c r="B1500" s="1454">
        <v>1250</v>
      </c>
      <c r="C1500" s="1099">
        <v>0.99275127862988843</v>
      </c>
      <c r="D1500" s="1099">
        <v>0.98664321608342753</v>
      </c>
      <c r="E1500" s="1099">
        <v>1.0008108067786996</v>
      </c>
      <c r="F1500" s="1099">
        <v>1.0096392370636023</v>
      </c>
      <c r="G1500" s="1099">
        <v>0.99041207787650698</v>
      </c>
      <c r="H1500" s="1099">
        <v>1.0174942308088293</v>
      </c>
      <c r="I1500" s="1099">
        <v>0.96260931609686107</v>
      </c>
      <c r="K1500">
        <v>1.7573565954766084</v>
      </c>
      <c r="L1500">
        <v>0</v>
      </c>
      <c r="M1500">
        <v>1.4186670236626838E-3</v>
      </c>
      <c r="N1500">
        <v>0.13082729816529148</v>
      </c>
      <c r="O1500">
        <v>0.12923372192639987</v>
      </c>
      <c r="P1500">
        <v>1.8535516575328058E-2</v>
      </c>
      <c r="Q1500">
        <v>9.1100664765973206E-4</v>
      </c>
      <c r="R1500">
        <v>1.4150808746103284E-3</v>
      </c>
      <c r="S1500">
        <v>0.10677635122325026</v>
      </c>
      <c r="T1500">
        <v>1.0409694951805764</v>
      </c>
      <c r="U1500">
        <v>0</v>
      </c>
      <c r="V1500">
        <v>0.2102708626699625</v>
      </c>
      <c r="W1500">
        <v>8.5903247945806435E-2</v>
      </c>
      <c r="X1500">
        <v>3.0081297631981332E-2</v>
      </c>
      <c r="Y1500">
        <v>3.8513836594043669E-3</v>
      </c>
    </row>
    <row r="1501" spans="1:25" x14ac:dyDescent="0.25">
      <c r="A1501" s="1095"/>
      <c r="B1501" s="1454">
        <v>1251</v>
      </c>
      <c r="C1501" s="1099">
        <v>0.98040739930461451</v>
      </c>
      <c r="D1501" s="1099">
        <v>0.98396080217848747</v>
      </c>
      <c r="E1501" s="1099">
        <v>1.0104165429552057</v>
      </c>
      <c r="F1501" s="1099">
        <v>0.98041801351462254</v>
      </c>
      <c r="G1501" s="1099">
        <v>0.99471119131796459</v>
      </c>
      <c r="H1501" s="1099">
        <v>0.98741853381553668</v>
      </c>
      <c r="I1501" s="1099">
        <v>0.99813545141753324</v>
      </c>
      <c r="K1501">
        <v>1.7253151484638602</v>
      </c>
      <c r="L1501">
        <v>0</v>
      </c>
      <c r="M1501">
        <v>1.363680588676162E-3</v>
      </c>
      <c r="N1501">
        <v>0.12944696729215396</v>
      </c>
      <c r="O1501">
        <v>0.12779631321448384</v>
      </c>
      <c r="P1501">
        <v>1.8290957684250937E-2</v>
      </c>
      <c r="Q1501">
        <v>9.3269728539809244E-4</v>
      </c>
      <c r="R1501">
        <v>1.3601171095575469E-3</v>
      </c>
      <c r="S1501">
        <v>0.10989450201640175</v>
      </c>
      <c r="T1501">
        <v>1.0105631179607257</v>
      </c>
      <c r="U1501">
        <v>0</v>
      </c>
      <c r="V1501">
        <v>0.21011566891318426</v>
      </c>
      <c r="W1501">
        <v>8.4515156927001997E-2</v>
      </c>
      <c r="X1501">
        <v>3.0061540239647015E-2</v>
      </c>
      <c r="Y1501">
        <v>3.7017904097309765E-3</v>
      </c>
    </row>
    <row r="1502" spans="1:25" x14ac:dyDescent="0.25">
      <c r="A1502" s="1095"/>
      <c r="B1502" s="1454">
        <v>1252</v>
      </c>
      <c r="C1502" s="1099">
        <v>1.0397905842180946</v>
      </c>
      <c r="D1502" s="1099">
        <v>0.9626727336081824</v>
      </c>
      <c r="E1502" s="1099">
        <v>0.98975487569335308</v>
      </c>
      <c r="F1502" s="1099">
        <v>0.99042862784347985</v>
      </c>
      <c r="G1502" s="1099">
        <v>0.99350177889317492</v>
      </c>
      <c r="H1502" s="1099">
        <v>1.0238773622640469</v>
      </c>
      <c r="I1502" s="1099">
        <v>0.97417105719784469</v>
      </c>
      <c r="K1502">
        <v>1.72137087737506</v>
      </c>
      <c r="L1502">
        <v>0</v>
      </c>
      <c r="M1502">
        <v>1.418085874066708E-3</v>
      </c>
      <c r="N1502">
        <v>0.12648042068703197</v>
      </c>
      <c r="O1502">
        <v>0.12645828495380376</v>
      </c>
      <c r="P1502">
        <v>1.8044669935393935E-2</v>
      </c>
      <c r="Q1502">
        <v>8.6835620403402961E-4</v>
      </c>
      <c r="R1502">
        <v>1.4145479539963623E-3</v>
      </c>
      <c r="S1502">
        <v>0.10531157019227735</v>
      </c>
      <c r="T1502">
        <v>1.0214898107262713</v>
      </c>
      <c r="U1502">
        <v>0</v>
      </c>
      <c r="V1502">
        <v>0.20624824523125107</v>
      </c>
      <c r="W1502">
        <v>8.3598588348412523E-2</v>
      </c>
      <c r="X1502">
        <v>2.902453579148143E-2</v>
      </c>
      <c r="Y1502">
        <v>3.8499332251703869E-3</v>
      </c>
    </row>
    <row r="1503" spans="1:25" x14ac:dyDescent="0.25">
      <c r="A1503" s="1095"/>
      <c r="B1503" s="1454">
        <v>1253</v>
      </c>
      <c r="C1503" s="1099">
        <v>0.98849935076287687</v>
      </c>
      <c r="D1503" s="1099">
        <v>1.0268149799264541</v>
      </c>
      <c r="E1503" s="1099">
        <v>0.95981818226017235</v>
      </c>
      <c r="F1503" s="1099">
        <v>1.015823004874864</v>
      </c>
      <c r="G1503" s="1099">
        <v>0.99002059451754509</v>
      </c>
      <c r="H1503" s="1099">
        <v>1.0209870691895251</v>
      </c>
      <c r="I1503" s="1099">
        <v>1.0145899513469958</v>
      </c>
      <c r="K1503">
        <v>1.7551892113071017</v>
      </c>
      <c r="L1503">
        <v>0</v>
      </c>
      <c r="M1503">
        <v>1.5202308527359309E-3</v>
      </c>
      <c r="N1503">
        <v>0.12383940401719515</v>
      </c>
      <c r="O1503">
        <v>0.12791433245637801</v>
      </c>
      <c r="P1503">
        <v>1.8108502750927992E-2</v>
      </c>
      <c r="Q1503">
        <v>8.6257923634680935E-4</v>
      </c>
      <c r="R1503">
        <v>1.5163727532395076E-3</v>
      </c>
      <c r="S1503">
        <v>0.11046057775475555</v>
      </c>
      <c r="T1503">
        <v>1.048607506147561</v>
      </c>
      <c r="U1503">
        <v>0</v>
      </c>
      <c r="V1503">
        <v>0.20961500438444594</v>
      </c>
      <c r="W1503">
        <v>8.3352334012729304E-2</v>
      </c>
      <c r="X1503">
        <v>2.8305761884083579E-2</v>
      </c>
      <c r="Y1503">
        <v>4.1270667621741792E-3</v>
      </c>
    </row>
    <row r="1504" spans="1:25" x14ac:dyDescent="0.25">
      <c r="A1504" s="1095"/>
      <c r="B1504" s="1454">
        <v>1254</v>
      </c>
      <c r="C1504" s="1099">
        <v>1.015826194811793</v>
      </c>
      <c r="D1504" s="1099">
        <v>0.98842625004713902</v>
      </c>
      <c r="E1504" s="1099">
        <v>0.97991405463911996</v>
      </c>
      <c r="F1504" s="1099">
        <v>1.0239792261094489</v>
      </c>
      <c r="G1504" s="1099">
        <v>1.0030188608263129</v>
      </c>
      <c r="H1504" s="1099">
        <v>1.0109404183748369</v>
      </c>
      <c r="I1504" s="1099">
        <v>0.97989030922329967</v>
      </c>
      <c r="K1504">
        <v>1.7609766187721645</v>
      </c>
      <c r="L1504">
        <v>0</v>
      </c>
      <c r="M1504">
        <v>1.4414038745968409E-3</v>
      </c>
      <c r="N1504">
        <v>0.12478475391322444</v>
      </c>
      <c r="O1504">
        <v>0.12894834624606752</v>
      </c>
      <c r="P1504">
        <v>1.8431562841529883E-2</v>
      </c>
      <c r="Q1504">
        <v>8.7050446756657739E-4</v>
      </c>
      <c r="R1504">
        <v>1.4377468121604734E-3</v>
      </c>
      <c r="S1504">
        <v>0.10583987867118594</v>
      </c>
      <c r="T1504">
        <v>1.0563967115900164</v>
      </c>
      <c r="U1504">
        <v>0</v>
      </c>
      <c r="V1504">
        <v>0.20956892210571482</v>
      </c>
      <c r="W1504">
        <v>8.2967487992696931E-2</v>
      </c>
      <c r="X1504">
        <v>2.9259035137004934E-2</v>
      </c>
      <c r="Y1504">
        <v>3.9130728695915568E-3</v>
      </c>
    </row>
    <row r="1505" spans="1:25" x14ac:dyDescent="0.25">
      <c r="A1505" s="1095"/>
      <c r="B1505" s="1454">
        <v>1255</v>
      </c>
      <c r="C1505" s="1099">
        <v>1.0275077558941728</v>
      </c>
      <c r="D1505" s="1099">
        <v>1.0090356887491436</v>
      </c>
      <c r="E1505" s="1099">
        <v>0.98795225370817341</v>
      </c>
      <c r="F1505" s="1099">
        <v>0.96671657589845017</v>
      </c>
      <c r="G1505" s="1099">
        <v>0.98894464100853341</v>
      </c>
      <c r="H1505" s="1099">
        <v>1.001076547426395</v>
      </c>
      <c r="I1505" s="1099">
        <v>0.98354723813159695</v>
      </c>
      <c r="K1505">
        <v>1.6790778962173423</v>
      </c>
      <c r="L1505">
        <v>0</v>
      </c>
      <c r="M1505">
        <v>1.3655739304313697E-3</v>
      </c>
      <c r="N1505">
        <v>0.12112412874448124</v>
      </c>
      <c r="O1505">
        <v>0.12314350617283434</v>
      </c>
      <c r="P1505">
        <v>1.7630852467575692E-2</v>
      </c>
      <c r="Q1505">
        <v>8.6073807955108783E-4</v>
      </c>
      <c r="R1505">
        <v>1.3620473099392461E-3</v>
      </c>
      <c r="S1505">
        <v>0.10278415694351137</v>
      </c>
      <c r="T1505">
        <v>0.99708649859550025</v>
      </c>
      <c r="U1505">
        <v>0</v>
      </c>
      <c r="V1505">
        <v>0.20437719772238627</v>
      </c>
      <c r="W1505">
        <v>8.0144868440832656E-2</v>
      </c>
      <c r="X1505">
        <v>2.8222431892281078E-2</v>
      </c>
      <c r="Y1505">
        <v>3.7070437788795777E-3</v>
      </c>
    </row>
    <row r="1506" spans="1:25" x14ac:dyDescent="0.25">
      <c r="A1506" s="1095"/>
      <c r="B1506" s="1454">
        <v>1256</v>
      </c>
      <c r="C1506" s="1099">
        <v>0.99144940150934102</v>
      </c>
      <c r="D1506" s="1099">
        <v>0.99388108802050723</v>
      </c>
      <c r="E1506" s="1099">
        <v>0.97623955487545755</v>
      </c>
      <c r="F1506" s="1099">
        <v>1.0237768470966857</v>
      </c>
      <c r="G1506" s="1099">
        <v>0.96495063342903553</v>
      </c>
      <c r="H1506" s="1099">
        <v>0.99040986412037846</v>
      </c>
      <c r="I1506" s="1099">
        <v>1.0242055468851246</v>
      </c>
      <c r="K1506">
        <v>1.7666232207879442</v>
      </c>
      <c r="L1506">
        <v>0</v>
      </c>
      <c r="M1506">
        <v>1.4502282054289055E-3</v>
      </c>
      <c r="N1506">
        <v>0.12415286704798986</v>
      </c>
      <c r="O1506">
        <v>0.12993391570702448</v>
      </c>
      <c r="P1506">
        <v>1.845261346884329E-2</v>
      </c>
      <c r="Q1506">
        <v>8.865224726691891E-4</v>
      </c>
      <c r="R1506">
        <v>1.4464609596657582E-3</v>
      </c>
      <c r="S1506">
        <v>0.1113179911808016</v>
      </c>
      <c r="T1506">
        <v>1.0563022164398546</v>
      </c>
      <c r="U1506">
        <v>0</v>
      </c>
      <c r="V1506">
        <v>0.20959450348621436</v>
      </c>
      <c r="W1506">
        <v>8.2730991357199232E-2</v>
      </c>
      <c r="X1506">
        <v>2.9318576966624894E-2</v>
      </c>
      <c r="Y1506">
        <v>3.9367899064829907E-3</v>
      </c>
    </row>
    <row r="1507" spans="1:25" x14ac:dyDescent="0.25">
      <c r="A1507" s="1095"/>
      <c r="B1507" s="1454">
        <v>1257</v>
      </c>
      <c r="C1507" s="1099">
        <v>1.0064558792459146</v>
      </c>
      <c r="D1507" s="1099">
        <v>1.0270179374612496</v>
      </c>
      <c r="E1507" s="1099">
        <v>1.0266981259688384</v>
      </c>
      <c r="F1507" s="1099">
        <v>1.0297829865770702</v>
      </c>
      <c r="G1507" s="1099">
        <v>1.0214376400410485</v>
      </c>
      <c r="H1507" s="1099">
        <v>1.0204106085062283</v>
      </c>
      <c r="I1507" s="1099">
        <v>0.97443656552191227</v>
      </c>
      <c r="K1507">
        <v>1.77257476884888</v>
      </c>
      <c r="L1507">
        <v>0</v>
      </c>
      <c r="M1507">
        <v>1.3023264503153375E-3</v>
      </c>
      <c r="N1507">
        <v>0.12985777675756421</v>
      </c>
      <c r="O1507">
        <v>0.12828037711650553</v>
      </c>
      <c r="P1507">
        <v>1.9141323243956752E-2</v>
      </c>
      <c r="Q1507">
        <v>9.081797206357007E-4</v>
      </c>
      <c r="R1507">
        <v>1.2990277958213935E-3</v>
      </c>
      <c r="S1507">
        <v>0.10443119064910568</v>
      </c>
      <c r="T1507">
        <v>1.0609567405639557</v>
      </c>
      <c r="U1507">
        <v>0</v>
      </c>
      <c r="V1507">
        <v>0.210518572169447</v>
      </c>
      <c r="W1507">
        <v>8.3978679681678173E-2</v>
      </c>
      <c r="X1507">
        <v>3.0969702164698517E-2</v>
      </c>
      <c r="Y1507">
        <v>3.535525435828028E-3</v>
      </c>
    </row>
    <row r="1508" spans="1:25" x14ac:dyDescent="0.25">
      <c r="A1508" s="1095"/>
      <c r="B1508" s="1454">
        <v>1258</v>
      </c>
      <c r="C1508" s="1099">
        <v>0.96738882582652597</v>
      </c>
      <c r="D1508" s="1099">
        <v>1.0098252603711071</v>
      </c>
      <c r="E1508" s="1099">
        <v>1.0082675851481255</v>
      </c>
      <c r="F1508" s="1099">
        <v>1.0087787960549572</v>
      </c>
      <c r="G1508" s="1099">
        <v>0.99399913534403417</v>
      </c>
      <c r="H1508" s="1099">
        <v>1.0158917527256883</v>
      </c>
      <c r="I1508" s="1099">
        <v>1.0046305356627525</v>
      </c>
      <c r="K1508">
        <v>1.7673952715810357</v>
      </c>
      <c r="L1508">
        <v>0</v>
      </c>
      <c r="M1508">
        <v>1.4086698474134241E-3</v>
      </c>
      <c r="N1508">
        <v>0.13286140192593413</v>
      </c>
      <c r="O1508">
        <v>0.12947519675578484</v>
      </c>
      <c r="P1508">
        <v>1.8724275476772502E-2</v>
      </c>
      <c r="Q1508">
        <v>9.3341767805842004E-4</v>
      </c>
      <c r="R1508">
        <v>1.4050797101062941E-3</v>
      </c>
      <c r="S1508">
        <v>0.11246602441158059</v>
      </c>
      <c r="T1508">
        <v>1.0398597559106786</v>
      </c>
      <c r="U1508">
        <v>0</v>
      </c>
      <c r="V1508">
        <v>0.21193819915963841</v>
      </c>
      <c r="W1508">
        <v>8.6854469389180899E-2</v>
      </c>
      <c r="X1508">
        <v>3.0461957224205229E-2</v>
      </c>
      <c r="Y1508">
        <v>3.8241637865073794E-3</v>
      </c>
    </row>
    <row r="1509" spans="1:25" x14ac:dyDescent="0.25">
      <c r="A1509" s="1095"/>
      <c r="B1509" s="1454">
        <v>1259</v>
      </c>
      <c r="C1509" s="1099">
        <v>1.003922924971794</v>
      </c>
      <c r="D1509" s="1099">
        <v>1.0026367270230274</v>
      </c>
      <c r="E1509" s="1099">
        <v>1.0125575735375902</v>
      </c>
      <c r="F1509" s="1099">
        <v>0.98725690068207583</v>
      </c>
      <c r="G1509" s="1099">
        <v>0.99976404528065355</v>
      </c>
      <c r="H1509" s="1099">
        <v>1.0234317793827976</v>
      </c>
      <c r="I1509" s="1099">
        <v>0.98910485088700839</v>
      </c>
      <c r="K1509">
        <v>1.7276922428578019</v>
      </c>
      <c r="L1509">
        <v>0</v>
      </c>
      <c r="M1509">
        <v>1.362702767134315E-3</v>
      </c>
      <c r="N1509">
        <v>0.13020459643863116</v>
      </c>
      <c r="O1509">
        <v>0.12625605367289425</v>
      </c>
      <c r="P1509">
        <v>1.8359911553866827E-2</v>
      </c>
      <c r="Q1509">
        <v>9.0602208587743118E-4</v>
      </c>
      <c r="R1509">
        <v>1.359264165060479E-3</v>
      </c>
      <c r="S1509">
        <v>0.10777961968736625</v>
      </c>
      <c r="T1509">
        <v>1.0175501678481824</v>
      </c>
      <c r="U1509">
        <v>0</v>
      </c>
      <c r="V1509">
        <v>0.20815265574091504</v>
      </c>
      <c r="W1509">
        <v>8.4902675580268067E-2</v>
      </c>
      <c r="X1509">
        <v>2.9884509875889583E-2</v>
      </c>
      <c r="Y1509">
        <v>3.6994689759830383E-3</v>
      </c>
    </row>
    <row r="1510" spans="1:25" x14ac:dyDescent="0.25">
      <c r="A1510" s="1095"/>
      <c r="B1510" s="1454">
        <v>1260</v>
      </c>
      <c r="C1510" s="1099">
        <v>1.0004341143826698</v>
      </c>
      <c r="D1510" s="1099">
        <v>0.98740019827134384</v>
      </c>
      <c r="E1510" s="1099">
        <v>0.96703774834348932</v>
      </c>
      <c r="F1510" s="1099">
        <v>1.0021741432854396</v>
      </c>
      <c r="G1510" s="1099">
        <v>1.0327699205071723</v>
      </c>
      <c r="H1510" s="1099">
        <v>1.0350930705823498</v>
      </c>
      <c r="I1510" s="1099">
        <v>1.0214316023441818</v>
      </c>
      <c r="K1510">
        <v>1.7522827122468057</v>
      </c>
      <c r="L1510">
        <v>0</v>
      </c>
      <c r="M1510">
        <v>1.5350783326464809E-3</v>
      </c>
      <c r="N1510">
        <v>0.12782065844011758</v>
      </c>
      <c r="O1510">
        <v>0.12809063836138962</v>
      </c>
      <c r="P1510">
        <v>1.8081228722383415E-2</v>
      </c>
      <c r="Q1510">
        <v>8.7237174192230445E-4</v>
      </c>
      <c r="R1510">
        <v>1.5312633296583054E-3</v>
      </c>
      <c r="S1510">
        <v>0.11358106085730396</v>
      </c>
      <c r="T1510">
        <v>1.0342951463185699</v>
      </c>
      <c r="U1510">
        <v>0</v>
      </c>
      <c r="V1510">
        <v>0.2111536159567835</v>
      </c>
      <c r="W1510">
        <v>8.5652816223297332E-2</v>
      </c>
      <c r="X1510">
        <v>2.8571396625515947E-2</v>
      </c>
      <c r="Y1510">
        <v>4.1675940025089472E-3</v>
      </c>
    </row>
    <row r="1511" spans="1:25" x14ac:dyDescent="0.25">
      <c r="A1511" s="1095"/>
      <c r="B1511" s="1454">
        <v>1261</v>
      </c>
      <c r="C1511" s="1099">
        <v>0.97869576854415485</v>
      </c>
      <c r="D1511" s="1099">
        <v>1.0411309066723538</v>
      </c>
      <c r="E1511" s="1099">
        <v>0.98635351396619142</v>
      </c>
      <c r="F1511" s="1099">
        <v>0.98229105662208371</v>
      </c>
      <c r="G1511" s="1099">
        <v>0.99149040050828163</v>
      </c>
      <c r="H1511" s="1099">
        <v>1.0155065065664544</v>
      </c>
      <c r="I1511" s="1099">
        <v>0.97680569962842811</v>
      </c>
      <c r="K1511">
        <v>1.7139803837864658</v>
      </c>
      <c r="L1511">
        <v>0</v>
      </c>
      <c r="M1511">
        <v>1.4288048765512423E-3</v>
      </c>
      <c r="N1511">
        <v>0.126123264069049</v>
      </c>
      <c r="O1511">
        <v>0.12537252246803066</v>
      </c>
      <c r="P1511">
        <v>1.7924504190582117E-2</v>
      </c>
      <c r="Q1511">
        <v>8.9093097665975227E-4</v>
      </c>
      <c r="R1511">
        <v>1.4251363307522301E-3</v>
      </c>
      <c r="S1511">
        <v>0.10591861714512889</v>
      </c>
      <c r="T1511">
        <v>1.0131975455646671</v>
      </c>
      <c r="U1511">
        <v>0</v>
      </c>
      <c r="V1511">
        <v>0.20845430292874939</v>
      </c>
      <c r="W1511">
        <v>8.3532818702155689E-2</v>
      </c>
      <c r="X1511">
        <v>2.8690794991000034E-2</v>
      </c>
      <c r="Y1511">
        <v>3.8787512962423984E-3</v>
      </c>
    </row>
    <row r="1512" spans="1:25" x14ac:dyDescent="0.25">
      <c r="A1512" s="1095"/>
      <c r="B1512" s="1454">
        <v>1262</v>
      </c>
      <c r="C1512" s="1099">
        <v>1.0179678554561942</v>
      </c>
      <c r="D1512" s="1099">
        <v>0.98230176088225218</v>
      </c>
      <c r="E1512" s="1099">
        <v>1.0060582959346147</v>
      </c>
      <c r="F1512" s="1099">
        <v>1.0128551734081448</v>
      </c>
      <c r="G1512" s="1099">
        <v>1.0053382055158613</v>
      </c>
      <c r="H1512" s="1099">
        <v>1.0118305170210895</v>
      </c>
      <c r="I1512" s="1099">
        <v>1.006339301675599</v>
      </c>
      <c r="K1512">
        <v>1.7560724328925126</v>
      </c>
      <c r="L1512">
        <v>0</v>
      </c>
      <c r="M1512">
        <v>1.3677024962913664E-3</v>
      </c>
      <c r="N1512">
        <v>0.12814167607700819</v>
      </c>
      <c r="O1512">
        <v>0.12839452756209349</v>
      </c>
      <c r="P1512">
        <v>1.8666111103293848E-2</v>
      </c>
      <c r="Q1512">
        <v>8.948547273540619E-4</v>
      </c>
      <c r="R1512">
        <v>1.3642369552516595E-3</v>
      </c>
      <c r="S1512">
        <v>0.10894048292579145</v>
      </c>
      <c r="T1512">
        <v>1.0441277715771835</v>
      </c>
      <c r="U1512">
        <v>0</v>
      </c>
      <c r="V1512">
        <v>0.20919009845655623</v>
      </c>
      <c r="W1512">
        <v>8.3878526231286429E-2</v>
      </c>
      <c r="X1512">
        <v>3.0128846501380951E-2</v>
      </c>
      <c r="Y1512">
        <v>3.7130032716035837E-3</v>
      </c>
    </row>
    <row r="1513" spans="1:25" x14ac:dyDescent="0.25">
      <c r="A1513" s="1095"/>
      <c r="B1513" s="1454">
        <v>1263</v>
      </c>
      <c r="C1513" s="1099">
        <v>0.99872165120367673</v>
      </c>
      <c r="D1513" s="1099">
        <v>0.99734160389446136</v>
      </c>
      <c r="E1513" s="1099">
        <v>1.0350694369552005</v>
      </c>
      <c r="F1513" s="1099">
        <v>1.018095106816381</v>
      </c>
      <c r="G1513" s="1099">
        <v>0.99483143244170336</v>
      </c>
      <c r="H1513" s="1099">
        <v>0.99585938769372984</v>
      </c>
      <c r="I1513" s="1099">
        <v>1.0032777703209561</v>
      </c>
      <c r="K1513">
        <v>1.7664349251772287</v>
      </c>
      <c r="L1513">
        <v>0</v>
      </c>
      <c r="M1513">
        <v>1.2786939695812983E-3</v>
      </c>
      <c r="N1513">
        <v>0.13075286271063086</v>
      </c>
      <c r="O1513">
        <v>0.12920121851256836</v>
      </c>
      <c r="P1513">
        <v>1.9138522603875958E-2</v>
      </c>
      <c r="Q1513">
        <v>9.3395055917257859E-4</v>
      </c>
      <c r="R1513">
        <v>1.2753887224860377E-3</v>
      </c>
      <c r="S1513">
        <v>0.10851199180830913</v>
      </c>
      <c r="T1513">
        <v>1.0486694825320682</v>
      </c>
      <c r="U1513">
        <v>0</v>
      </c>
      <c r="V1513">
        <v>0.21018716495915943</v>
      </c>
      <c r="W1513">
        <v>8.4147914650665623E-2</v>
      </c>
      <c r="X1513">
        <v>3.1423934417043352E-2</v>
      </c>
      <c r="Y1513">
        <v>3.4711876708276206E-3</v>
      </c>
    </row>
    <row r="1514" spans="1:25" x14ac:dyDescent="0.25">
      <c r="A1514" s="1095"/>
      <c r="B1514" s="1454">
        <v>1264</v>
      </c>
      <c r="C1514" s="1099">
        <v>0.98799047130801376</v>
      </c>
      <c r="D1514" s="1099">
        <v>1.0333608520826902</v>
      </c>
      <c r="E1514" s="1099">
        <v>0.96578305040989187</v>
      </c>
      <c r="F1514" s="1099">
        <v>0.96215935091744187</v>
      </c>
      <c r="G1514" s="1099">
        <v>0.98978179765922514</v>
      </c>
      <c r="H1514" s="1099">
        <v>0.97555078356113922</v>
      </c>
      <c r="I1514" s="1099">
        <v>1.0290991613789398</v>
      </c>
      <c r="K1514">
        <v>1.6782803026279016</v>
      </c>
      <c r="L1514">
        <v>0</v>
      </c>
      <c r="M1514">
        <v>1.4235180946077476E-3</v>
      </c>
      <c r="N1514">
        <v>0.11805977290685356</v>
      </c>
      <c r="O1514">
        <v>0.12361197629053981</v>
      </c>
      <c r="P1514">
        <v>1.7383058753973168E-2</v>
      </c>
      <c r="Q1514">
        <v>8.6628061541874253E-4</v>
      </c>
      <c r="R1514">
        <v>1.4197148751299072E-3</v>
      </c>
      <c r="S1514">
        <v>0.10810175168215931</v>
      </c>
      <c r="T1514">
        <v>0.99303492645658342</v>
      </c>
      <c r="U1514">
        <v>0</v>
      </c>
      <c r="V1514">
        <v>0.20667690153690821</v>
      </c>
      <c r="W1514">
        <v>7.9172641805952793E-2</v>
      </c>
      <c r="X1514">
        <v>2.7512799917768976E-2</v>
      </c>
      <c r="Y1514">
        <v>3.863995881220801E-3</v>
      </c>
    </row>
    <row r="1515" spans="1:25" x14ac:dyDescent="0.25">
      <c r="A1515" s="1095"/>
      <c r="B1515" s="1454">
        <v>1265</v>
      </c>
      <c r="C1515" s="1099">
        <v>1.0039882108283145</v>
      </c>
      <c r="D1515" s="1099">
        <v>0.99018692368135297</v>
      </c>
      <c r="E1515" s="1099">
        <v>0.99496214727291921</v>
      </c>
      <c r="F1515" s="1099">
        <v>0.97710556073751831</v>
      </c>
      <c r="G1515" s="1099">
        <v>0.98505496286426175</v>
      </c>
      <c r="H1515" s="1099">
        <v>1.0121452892785834</v>
      </c>
      <c r="I1515" s="1099">
        <v>0.98654151482528252</v>
      </c>
      <c r="K1515">
        <v>1.711450428175862</v>
      </c>
      <c r="L1515">
        <v>0</v>
      </c>
      <c r="M1515">
        <v>1.406733669132442E-3</v>
      </c>
      <c r="N1515">
        <v>0.12745176852011891</v>
      </c>
      <c r="O1515">
        <v>0.1259709465125298</v>
      </c>
      <c r="P1515">
        <v>1.7968970153249959E-2</v>
      </c>
      <c r="Q1515">
        <v>8.9407524715291839E-4</v>
      </c>
      <c r="R1515">
        <v>1.4031495334050638E-3</v>
      </c>
      <c r="S1515">
        <v>0.10745195303647091</v>
      </c>
      <c r="T1515">
        <v>1.0075965035644074</v>
      </c>
      <c r="U1515">
        <v>0</v>
      </c>
      <c r="V1515">
        <v>0.20722369173882321</v>
      </c>
      <c r="W1515">
        <v>8.3978722252015248E-2</v>
      </c>
      <c r="X1515">
        <v>2.9098470805009508E-2</v>
      </c>
      <c r="Y1515">
        <v>3.8189104818092084E-3</v>
      </c>
    </row>
    <row r="1516" spans="1:25" x14ac:dyDescent="0.25">
      <c r="A1516" s="1095"/>
      <c r="B1516" s="1454">
        <v>1266</v>
      </c>
      <c r="C1516" s="1099">
        <v>0.95915876315806525</v>
      </c>
      <c r="D1516" s="1099">
        <v>0.95822772060763939</v>
      </c>
      <c r="E1516" s="1099">
        <v>1.0346112260999043</v>
      </c>
      <c r="F1516" s="1099">
        <v>0.99160389922917125</v>
      </c>
      <c r="G1516" s="1099">
        <v>0.98872078940782049</v>
      </c>
      <c r="H1516" s="1099">
        <v>1.0252797929919513</v>
      </c>
      <c r="I1516" s="1099">
        <v>0.98789852405582168</v>
      </c>
      <c r="K1516">
        <v>1.7714447807807876</v>
      </c>
      <c r="L1516">
        <v>0</v>
      </c>
      <c r="M1516">
        <v>1.3964884600779406E-3</v>
      </c>
      <c r="N1516">
        <v>0.14261208578053713</v>
      </c>
      <c r="O1516">
        <v>0.1311462667879367</v>
      </c>
      <c r="P1516">
        <v>1.8894510331458822E-2</v>
      </c>
      <c r="Q1516">
        <v>9.8770076102089929E-4</v>
      </c>
      <c r="R1516">
        <v>1.3929880175886106E-3</v>
      </c>
      <c r="S1516">
        <v>0.11576786879757302</v>
      </c>
      <c r="T1516">
        <v>1.0213957567836103</v>
      </c>
      <c r="U1516">
        <v>0</v>
      </c>
      <c r="V1516">
        <v>0.21321100614636565</v>
      </c>
      <c r="W1516">
        <v>9.1804413300321894E-2</v>
      </c>
      <c r="X1516">
        <v>3.183741834895349E-2</v>
      </c>
      <c r="Y1516">
        <v>3.7912541854996117E-3</v>
      </c>
    </row>
    <row r="1517" spans="1:25" x14ac:dyDescent="0.25">
      <c r="A1517" s="1095"/>
      <c r="B1517" s="1454">
        <v>1267</v>
      </c>
      <c r="C1517" s="1099">
        <v>1.0022747748491787</v>
      </c>
      <c r="D1517" s="1099">
        <v>1.0065051327581209</v>
      </c>
      <c r="E1517" s="1099">
        <v>0.98932021807468473</v>
      </c>
      <c r="F1517" s="1099">
        <v>0.99161507484216771</v>
      </c>
      <c r="G1517" s="1099">
        <v>1.0065390438885555</v>
      </c>
      <c r="H1517" s="1099">
        <v>0.98866959803505372</v>
      </c>
      <c r="I1517" s="1099">
        <v>0.97696650424642228</v>
      </c>
      <c r="K1517">
        <v>1.7177930330626976</v>
      </c>
      <c r="L1517">
        <v>0</v>
      </c>
      <c r="M1517">
        <v>1.380913566550758E-3</v>
      </c>
      <c r="N1517">
        <v>0.12298861891317392</v>
      </c>
      <c r="O1517">
        <v>0.12640375503685572</v>
      </c>
      <c r="P1517">
        <v>1.8070449398416358E-2</v>
      </c>
      <c r="Q1517">
        <v>8.8455583155144302E-4</v>
      </c>
      <c r="R1517">
        <v>1.3773047642283186E-3</v>
      </c>
      <c r="S1517">
        <v>0.10399933872240862</v>
      </c>
      <c r="T1517">
        <v>1.0227264134084457</v>
      </c>
      <c r="U1517">
        <v>0</v>
      </c>
      <c r="V1517">
        <v>0.20866506110564487</v>
      </c>
      <c r="W1517">
        <v>8.1311822055480334E-2</v>
      </c>
      <c r="X1517">
        <v>2.8998057853204959E-2</v>
      </c>
      <c r="Y1517">
        <v>3.7485695398359786E-3</v>
      </c>
    </row>
    <row r="1518" spans="1:25" x14ac:dyDescent="0.25">
      <c r="A1518" s="1095"/>
      <c r="B1518" s="1454">
        <v>1268</v>
      </c>
      <c r="C1518" s="1099">
        <v>1.0004180486133596</v>
      </c>
      <c r="D1518" s="1099">
        <v>1.0147234806230698</v>
      </c>
      <c r="E1518" s="1099">
        <v>1.002508393199363</v>
      </c>
      <c r="F1518" s="1099">
        <v>0.98625022871054246</v>
      </c>
      <c r="G1518" s="1099">
        <v>1.013350946925867</v>
      </c>
      <c r="H1518" s="1099">
        <v>0.97838241100407708</v>
      </c>
      <c r="I1518" s="1099">
        <v>0.98519333171673107</v>
      </c>
      <c r="K1518">
        <v>1.7104257992466367</v>
      </c>
      <c r="L1518">
        <v>0</v>
      </c>
      <c r="M1518">
        <v>1.3249798842136732E-3</v>
      </c>
      <c r="N1518">
        <v>0.1228012069534935</v>
      </c>
      <c r="O1518">
        <v>0.12577643624718343</v>
      </c>
      <c r="P1518">
        <v>1.8166468828107182E-2</v>
      </c>
      <c r="Q1518">
        <v>8.9550736890896222E-4</v>
      </c>
      <c r="R1518">
        <v>1.3214733138180636E-3</v>
      </c>
      <c r="S1518">
        <v>0.103822848915178</v>
      </c>
      <c r="T1518">
        <v>1.0168050117030456</v>
      </c>
      <c r="U1518">
        <v>0</v>
      </c>
      <c r="V1518">
        <v>0.2086673788630142</v>
      </c>
      <c r="W1518">
        <v>8.0551983430234758E-2</v>
      </c>
      <c r="X1518">
        <v>2.93458487712152E-2</v>
      </c>
      <c r="Y1518">
        <v>3.5966147366519458E-3</v>
      </c>
    </row>
    <row r="1519" spans="1:25" x14ac:dyDescent="0.25">
      <c r="A1519" s="1095"/>
      <c r="B1519" s="1454">
        <v>1269</v>
      </c>
      <c r="C1519" s="1099">
        <v>1.0046884719697426</v>
      </c>
      <c r="D1519" s="1099">
        <v>1.0242498931116442</v>
      </c>
      <c r="E1519" s="1099">
        <v>1.0181639135669527</v>
      </c>
      <c r="F1519" s="1099">
        <v>0.98062382080832933</v>
      </c>
      <c r="G1519" s="1099">
        <v>1.0161900045314887</v>
      </c>
      <c r="H1519" s="1099">
        <v>0.99535962383711085</v>
      </c>
      <c r="I1519" s="1099">
        <v>0.99223882498009008</v>
      </c>
      <c r="K1519">
        <v>1.7075154323999708</v>
      </c>
      <c r="L1519">
        <v>0</v>
      </c>
      <c r="M1519">
        <v>1.2919818621758264E-3</v>
      </c>
      <c r="N1519">
        <v>0.12554321659744569</v>
      </c>
      <c r="O1519">
        <v>0.12477260344981778</v>
      </c>
      <c r="P1519">
        <v>1.8293194334122291E-2</v>
      </c>
      <c r="Q1519">
        <v>9.0283148131276871E-4</v>
      </c>
      <c r="R1519">
        <v>1.2886145490869155E-3</v>
      </c>
      <c r="S1519">
        <v>0.10469236408836098</v>
      </c>
      <c r="T1519">
        <v>1.0105526338941868</v>
      </c>
      <c r="U1519">
        <v>0</v>
      </c>
      <c r="V1519">
        <v>0.20792281394313228</v>
      </c>
      <c r="W1519">
        <v>8.1594073273209167E-2</v>
      </c>
      <c r="X1519">
        <v>2.9737884640527124E-2</v>
      </c>
      <c r="Y1519">
        <v>3.5071840109426418E-3</v>
      </c>
    </row>
    <row r="1520" spans="1:25" x14ac:dyDescent="0.25">
      <c r="A1520" s="1095"/>
      <c r="B1520" s="1454">
        <v>1270</v>
      </c>
      <c r="C1520" s="1099">
        <v>1.0251923303532378</v>
      </c>
      <c r="D1520" s="1099">
        <v>1.0150527351607312</v>
      </c>
      <c r="E1520" s="1099">
        <v>0.98731684388634755</v>
      </c>
      <c r="F1520" s="1099">
        <v>1.0149516184408756</v>
      </c>
      <c r="G1520" s="1099">
        <v>1.005477418716191</v>
      </c>
      <c r="H1520" s="1099">
        <v>0.99043961828650806</v>
      </c>
      <c r="I1520" s="1099">
        <v>1.0027942431267902</v>
      </c>
      <c r="K1520">
        <v>1.7368380248346174</v>
      </c>
      <c r="L1520">
        <v>0</v>
      </c>
      <c r="M1520">
        <v>1.3564529275077225E-3</v>
      </c>
      <c r="N1520">
        <v>0.12008168845522313</v>
      </c>
      <c r="O1520">
        <v>0.1266025098228831</v>
      </c>
      <c r="P1520">
        <v>1.8358415252879113E-2</v>
      </c>
      <c r="Q1520">
        <v>8.600623568109395E-4</v>
      </c>
      <c r="R1520">
        <v>1.3529220962431236E-3</v>
      </c>
      <c r="S1520">
        <v>0.10418880268459331</v>
      </c>
      <c r="T1520">
        <v>1.0468562799675682</v>
      </c>
      <c r="U1520">
        <v>0</v>
      </c>
      <c r="V1520">
        <v>0.20768027664484651</v>
      </c>
      <c r="W1520">
        <v>7.9485418200825803E-2</v>
      </c>
      <c r="X1520">
        <v>2.9045894324925731E-2</v>
      </c>
      <c r="Y1520">
        <v>3.6822079553246209E-3</v>
      </c>
    </row>
    <row r="1521" spans="1:25" x14ac:dyDescent="0.25">
      <c r="A1521" s="1095"/>
      <c r="B1521" s="1454">
        <v>1271</v>
      </c>
      <c r="C1521" s="1099">
        <v>1.0138435662521406</v>
      </c>
      <c r="D1521" s="1099">
        <v>1.0041220520917056</v>
      </c>
      <c r="E1521" s="1099">
        <v>1.0195099230102243</v>
      </c>
      <c r="F1521" s="1099">
        <v>1.0155501359394372</v>
      </c>
      <c r="G1521" s="1099">
        <v>1.0179855426165227</v>
      </c>
      <c r="H1521" s="1099">
        <v>1.0056303067896473</v>
      </c>
      <c r="I1521" s="1099">
        <v>0.99949141037711398</v>
      </c>
      <c r="K1521">
        <v>1.7554511612472381</v>
      </c>
      <c r="L1521">
        <v>0</v>
      </c>
      <c r="M1521">
        <v>1.309955270618355E-3</v>
      </c>
      <c r="N1521">
        <v>0.12781355667655198</v>
      </c>
      <c r="O1521">
        <v>0.12785114256924823</v>
      </c>
      <c r="P1521">
        <v>1.8861423414671626E-2</v>
      </c>
      <c r="Q1521">
        <v>9.0305660961632417E-4</v>
      </c>
      <c r="R1521">
        <v>1.306601173227184E-3</v>
      </c>
      <c r="S1521">
        <v>0.10676021582117545</v>
      </c>
      <c r="T1521">
        <v>1.0465050355120786</v>
      </c>
      <c r="U1521">
        <v>0</v>
      </c>
      <c r="V1521">
        <v>0.20965991083280411</v>
      </c>
      <c r="W1521">
        <v>8.300418093553702E-2</v>
      </c>
      <c r="X1521">
        <v>3.0539855300380565E-2</v>
      </c>
      <c r="Y1521">
        <v>3.5561376725634E-3</v>
      </c>
    </row>
    <row r="1522" spans="1:25" x14ac:dyDescent="0.25">
      <c r="A1522" s="1095"/>
      <c r="B1522" s="1454">
        <v>1272</v>
      </c>
      <c r="C1522" s="1099">
        <v>1.014934140259613</v>
      </c>
      <c r="D1522" s="1099">
        <v>1.0087507567254699</v>
      </c>
      <c r="E1522" s="1099">
        <v>1.0169308218566313</v>
      </c>
      <c r="F1522" s="1099">
        <v>1.01394965818451</v>
      </c>
      <c r="G1522" s="1099">
        <v>0.96847608313823197</v>
      </c>
      <c r="H1522" s="1099">
        <v>0.99155041533369981</v>
      </c>
      <c r="I1522" s="1099">
        <v>1.0090356832084606</v>
      </c>
      <c r="K1522">
        <v>1.745883922032651</v>
      </c>
      <c r="L1522">
        <v>0</v>
      </c>
      <c r="M1522">
        <v>1.2935823821185518E-3</v>
      </c>
      <c r="N1522">
        <v>0.12523281896761382</v>
      </c>
      <c r="O1522">
        <v>0.12745398775896227</v>
      </c>
      <c r="P1522">
        <v>1.8761210171831848E-2</v>
      </c>
      <c r="Q1522">
        <v>8.9804684766219716E-4</v>
      </c>
      <c r="R1522">
        <v>1.2902200569487191E-3</v>
      </c>
      <c r="S1522">
        <v>0.1063742618159127</v>
      </c>
      <c r="T1522">
        <v>1.0449320979470629</v>
      </c>
      <c r="U1522">
        <v>0</v>
      </c>
      <c r="V1522">
        <v>0.20694697045138877</v>
      </c>
      <c r="W1522">
        <v>8.1451190145533064E-2</v>
      </c>
      <c r="X1522">
        <v>3.0325146577765603E-2</v>
      </c>
      <c r="Y1522">
        <v>3.5115536740869487E-3</v>
      </c>
    </row>
    <row r="1523" spans="1:25" x14ac:dyDescent="0.25">
      <c r="A1523" s="1095"/>
      <c r="B1523" s="1454">
        <v>1273</v>
      </c>
      <c r="C1523" s="1099">
        <v>0.98645088825932992</v>
      </c>
      <c r="D1523" s="1099">
        <v>0.96082483941185359</v>
      </c>
      <c r="E1523" s="1099">
        <v>1.000848737280835</v>
      </c>
      <c r="F1523" s="1099">
        <v>1.0407954467107257</v>
      </c>
      <c r="G1523" s="1099">
        <v>1.001736925017584</v>
      </c>
      <c r="H1523" s="1099">
        <v>1.0057968666835799</v>
      </c>
      <c r="I1523" s="1099">
        <v>1.0333557892769267</v>
      </c>
      <c r="K1523">
        <v>1.8111038106186279</v>
      </c>
      <c r="L1523">
        <v>0</v>
      </c>
      <c r="M1523">
        <v>1.4364943632931882E-3</v>
      </c>
      <c r="N1523">
        <v>0.13248500599203999</v>
      </c>
      <c r="O1523">
        <v>0.13319361013868783</v>
      </c>
      <c r="P1523">
        <v>1.9156259574949239E-2</v>
      </c>
      <c r="Q1523">
        <v>9.2663770886163726E-4</v>
      </c>
      <c r="R1523">
        <v>1.4328471134557367E-3</v>
      </c>
      <c r="S1523">
        <v>0.11654648098311632</v>
      </c>
      <c r="T1523">
        <v>1.0730913449987574</v>
      </c>
      <c r="U1523">
        <v>0</v>
      </c>
      <c r="V1523">
        <v>0.21381666789514939</v>
      </c>
      <c r="W1523">
        <v>8.6989764985030707E-2</v>
      </c>
      <c r="X1523">
        <v>3.1001948086971189E-2</v>
      </c>
      <c r="Y1523">
        <v>3.8997375049025069E-3</v>
      </c>
    </row>
    <row r="1524" spans="1:25" x14ac:dyDescent="0.25">
      <c r="A1524" s="1095"/>
      <c r="B1524" s="1454">
        <v>1274</v>
      </c>
      <c r="C1524" s="1099">
        <v>1.0310907360100945</v>
      </c>
      <c r="D1524" s="1099">
        <v>1.0127329309134077</v>
      </c>
      <c r="E1524" s="1099">
        <v>1.0043986030294176</v>
      </c>
      <c r="F1524" s="1099">
        <v>1.0292963987382402</v>
      </c>
      <c r="G1524" s="1099">
        <v>0.99698295573327067</v>
      </c>
      <c r="H1524" s="1099">
        <v>1.0135379624155165</v>
      </c>
      <c r="I1524" s="1099">
        <v>1.010635925610093</v>
      </c>
      <c r="K1524">
        <v>1.761998132057635</v>
      </c>
      <c r="L1524">
        <v>0</v>
      </c>
      <c r="M1524">
        <v>1.3360707429990652E-3</v>
      </c>
      <c r="N1524">
        <v>0.12455161093503545</v>
      </c>
      <c r="O1524">
        <v>0.12754173954591136</v>
      </c>
      <c r="P1524">
        <v>1.881798698403633E-2</v>
      </c>
      <c r="Q1524">
        <v>8.7125335931540089E-4</v>
      </c>
      <c r="R1524">
        <v>1.3326791433491678E-3</v>
      </c>
      <c r="S1524">
        <v>0.10626576799587142</v>
      </c>
      <c r="T1524">
        <v>1.0611271484027742</v>
      </c>
      <c r="U1524">
        <v>0</v>
      </c>
      <c r="V1524">
        <v>0.20764686549485267</v>
      </c>
      <c r="W1524">
        <v>8.1608684564647427E-2</v>
      </c>
      <c r="X1524">
        <v>2.9943353064205754E-2</v>
      </c>
      <c r="Y1524">
        <v>3.6271133106348988E-3</v>
      </c>
    </row>
    <row r="1525" spans="1:25" x14ac:dyDescent="0.25">
      <c r="A1525" s="1095"/>
      <c r="B1525" s="1454">
        <v>1275</v>
      </c>
      <c r="C1525" s="1099">
        <v>1.0012580743750257</v>
      </c>
      <c r="D1525" s="1099">
        <v>1.0015054917678461</v>
      </c>
      <c r="E1525" s="1099">
        <v>0.98496382481436384</v>
      </c>
      <c r="F1525" s="1099">
        <v>1.0030899306360825</v>
      </c>
      <c r="G1525" s="1099">
        <v>0.97929509824370309</v>
      </c>
      <c r="H1525" s="1099">
        <v>1.0258948310592237</v>
      </c>
      <c r="I1525" s="1099">
        <v>0.99048243103233691</v>
      </c>
      <c r="K1525">
        <v>1.7434568638305032</v>
      </c>
      <c r="L1525">
        <v>0</v>
      </c>
      <c r="M1525">
        <v>1.4529309453176072E-3</v>
      </c>
      <c r="N1525">
        <v>0.12772188077565153</v>
      </c>
      <c r="O1525">
        <v>0.12753730645116426</v>
      </c>
      <c r="P1525">
        <v>1.8226499094532101E-2</v>
      </c>
      <c r="Q1525">
        <v>8.8319374353713681E-4</v>
      </c>
      <c r="R1525">
        <v>1.4492784848065385E-3</v>
      </c>
      <c r="S1525">
        <v>0.1084963136954888</v>
      </c>
      <c r="T1525">
        <v>1.0346928636620558</v>
      </c>
      <c r="U1525">
        <v>0</v>
      </c>
      <c r="V1525">
        <v>0.20816865092304146</v>
      </c>
      <c r="W1525">
        <v>8.4662295166207574E-2</v>
      </c>
      <c r="X1525">
        <v>2.9127054498215108E-2</v>
      </c>
      <c r="Y1525">
        <v>3.9444582811192803E-3</v>
      </c>
    </row>
    <row r="1526" spans="1:25" x14ac:dyDescent="0.25">
      <c r="A1526" s="1095"/>
      <c r="B1526" s="1454">
        <v>1276</v>
      </c>
      <c r="C1526" s="1099">
        <v>1.0134072095632665</v>
      </c>
      <c r="D1526" s="1099">
        <v>1.0059110865517271</v>
      </c>
      <c r="E1526" s="1099">
        <v>0.97146716037348446</v>
      </c>
      <c r="F1526" s="1099">
        <v>1.0004367665881952</v>
      </c>
      <c r="G1526" s="1099">
        <v>1.0265243705177018</v>
      </c>
      <c r="H1526" s="1099">
        <v>0.97489240416481604</v>
      </c>
      <c r="I1526" s="1099">
        <v>0.97790023974322005</v>
      </c>
      <c r="K1526">
        <v>1.7181685812562322</v>
      </c>
      <c r="L1526">
        <v>0</v>
      </c>
      <c r="M1526">
        <v>1.4001833416568846E-3</v>
      </c>
      <c r="N1526">
        <v>0.11814370212918526</v>
      </c>
      <c r="O1526">
        <v>0.12646086268090434</v>
      </c>
      <c r="P1526">
        <v>1.7937337682295107E-2</v>
      </c>
      <c r="Q1526">
        <v>8.588297653884041E-4</v>
      </c>
      <c r="R1526">
        <v>1.3964790773212208E-3</v>
      </c>
      <c r="S1526">
        <v>0.10214787561282622</v>
      </c>
      <c r="T1526">
        <v>1.0323662816024413</v>
      </c>
      <c r="U1526">
        <v>0</v>
      </c>
      <c r="V1526">
        <v>0.20913349941920209</v>
      </c>
      <c r="W1526">
        <v>7.8955005313670515E-2</v>
      </c>
      <c r="X1526">
        <v>2.8368135615388815E-2</v>
      </c>
      <c r="Y1526">
        <v>3.8007556992642457E-3</v>
      </c>
    </row>
    <row r="1527" spans="1:25" x14ac:dyDescent="0.25">
      <c r="A1527" s="1095"/>
      <c r="B1527" s="1454">
        <v>1277</v>
      </c>
      <c r="C1527" s="1099">
        <v>0.98004256512345345</v>
      </c>
      <c r="D1527" s="1099">
        <v>0.97858714528760582</v>
      </c>
      <c r="E1527" s="1099">
        <v>1.0224798964137032</v>
      </c>
      <c r="F1527" s="1099">
        <v>1.0194894019085261</v>
      </c>
      <c r="G1527" s="1099">
        <v>1.0011563901888969</v>
      </c>
      <c r="H1527" s="1099">
        <v>1.0009960534119804</v>
      </c>
      <c r="I1527" s="1099">
        <v>0.99708273274152437</v>
      </c>
      <c r="K1527">
        <v>1.7811552861184199</v>
      </c>
      <c r="L1527">
        <v>0</v>
      </c>
      <c r="M1527">
        <v>1.3577300946436314E-3</v>
      </c>
      <c r="N1527">
        <v>0.13366642274764831</v>
      </c>
      <c r="O1527">
        <v>0.13113758025196878</v>
      </c>
      <c r="P1527">
        <v>1.9065024248481558E-2</v>
      </c>
      <c r="Q1527">
        <v>9.4675644331787122E-4</v>
      </c>
      <c r="R1527">
        <v>1.3542459807085274E-3</v>
      </c>
      <c r="S1527">
        <v>0.11143690471054266</v>
      </c>
      <c r="T1527">
        <v>1.050476250776341</v>
      </c>
      <c r="U1527">
        <v>0</v>
      </c>
      <c r="V1527">
        <v>0.21272891101566788</v>
      </c>
      <c r="W1527">
        <v>8.665454312305329E-2</v>
      </c>
      <c r="X1527">
        <v>3.1360565782910653E-2</v>
      </c>
      <c r="Y1527">
        <v>3.6858111324210505E-3</v>
      </c>
    </row>
    <row r="1528" spans="1:25" x14ac:dyDescent="0.25">
      <c r="A1528" s="1095"/>
      <c r="B1528" s="1454">
        <v>1278</v>
      </c>
      <c r="C1528" s="1099">
        <v>1.0356377555487239</v>
      </c>
      <c r="D1528" s="1099">
        <v>0.99711364937186231</v>
      </c>
      <c r="E1528" s="1099">
        <v>1.022302498418137</v>
      </c>
      <c r="F1528" s="1099">
        <v>1.017968321466949</v>
      </c>
      <c r="G1528" s="1099">
        <v>1.0106530204010609</v>
      </c>
      <c r="H1528" s="1099">
        <v>0.99946488648492171</v>
      </c>
      <c r="I1528" s="1099">
        <v>0.99894533446706901</v>
      </c>
      <c r="K1528">
        <v>1.7491841172061486</v>
      </c>
      <c r="L1528">
        <v>0</v>
      </c>
      <c r="M1528">
        <v>1.274835493468685E-3</v>
      </c>
      <c r="N1528">
        <v>0.12543821852403503</v>
      </c>
      <c r="O1528">
        <v>0.12726539380617374</v>
      </c>
      <c r="P1528">
        <v>1.8879165231761069E-2</v>
      </c>
      <c r="Q1528">
        <v>8.8907487401312078E-4</v>
      </c>
      <c r="R1528">
        <v>1.2715618475159088E-3</v>
      </c>
      <c r="S1528">
        <v>0.10462733482794202</v>
      </c>
      <c r="T1528">
        <v>1.0489141862199132</v>
      </c>
      <c r="U1528">
        <v>0</v>
      </c>
      <c r="V1528">
        <v>0.20788105467072182</v>
      </c>
      <c r="W1528">
        <v>8.1328709023068518E-2</v>
      </c>
      <c r="X1528">
        <v>3.0503481495781842E-2</v>
      </c>
      <c r="Y1528">
        <v>3.4607721786879247E-3</v>
      </c>
    </row>
    <row r="1529" spans="1:25" x14ac:dyDescent="0.25">
      <c r="A1529" s="1095"/>
      <c r="B1529" s="1454">
        <v>1279</v>
      </c>
      <c r="C1529" s="1099">
        <v>1.0199351943690871</v>
      </c>
      <c r="D1529" s="1099">
        <v>0.97717344674049234</v>
      </c>
      <c r="E1529" s="1099">
        <v>1.0140866513833793</v>
      </c>
      <c r="F1529" s="1099">
        <v>0.99807398085926324</v>
      </c>
      <c r="G1529" s="1099">
        <v>0.95759232378441606</v>
      </c>
      <c r="H1529" s="1099">
        <v>0.98047149318824101</v>
      </c>
      <c r="I1529" s="1099">
        <v>0.97299716690519178</v>
      </c>
      <c r="K1529">
        <v>1.7251213267373535</v>
      </c>
      <c r="L1529">
        <v>0</v>
      </c>
      <c r="M1529">
        <v>1.3034400163418568E-3</v>
      </c>
      <c r="N1529">
        <v>0.12510670189152023</v>
      </c>
      <c r="O1529">
        <v>0.12744266008946653</v>
      </c>
      <c r="P1529">
        <v>1.844370324516233E-2</v>
      </c>
      <c r="Q1529">
        <v>9.0244139718679759E-4</v>
      </c>
      <c r="R1529">
        <v>1.3000312425159469E-3</v>
      </c>
      <c r="S1529">
        <v>0.10328315326831329</v>
      </c>
      <c r="T1529">
        <v>1.028654398933976</v>
      </c>
      <c r="U1529">
        <v>0</v>
      </c>
      <c r="V1529">
        <v>0.2061258071121588</v>
      </c>
      <c r="W1529">
        <v>8.1505154121006687E-2</v>
      </c>
      <c r="X1529">
        <v>3.0122458965443639E-2</v>
      </c>
      <c r="Y1529">
        <v>3.5382564869444878E-3</v>
      </c>
    </row>
    <row r="1530" spans="1:25" x14ac:dyDescent="0.25">
      <c r="A1530" s="1095"/>
      <c r="B1530" s="1454">
        <v>1280</v>
      </c>
      <c r="C1530" s="1099">
        <v>0.99708854346358433</v>
      </c>
      <c r="D1530" s="1099">
        <v>1.0118311730912088</v>
      </c>
      <c r="E1530" s="1099">
        <v>1.031098520648249</v>
      </c>
      <c r="F1530" s="1099">
        <v>0.99641758382781309</v>
      </c>
      <c r="G1530" s="1099">
        <v>0.97710373454017541</v>
      </c>
      <c r="H1530" s="1099">
        <v>1.0044854418312403</v>
      </c>
      <c r="I1530" s="1099">
        <v>0.96630252629141467</v>
      </c>
      <c r="K1530">
        <v>1.7335954851018927</v>
      </c>
      <c r="L1530">
        <v>0</v>
      </c>
      <c r="M1530">
        <v>1.2890309106685612E-3</v>
      </c>
      <c r="N1530">
        <v>0.1302430957924674</v>
      </c>
      <c r="O1530">
        <v>0.12696236270399452</v>
      </c>
      <c r="P1530">
        <v>1.8681221874373478E-2</v>
      </c>
      <c r="Q1530">
        <v>9.2634349518625804E-4</v>
      </c>
      <c r="R1530">
        <v>1.2857119336657256E-3</v>
      </c>
      <c r="S1530">
        <v>0.10419495462576293</v>
      </c>
      <c r="T1530">
        <v>1.0264547073680947</v>
      </c>
      <c r="U1530">
        <v>0</v>
      </c>
      <c r="V1530">
        <v>0.20789148928006657</v>
      </c>
      <c r="W1530">
        <v>8.4012808194551786E-2</v>
      </c>
      <c r="X1530">
        <v>3.0732536695783456E-2</v>
      </c>
      <c r="Y1530">
        <v>3.4992840486130806E-3</v>
      </c>
    </row>
    <row r="1531" spans="1:25" x14ac:dyDescent="0.25">
      <c r="A1531" s="1095"/>
      <c r="B1531" s="1454">
        <v>1281</v>
      </c>
      <c r="C1531" s="1099">
        <v>0.98535659190794656</v>
      </c>
      <c r="D1531" s="1099">
        <v>1.0190620883770545</v>
      </c>
      <c r="E1531" s="1099">
        <v>1.0028139663558431</v>
      </c>
      <c r="F1531" s="1099">
        <v>0.9559353709414864</v>
      </c>
      <c r="G1531" s="1099">
        <v>1.0299587500231016</v>
      </c>
      <c r="H1531" s="1099">
        <v>0.97056091450978066</v>
      </c>
      <c r="I1531" s="1099">
        <v>0.97586532131796166</v>
      </c>
      <c r="K1531">
        <v>1.6766227433489795</v>
      </c>
      <c r="L1531">
        <v>0</v>
      </c>
      <c r="M1531">
        <v>1.3249892313880064E-3</v>
      </c>
      <c r="N1531">
        <v>0.12291126569322658</v>
      </c>
      <c r="O1531">
        <v>0.12403541313576039</v>
      </c>
      <c r="P1531">
        <v>1.7741680084039684E-2</v>
      </c>
      <c r="Q1531">
        <v>9.0793232816069227E-4</v>
      </c>
      <c r="R1531">
        <v>1.3214373857126196E-3</v>
      </c>
      <c r="S1531">
        <v>0.10333848469359536</v>
      </c>
      <c r="T1531">
        <v>0.98554231620451838</v>
      </c>
      <c r="U1531">
        <v>0</v>
      </c>
      <c r="V1531">
        <v>0.20903214306005283</v>
      </c>
      <c r="W1531">
        <v>8.0609566348081876E-2</v>
      </c>
      <c r="X1531">
        <v>2.8910976695025747E-2</v>
      </c>
      <c r="Y1531">
        <v>3.5965169521926239E-3</v>
      </c>
    </row>
    <row r="1532" spans="1:25" x14ac:dyDescent="0.25">
      <c r="A1532" s="1095"/>
      <c r="B1532" s="1454">
        <v>1282</v>
      </c>
      <c r="C1532" s="1099">
        <v>1.0184830914061052</v>
      </c>
      <c r="D1532" s="1099">
        <v>0.95946742510797056</v>
      </c>
      <c r="E1532" s="1099">
        <v>1.0121264363903359</v>
      </c>
      <c r="F1532" s="1099">
        <v>1.000278741892753</v>
      </c>
      <c r="G1532" s="1099">
        <v>0.98625978904098566</v>
      </c>
      <c r="H1532" s="1099">
        <v>0.97958432870627876</v>
      </c>
      <c r="I1532" s="1099">
        <v>0.98392026353341189</v>
      </c>
      <c r="K1532">
        <v>1.7354986364062974</v>
      </c>
      <c r="L1532">
        <v>0</v>
      </c>
      <c r="M1532">
        <v>1.3237300648204294E-3</v>
      </c>
      <c r="N1532">
        <v>0.12630554982915854</v>
      </c>
      <c r="O1532">
        <v>0.12851672119020516</v>
      </c>
      <c r="P1532">
        <v>1.8512571457252203E-2</v>
      </c>
      <c r="Q1532">
        <v>9.0852696336680625E-4</v>
      </c>
      <c r="R1532">
        <v>1.3202773321750909E-3</v>
      </c>
      <c r="S1532">
        <v>0.10572205674206216</v>
      </c>
      <c r="T1532">
        <v>1.0309842367332707</v>
      </c>
      <c r="U1532">
        <v>0</v>
      </c>
      <c r="V1532">
        <v>0.2082941697671071</v>
      </c>
      <c r="W1532">
        <v>8.2381121939180568E-2</v>
      </c>
      <c r="X1532">
        <v>3.0283774848465374E-2</v>
      </c>
      <c r="Y1532">
        <v>3.5933596688750165E-3</v>
      </c>
    </row>
    <row r="1533" spans="1:25" x14ac:dyDescent="0.25">
      <c r="A1533" s="1095"/>
      <c r="B1533" s="1454">
        <v>1283</v>
      </c>
      <c r="C1533" s="1099">
        <v>1.0190626364397402</v>
      </c>
      <c r="D1533" s="1099">
        <v>0.96805548788045204</v>
      </c>
      <c r="E1533" s="1099">
        <v>0.99136375438755386</v>
      </c>
      <c r="F1533" s="1099">
        <v>1.0286277882714696</v>
      </c>
      <c r="G1533" s="1099">
        <v>0.96822109462495742</v>
      </c>
      <c r="H1533" s="1099">
        <v>1.0347084913709883</v>
      </c>
      <c r="I1533" s="1099">
        <v>0.96511141233275621</v>
      </c>
      <c r="K1533">
        <v>1.7763904993565693</v>
      </c>
      <c r="L1533">
        <v>0</v>
      </c>
      <c r="M1533">
        <v>1.4549268989856798E-3</v>
      </c>
      <c r="N1533">
        <v>0.13040263776366404</v>
      </c>
      <c r="O1533">
        <v>0.13014563259874878</v>
      </c>
      <c r="P1533">
        <v>1.8652612465280105E-2</v>
      </c>
      <c r="Q1533">
        <v>8.8552817223817003E-4</v>
      </c>
      <c r="R1533">
        <v>1.451337041986732E-3</v>
      </c>
      <c r="S1533">
        <v>0.10693563937336276</v>
      </c>
      <c r="T1533">
        <v>1.0608372867445033</v>
      </c>
      <c r="U1533">
        <v>0</v>
      </c>
      <c r="V1533">
        <v>0.20852498754950574</v>
      </c>
      <c r="W1533">
        <v>8.6108024144467984E-2</v>
      </c>
      <c r="X1533">
        <v>2.9951679406637292E-2</v>
      </c>
      <c r="Y1533">
        <v>3.9500609951605755E-3</v>
      </c>
    </row>
    <row r="1534" spans="1:25" x14ac:dyDescent="0.25">
      <c r="A1534" s="1095"/>
      <c r="B1534" s="1454">
        <v>1284</v>
      </c>
      <c r="C1534" s="1099">
        <v>0.99817868934359222</v>
      </c>
      <c r="D1534" s="1099">
        <v>1.0364897033053158</v>
      </c>
      <c r="E1534" s="1099">
        <v>0.99714226791628824</v>
      </c>
      <c r="F1534" s="1099">
        <v>1.017374021575399</v>
      </c>
      <c r="G1534" s="1099">
        <v>1.0051842958258816</v>
      </c>
      <c r="H1534" s="1099">
        <v>0.9784104487271803</v>
      </c>
      <c r="I1534" s="1099">
        <v>0.99633107292080336</v>
      </c>
      <c r="K1534">
        <v>1.7433299949826897</v>
      </c>
      <c r="L1534">
        <v>0</v>
      </c>
      <c r="M1534">
        <v>1.329393637372122E-3</v>
      </c>
      <c r="N1534">
        <v>0.12122834684666264</v>
      </c>
      <c r="O1534">
        <v>0.1272435187895947</v>
      </c>
      <c r="P1534">
        <v>1.8545809693363578E-2</v>
      </c>
      <c r="Q1534">
        <v>8.8499129418395401E-4</v>
      </c>
      <c r="R1534">
        <v>1.3258699053893487E-3</v>
      </c>
      <c r="S1534">
        <v>0.10401566119453416</v>
      </c>
      <c r="T1534">
        <v>1.0490553617064491</v>
      </c>
      <c r="U1534">
        <v>0</v>
      </c>
      <c r="V1534">
        <v>0.20942950465704194</v>
      </c>
      <c r="W1534">
        <v>7.9774315646395838E-2</v>
      </c>
      <c r="X1534">
        <v>2.9547428076871607E-2</v>
      </c>
      <c r="Y1534">
        <v>3.6085808095729604E-3</v>
      </c>
    </row>
    <row r="1535" spans="1:25" x14ac:dyDescent="0.25">
      <c r="A1535" s="1095"/>
      <c r="B1535" s="1454">
        <v>1285</v>
      </c>
      <c r="C1535" s="1099">
        <v>1.0236972305766285</v>
      </c>
      <c r="D1535" s="1099">
        <v>0.99647473685888299</v>
      </c>
      <c r="E1535" s="1099">
        <v>0.99276177017379541</v>
      </c>
      <c r="F1535" s="1099">
        <v>1.001045759453318</v>
      </c>
      <c r="G1535" s="1099">
        <v>1.0232412520934215</v>
      </c>
      <c r="H1535" s="1099">
        <v>0.99547030428226801</v>
      </c>
      <c r="I1535" s="1099">
        <v>0.97656468863591994</v>
      </c>
      <c r="K1535">
        <v>1.7259977819936128</v>
      </c>
      <c r="L1535">
        <v>0</v>
      </c>
      <c r="M1535">
        <v>1.3631308534772524E-3</v>
      </c>
      <c r="N1535">
        <v>0.12267820078618956</v>
      </c>
      <c r="O1535">
        <v>0.12650234079421258</v>
      </c>
      <c r="P1535">
        <v>1.8232691162302021E-2</v>
      </c>
      <c r="Q1535">
        <v>8.7264475582773157E-4</v>
      </c>
      <c r="R1535">
        <v>1.3596085868689545E-3</v>
      </c>
      <c r="S1535">
        <v>0.10304325308844363</v>
      </c>
      <c r="T1535">
        <v>1.0323496466736095</v>
      </c>
      <c r="U1535">
        <v>0</v>
      </c>
      <c r="V1535">
        <v>0.20850674923058082</v>
      </c>
      <c r="W1535">
        <v>8.0939686572227873E-2</v>
      </c>
      <c r="X1535">
        <v>2.9175684818220346E-2</v>
      </c>
      <c r="Y1535">
        <v>3.7004063786070869E-3</v>
      </c>
    </row>
    <row r="1536" spans="1:25" x14ac:dyDescent="0.25">
      <c r="A1536" s="1095"/>
      <c r="B1536" s="1454">
        <v>1286</v>
      </c>
      <c r="C1536" s="1099">
        <v>1.0021642714967547</v>
      </c>
      <c r="D1536" s="1099">
        <v>0.97246331430851995</v>
      </c>
      <c r="E1536" s="1099">
        <v>1.0408081375973093</v>
      </c>
      <c r="F1536" s="1099">
        <v>1.0208425823273832</v>
      </c>
      <c r="G1536" s="1099">
        <v>0.99747982494121989</v>
      </c>
      <c r="H1536" s="1099">
        <v>0.99956723278441861</v>
      </c>
      <c r="I1536" s="1099">
        <v>0.98896431894597248</v>
      </c>
      <c r="K1536">
        <v>1.7760894722596019</v>
      </c>
      <c r="L1536">
        <v>0</v>
      </c>
      <c r="M1536">
        <v>1.283466299587484E-3</v>
      </c>
      <c r="N1536">
        <v>0.13353281060868225</v>
      </c>
      <c r="O1536">
        <v>0.13042787035512951</v>
      </c>
      <c r="P1536">
        <v>1.9267079996865843E-2</v>
      </c>
      <c r="Q1536">
        <v>9.4569327177568328E-4</v>
      </c>
      <c r="R1536">
        <v>1.2801785533050388E-3</v>
      </c>
      <c r="S1536">
        <v>0.1085825842783489</v>
      </c>
      <c r="T1536">
        <v>1.0513318927547173</v>
      </c>
      <c r="U1536">
        <v>0</v>
      </c>
      <c r="V1536">
        <v>0.21095259022984453</v>
      </c>
      <c r="W1536">
        <v>8.5652965814687509E-2</v>
      </c>
      <c r="X1536">
        <v>3.1915048684481494E-2</v>
      </c>
      <c r="Y1536">
        <v>3.4842240113496358E-3</v>
      </c>
    </row>
    <row r="1537" spans="1:25" x14ac:dyDescent="0.25">
      <c r="A1537" s="1095"/>
      <c r="B1537" s="1454">
        <v>1287</v>
      </c>
      <c r="C1537" s="1099">
        <v>0.98966555270280121</v>
      </c>
      <c r="D1537" s="1099">
        <v>1.0037133922678234</v>
      </c>
      <c r="E1537" s="1099">
        <v>1.0299676908712032</v>
      </c>
      <c r="F1537" s="1099">
        <v>0.954761485145035</v>
      </c>
      <c r="G1537" s="1099">
        <v>0.99522218941367813</v>
      </c>
      <c r="H1537" s="1099">
        <v>1.0060536909016549</v>
      </c>
      <c r="I1537" s="1099">
        <v>0.99502444065648388</v>
      </c>
      <c r="K1537">
        <v>1.6927314257301862</v>
      </c>
      <c r="L1537">
        <v>0</v>
      </c>
      <c r="M1537">
        <v>1.3042315369704424E-3</v>
      </c>
      <c r="N1537">
        <v>0.13133006163437247</v>
      </c>
      <c r="O1537">
        <v>0.12450389442075489</v>
      </c>
      <c r="P1537">
        <v>1.8120857711711087E-2</v>
      </c>
      <c r="Q1537">
        <v>9.3522402768500112E-4</v>
      </c>
      <c r="R1537">
        <v>1.3008689594697239E-3</v>
      </c>
      <c r="S1537">
        <v>0.10843361994494893</v>
      </c>
      <c r="T1537">
        <v>0.98357399970821424</v>
      </c>
      <c r="U1537">
        <v>0</v>
      </c>
      <c r="V1537">
        <v>0.20744195666365792</v>
      </c>
      <c r="W1537">
        <v>8.4769554178997064E-2</v>
      </c>
      <c r="X1537">
        <v>3.0085083541005045E-2</v>
      </c>
      <c r="Y1537">
        <v>3.5405364763393499E-3</v>
      </c>
    </row>
    <row r="1538" spans="1:25" x14ac:dyDescent="0.25">
      <c r="A1538" s="1095"/>
      <c r="B1538" s="1454">
        <v>1288</v>
      </c>
      <c r="C1538" s="1099">
        <v>1.0138402736984105</v>
      </c>
      <c r="D1538" s="1099">
        <v>1.0198120722733706</v>
      </c>
      <c r="E1538" s="1099">
        <v>0.98816507070022264</v>
      </c>
      <c r="F1538" s="1099">
        <v>0.95612263637903505</v>
      </c>
      <c r="G1538" s="1099">
        <v>0.98678817335065583</v>
      </c>
      <c r="H1538" s="1099">
        <v>1.0147599337321143</v>
      </c>
      <c r="I1538" s="1099">
        <v>0.99636582870154788</v>
      </c>
      <c r="K1538">
        <v>1.6741820917657737</v>
      </c>
      <c r="L1538">
        <v>0</v>
      </c>
      <c r="M1538">
        <v>1.3906739081825847E-3</v>
      </c>
      <c r="N1538">
        <v>0.12343288591536021</v>
      </c>
      <c r="O1538">
        <v>0.12253179654660203</v>
      </c>
      <c r="P1538">
        <v>1.7526095235528491E-2</v>
      </c>
      <c r="Q1538">
        <v>8.6883553954097265E-4</v>
      </c>
      <c r="R1538">
        <v>1.3871164689731855E-3</v>
      </c>
      <c r="S1538">
        <v>0.10562416816061095</v>
      </c>
      <c r="T1538">
        <v>0.98615362350528346</v>
      </c>
      <c r="U1538">
        <v>0</v>
      </c>
      <c r="V1538">
        <v>0.20450970671336058</v>
      </c>
      <c r="W1538">
        <v>8.1662088700067206E-2</v>
      </c>
      <c r="X1538">
        <v>2.8101175122905941E-2</v>
      </c>
      <c r="Y1538">
        <v>3.7752737657239066E-3</v>
      </c>
    </row>
    <row r="1539" spans="1:25" x14ac:dyDescent="0.25">
      <c r="A1539" s="1095"/>
      <c r="B1539" s="1454">
        <v>1289</v>
      </c>
      <c r="C1539" s="1099">
        <v>0.99442805448970972</v>
      </c>
      <c r="D1539" s="1099">
        <v>0.99320267205254043</v>
      </c>
      <c r="E1539" s="1099">
        <v>1.0083591342956164</v>
      </c>
      <c r="F1539" s="1099">
        <v>0.98531876750438163</v>
      </c>
      <c r="G1539" s="1099">
        <v>1.0265534980185298</v>
      </c>
      <c r="H1539" s="1099">
        <v>0.98686736299343902</v>
      </c>
      <c r="I1539" s="1099">
        <v>0.96634070396308125</v>
      </c>
      <c r="K1539">
        <v>1.7198252262743616</v>
      </c>
      <c r="L1539">
        <v>0</v>
      </c>
      <c r="M1539">
        <v>1.3443299101484972E-3</v>
      </c>
      <c r="N1539">
        <v>0.12681969661389111</v>
      </c>
      <c r="O1539">
        <v>0.12700943862239941</v>
      </c>
      <c r="P1539">
        <v>1.8261486984161017E-2</v>
      </c>
      <c r="Q1539">
        <v>9.1417239186071108E-4</v>
      </c>
      <c r="R1539">
        <v>1.3408147953017969E-3</v>
      </c>
      <c r="S1539">
        <v>0.10436232914789266</v>
      </c>
      <c r="T1539">
        <v>1.0156742533666605</v>
      </c>
      <c r="U1539">
        <v>0</v>
      </c>
      <c r="V1539">
        <v>0.21041926899341176</v>
      </c>
      <c r="W1539">
        <v>8.2900390129854284E-2</v>
      </c>
      <c r="X1539">
        <v>2.9818449265740714E-2</v>
      </c>
      <c r="Y1539">
        <v>3.6492558733330111E-3</v>
      </c>
    </row>
    <row r="1540" spans="1:25" x14ac:dyDescent="0.25">
      <c r="A1540" s="1095"/>
      <c r="B1540" s="1454">
        <v>1290</v>
      </c>
      <c r="C1540" s="1099">
        <v>1.0430937368120874</v>
      </c>
      <c r="D1540" s="1099">
        <v>0.97997757906369842</v>
      </c>
      <c r="E1540" s="1099">
        <v>0.96089233682028929</v>
      </c>
      <c r="F1540" s="1099">
        <v>1.0173628493454354</v>
      </c>
      <c r="G1540" s="1099">
        <v>1.0062139743279712</v>
      </c>
      <c r="H1540" s="1099">
        <v>0.95938554125590347</v>
      </c>
      <c r="I1540" s="1099">
        <v>1.0057688546517467</v>
      </c>
      <c r="K1540">
        <v>1.729339526219835</v>
      </c>
      <c r="L1540">
        <v>0</v>
      </c>
      <c r="M1540">
        <v>1.3947945177803817E-3</v>
      </c>
      <c r="N1540">
        <v>0.11397714389439578</v>
      </c>
      <c r="O1540">
        <v>0.12739779374660923</v>
      </c>
      <c r="P1540">
        <v>1.8014591540667056E-2</v>
      </c>
      <c r="Q1540">
        <v>8.3378969260347417E-4</v>
      </c>
      <c r="R1540">
        <v>1.3910776651708068E-3</v>
      </c>
      <c r="S1540">
        <v>0.10290808199285381</v>
      </c>
      <c r="T1540">
        <v>1.0501632651484629</v>
      </c>
      <c r="U1540">
        <v>0</v>
      </c>
      <c r="V1540">
        <v>0.20738808311143905</v>
      </c>
      <c r="W1540">
        <v>7.6663840179467771E-2</v>
      </c>
      <c r="X1540">
        <v>2.8210598929977453E-2</v>
      </c>
      <c r="Y1540">
        <v>3.7860548359658556E-3</v>
      </c>
    </row>
    <row r="1541" spans="1:25" x14ac:dyDescent="0.25">
      <c r="A1541" s="1095"/>
      <c r="B1541" s="1454">
        <v>1291</v>
      </c>
      <c r="C1541" s="1099">
        <v>0.97488624588494821</v>
      </c>
      <c r="D1541" s="1099">
        <v>1.0096308750173888</v>
      </c>
      <c r="E1541" s="1099">
        <v>0.98996960976817694</v>
      </c>
      <c r="F1541" s="1099">
        <v>0.99752764971073227</v>
      </c>
      <c r="G1541" s="1099">
        <v>1.0371929217170508</v>
      </c>
      <c r="H1541" s="1099">
        <v>1.0158788575268227</v>
      </c>
      <c r="I1541" s="1099">
        <v>0.99270226713759224</v>
      </c>
      <c r="K1541">
        <v>1.747647688735992</v>
      </c>
      <c r="L1541">
        <v>0</v>
      </c>
      <c r="M1541">
        <v>1.4515628091790616E-3</v>
      </c>
      <c r="N1541">
        <v>0.12954325891555557</v>
      </c>
      <c r="O1541">
        <v>0.12814543126931746</v>
      </c>
      <c r="P1541">
        <v>1.8300939547537441E-2</v>
      </c>
      <c r="Q1541">
        <v>9.0889451472442675E-4</v>
      </c>
      <c r="R1541">
        <v>1.4478621998917324E-3</v>
      </c>
      <c r="S1541">
        <v>0.11023161266567905</v>
      </c>
      <c r="T1541">
        <v>1.0288050352092599</v>
      </c>
      <c r="U1541">
        <v>0</v>
      </c>
      <c r="V1541">
        <v>0.21272231635713945</v>
      </c>
      <c r="W1541">
        <v>8.561198914098303E-2</v>
      </c>
      <c r="X1541">
        <v>2.9441308104621658E-2</v>
      </c>
      <c r="Y1541">
        <v>3.9406036204593748E-3</v>
      </c>
    </row>
    <row r="1542" spans="1:25" x14ac:dyDescent="0.25">
      <c r="A1542" s="1095"/>
      <c r="B1542" s="1454">
        <v>1292</v>
      </c>
      <c r="C1542" s="1099">
        <v>0.96506712236494818</v>
      </c>
      <c r="D1542" s="1099">
        <v>0.97937444513961214</v>
      </c>
      <c r="E1542" s="1099">
        <v>1.0346056207040635</v>
      </c>
      <c r="F1542" s="1099">
        <v>0.99256790530428218</v>
      </c>
      <c r="G1542" s="1099">
        <v>1.0159266771261195</v>
      </c>
      <c r="H1542" s="1099">
        <v>1.0085768243227915</v>
      </c>
      <c r="I1542" s="1099">
        <v>1.0243563740318085</v>
      </c>
      <c r="K1542">
        <v>1.7636705507745385</v>
      </c>
      <c r="L1542">
        <v>0</v>
      </c>
      <c r="M1542">
        <v>1.3488983065526449E-3</v>
      </c>
      <c r="N1542">
        <v>0.13774283462280493</v>
      </c>
      <c r="O1542">
        <v>0.12988034632807269</v>
      </c>
      <c r="P1542">
        <v>1.8920938331984247E-2</v>
      </c>
      <c r="Q1542">
        <v>9.731143432455487E-4</v>
      </c>
      <c r="R1542">
        <v>1.3454494987961267E-3</v>
      </c>
      <c r="S1542">
        <v>0.11651376735659447</v>
      </c>
      <c r="T1542">
        <v>1.0223888852575811</v>
      </c>
      <c r="U1542">
        <v>0</v>
      </c>
      <c r="V1542">
        <v>0.21336611441897771</v>
      </c>
      <c r="W1542">
        <v>8.8670192619594454E-2</v>
      </c>
      <c r="X1542">
        <v>3.1555936295023061E-2</v>
      </c>
      <c r="Y1542">
        <v>3.661870008414979E-3</v>
      </c>
    </row>
    <row r="1543" spans="1:25" x14ac:dyDescent="0.25">
      <c r="A1543" s="1095"/>
      <c r="B1543" s="1454">
        <v>1293</v>
      </c>
      <c r="C1543" s="1099">
        <v>0.99455030201041206</v>
      </c>
      <c r="D1543" s="1099">
        <v>0.98592160764435088</v>
      </c>
      <c r="E1543" s="1099">
        <v>0.98148968688856375</v>
      </c>
      <c r="F1543" s="1099">
        <v>0.97908124740453739</v>
      </c>
      <c r="G1543" s="1099">
        <v>0.96159838659664842</v>
      </c>
      <c r="H1543" s="1099">
        <v>1.0124252680814467</v>
      </c>
      <c r="I1543" s="1099">
        <v>1.0033599429513176</v>
      </c>
      <c r="K1543">
        <v>1.717744838793229</v>
      </c>
      <c r="L1543">
        <v>0</v>
      </c>
      <c r="M1543">
        <v>1.463436191285332E-3</v>
      </c>
      <c r="N1543">
        <v>0.1272963044124443</v>
      </c>
      <c r="O1543">
        <v>0.12674608983049493</v>
      </c>
      <c r="P1543">
        <v>1.7860068153951646E-2</v>
      </c>
      <c r="Q1543">
        <v>8.9149977422441583E-4</v>
      </c>
      <c r="R1543">
        <v>1.4597092661974556E-3</v>
      </c>
      <c r="S1543">
        <v>0.11056526093019069</v>
      </c>
      <c r="T1543">
        <v>1.0100305899511552</v>
      </c>
      <c r="U1543">
        <v>0</v>
      </c>
      <c r="V1543">
        <v>0.2070786148776193</v>
      </c>
      <c r="W1543">
        <v>8.4556938503452472E-2</v>
      </c>
      <c r="X1543">
        <v>2.8750351855224385E-2</v>
      </c>
      <c r="Y1543">
        <v>3.9728474295591953E-3</v>
      </c>
    </row>
    <row r="1544" spans="1:25" x14ac:dyDescent="0.25">
      <c r="A1544" s="1095"/>
      <c r="B1544" s="1454">
        <v>1294</v>
      </c>
      <c r="C1544" s="1099">
        <v>1.0009793390089616</v>
      </c>
      <c r="D1544" s="1099">
        <v>0.97717329746049342</v>
      </c>
      <c r="E1544" s="1099">
        <v>1.0166596438100732</v>
      </c>
      <c r="F1544" s="1099">
        <v>0.99127705987217429</v>
      </c>
      <c r="G1544" s="1099">
        <v>0.96118100635762516</v>
      </c>
      <c r="H1544" s="1099">
        <v>0.96892032766976977</v>
      </c>
      <c r="I1544" s="1099">
        <v>0.96468103121994631</v>
      </c>
      <c r="K1544">
        <v>1.7215222324848676</v>
      </c>
      <c r="L1544">
        <v>0</v>
      </c>
      <c r="M1544">
        <v>1.3026165270732806E-3</v>
      </c>
      <c r="N1544">
        <v>0.12599758285647961</v>
      </c>
      <c r="O1544">
        <v>0.12790697975940488</v>
      </c>
      <c r="P1544">
        <v>1.8402021285536967E-2</v>
      </c>
      <c r="Q1544">
        <v>9.2196754534857879E-4</v>
      </c>
      <c r="R1544">
        <v>1.2991617319631115E-3</v>
      </c>
      <c r="S1544">
        <v>0.10340906153245646</v>
      </c>
      <c r="T1544">
        <v>1.0215745683397097</v>
      </c>
      <c r="U1544">
        <v>0</v>
      </c>
      <c r="V1544">
        <v>0.20752908991314106</v>
      </c>
      <c r="W1544">
        <v>8.1961626426979073E-2</v>
      </c>
      <c r="X1544">
        <v>3.0286899655066781E-2</v>
      </c>
      <c r="Y1544">
        <v>3.5358899658537468E-3</v>
      </c>
    </row>
    <row r="1545" spans="1:25" x14ac:dyDescent="0.25">
      <c r="A1545" s="1095"/>
      <c r="B1545" s="1454">
        <v>1295</v>
      </c>
      <c r="C1545" s="1099">
        <v>1.0171367833598697</v>
      </c>
      <c r="D1545" s="1099">
        <v>0.95843706538436346</v>
      </c>
      <c r="E1545" s="1099">
        <v>0.97941138468050071</v>
      </c>
      <c r="F1545" s="1099">
        <v>0.96996298490092847</v>
      </c>
      <c r="G1545" s="1099">
        <v>0.98904654095892697</v>
      </c>
      <c r="H1545" s="1099">
        <v>0.99388024727940971</v>
      </c>
      <c r="I1545" s="1099">
        <v>0.98280746216630399</v>
      </c>
      <c r="K1545">
        <v>1.6978586078630085</v>
      </c>
      <c r="L1545">
        <v>0</v>
      </c>
      <c r="M1545">
        <v>1.4359422840521745E-3</v>
      </c>
      <c r="N1545">
        <v>0.12411795624017688</v>
      </c>
      <c r="O1545">
        <v>0.12616274812956865</v>
      </c>
      <c r="P1545">
        <v>1.7649723956215911E-2</v>
      </c>
      <c r="Q1545">
        <v>8.7969982498761539E-4</v>
      </c>
      <c r="R1545">
        <v>1.4322407983372821E-3</v>
      </c>
      <c r="S1545">
        <v>0.10654868708813346</v>
      </c>
      <c r="T1545">
        <v>1.0006851956454716</v>
      </c>
      <c r="U1545">
        <v>0</v>
      </c>
      <c r="V1545">
        <v>0.20687682848607072</v>
      </c>
      <c r="W1545">
        <v>8.2549202893995643E-2</v>
      </c>
      <c r="X1545">
        <v>2.8494179769080408E-2</v>
      </c>
      <c r="Y1545">
        <v>3.8980873150218005E-3</v>
      </c>
    </row>
    <row r="1546" spans="1:25" x14ac:dyDescent="0.25">
      <c r="A1546" s="1095"/>
      <c r="B1546" s="1454">
        <v>1296</v>
      </c>
      <c r="C1546" s="1099">
        <v>0.98457772731082904</v>
      </c>
      <c r="D1546" s="1099">
        <v>1.0008599882397002</v>
      </c>
      <c r="E1546" s="1099">
        <v>0.99961894859704759</v>
      </c>
      <c r="F1546" s="1099">
        <v>1.0190475814027906</v>
      </c>
      <c r="G1546" s="1099">
        <v>0.96185813672423937</v>
      </c>
      <c r="H1546" s="1099">
        <v>0.97262428060456096</v>
      </c>
      <c r="I1546" s="1099">
        <v>0.98992459253343901</v>
      </c>
      <c r="K1546">
        <v>1.7569906211617186</v>
      </c>
      <c r="L1546">
        <v>0</v>
      </c>
      <c r="M1546">
        <v>1.3594117700033409E-3</v>
      </c>
      <c r="N1546">
        <v>0.1248968142218044</v>
      </c>
      <c r="O1546">
        <v>0.12971236887199444</v>
      </c>
      <c r="P1546">
        <v>1.8640894093297646E-2</v>
      </c>
      <c r="Q1546">
        <v>9.1220008812374468E-4</v>
      </c>
      <c r="R1546">
        <v>1.3558075836342025E-3</v>
      </c>
      <c r="S1546">
        <v>0.10659880273661244</v>
      </c>
      <c r="T1546">
        <v>1.0507058885639511</v>
      </c>
      <c r="U1546">
        <v>0</v>
      </c>
      <c r="V1546">
        <v>0.2096486554700249</v>
      </c>
      <c r="W1546">
        <v>8.2067303541240713E-2</v>
      </c>
      <c r="X1546">
        <v>3.0121236460234631E-2</v>
      </c>
      <c r="Y1546">
        <v>3.6900613008024725E-3</v>
      </c>
    </row>
    <row r="1547" spans="1:25" x14ac:dyDescent="0.25">
      <c r="A1547" s="1095"/>
      <c r="B1547" s="1454">
        <v>1297</v>
      </c>
      <c r="C1547" s="1099">
        <v>0.98766619031223413</v>
      </c>
      <c r="D1547" s="1099">
        <v>0.95288121340562904</v>
      </c>
      <c r="E1547" s="1099">
        <v>1.0102040125638232</v>
      </c>
      <c r="F1547" s="1099">
        <v>0.99387503936597488</v>
      </c>
      <c r="G1547" s="1099">
        <v>1.0347559276790073</v>
      </c>
      <c r="H1547" s="1099">
        <v>0.98141244390949589</v>
      </c>
      <c r="I1547" s="1099">
        <v>1.0100171172757919</v>
      </c>
      <c r="K1547">
        <v>1.7490071335854711</v>
      </c>
      <c r="L1547">
        <v>0</v>
      </c>
      <c r="M1547">
        <v>1.3741474071753957E-3</v>
      </c>
      <c r="N1547">
        <v>0.13035745592793627</v>
      </c>
      <c r="O1547">
        <v>0.12994056655203956</v>
      </c>
      <c r="P1547">
        <v>1.8552941585709425E-2</v>
      </c>
      <c r="Q1547">
        <v>9.3759988334942183E-4</v>
      </c>
      <c r="R1547">
        <v>1.3705628295555732E-3</v>
      </c>
      <c r="S1547">
        <v>0.11228614088839427</v>
      </c>
      <c r="T1547">
        <v>1.0244401240865975</v>
      </c>
      <c r="U1547">
        <v>0</v>
      </c>
      <c r="V1547">
        <v>0.21311670404439317</v>
      </c>
      <c r="W1547">
        <v>8.5120273901085591E-2</v>
      </c>
      <c r="X1547">
        <v>3.0528691077451008E-2</v>
      </c>
      <c r="Y1547">
        <v>3.7302202161349331E-3</v>
      </c>
    </row>
    <row r="1548" spans="1:25" x14ac:dyDescent="0.25">
      <c r="A1548" s="1095"/>
      <c r="B1548" s="1454">
        <v>1298</v>
      </c>
      <c r="C1548" s="1099">
        <v>1.0246556709450891</v>
      </c>
      <c r="D1548" s="1099">
        <v>1.0223880875677152</v>
      </c>
      <c r="E1548" s="1099">
        <v>1.0242848652745116</v>
      </c>
      <c r="F1548" s="1099">
        <v>0.9815826278650408</v>
      </c>
      <c r="G1548" s="1099">
        <v>1.0160206873672437</v>
      </c>
      <c r="H1548" s="1099">
        <v>0.97961911945774538</v>
      </c>
      <c r="I1548" s="1099">
        <v>1.0471474298462784</v>
      </c>
      <c r="K1548">
        <v>1.7029421556112603</v>
      </c>
      <c r="L1548">
        <v>0</v>
      </c>
      <c r="M1548">
        <v>1.2343927131857825E-3</v>
      </c>
      <c r="N1548">
        <v>0.12217801696853381</v>
      </c>
      <c r="O1548">
        <v>0.12396245690872899</v>
      </c>
      <c r="P1548">
        <v>1.8404233164821655E-2</v>
      </c>
      <c r="Q1548">
        <v>8.9145917571173026E-4</v>
      </c>
      <c r="R1548">
        <v>1.2311304349963172E-3</v>
      </c>
      <c r="S1548">
        <v>0.10747352827943168</v>
      </c>
      <c r="T1548">
        <v>1.0113658805583647</v>
      </c>
      <c r="U1548">
        <v>0</v>
      </c>
      <c r="V1548">
        <v>0.20640843654078292</v>
      </c>
      <c r="W1548">
        <v>7.9123353345717407E-2</v>
      </c>
      <c r="X1548">
        <v>2.978732174533601E-2</v>
      </c>
      <c r="Y1548">
        <v>3.350731202021152E-3</v>
      </c>
    </row>
    <row r="1549" spans="1:25" x14ac:dyDescent="0.25">
      <c r="A1549" s="1095"/>
      <c r="B1549" s="1454">
        <v>1299</v>
      </c>
      <c r="C1549" s="1099">
        <v>1.0276345023175555</v>
      </c>
      <c r="D1549" s="1099">
        <v>1.0029201515484509</v>
      </c>
      <c r="E1549" s="1099">
        <v>0.98401557235376069</v>
      </c>
      <c r="F1549" s="1099">
        <v>0.95900547089505961</v>
      </c>
      <c r="G1549" s="1099">
        <v>1.0167333088286101</v>
      </c>
      <c r="H1549" s="1099">
        <v>0.98541818276930482</v>
      </c>
      <c r="I1549" s="1099">
        <v>1.0042144793221461</v>
      </c>
      <c r="K1549">
        <v>1.6698635806655799</v>
      </c>
      <c r="L1549">
        <v>0</v>
      </c>
      <c r="M1549">
        <v>1.3589582240874209E-3</v>
      </c>
      <c r="N1549">
        <v>0.11910598139107735</v>
      </c>
      <c r="O1549">
        <v>0.1227995078937003</v>
      </c>
      <c r="P1549">
        <v>1.7506760869119963E-2</v>
      </c>
      <c r="Q1549">
        <v>8.5918680954543271E-4</v>
      </c>
      <c r="R1549">
        <v>1.3553945347279323E-3</v>
      </c>
      <c r="S1549">
        <v>0.10420618794003314</v>
      </c>
      <c r="T1549">
        <v>0.98924695106667748</v>
      </c>
      <c r="U1549">
        <v>0</v>
      </c>
      <c r="V1549">
        <v>0.20547009096869909</v>
      </c>
      <c r="W1549">
        <v>7.8996179630512503E-2</v>
      </c>
      <c r="X1549">
        <v>2.7987360667731394E-2</v>
      </c>
      <c r="Y1549">
        <v>3.6889371178411398E-3</v>
      </c>
    </row>
    <row r="1550" spans="1:25" x14ac:dyDescent="0.25">
      <c r="A1550" s="1095"/>
      <c r="B1550" s="1454">
        <v>1300</v>
      </c>
      <c r="C1550" s="1099">
        <v>0.979500301483753</v>
      </c>
      <c r="D1550" s="1099">
        <v>0.96962110971287996</v>
      </c>
      <c r="E1550" s="1099">
        <v>0.98523959878484491</v>
      </c>
      <c r="F1550" s="1099">
        <v>0.96110814023296209</v>
      </c>
      <c r="G1550" s="1099">
        <v>0.96860052264661123</v>
      </c>
      <c r="H1550" s="1099">
        <v>0.99346623714739069</v>
      </c>
      <c r="I1550" s="1099">
        <v>0.99489994317016794</v>
      </c>
      <c r="K1550">
        <v>1.7018988593779427</v>
      </c>
      <c r="L1550">
        <v>0</v>
      </c>
      <c r="M1550">
        <v>1.456589740891624E-3</v>
      </c>
      <c r="N1550">
        <v>0.1281399120254316</v>
      </c>
      <c r="O1550">
        <v>0.12689900532213708</v>
      </c>
      <c r="P1550">
        <v>1.7679752726290861E-2</v>
      </c>
      <c r="Q1550">
        <v>9.1483572788516037E-4</v>
      </c>
      <c r="R1550">
        <v>1.4528096726344683E-3</v>
      </c>
      <c r="S1550">
        <v>0.11088909503326846</v>
      </c>
      <c r="T1550">
        <v>0.99138041562960189</v>
      </c>
      <c r="U1550">
        <v>0</v>
      </c>
      <c r="V1550">
        <v>0.20827076583823456</v>
      </c>
      <c r="W1550">
        <v>8.492530744033433E-2</v>
      </c>
      <c r="X1550">
        <v>2.8849480692682426E-2</v>
      </c>
      <c r="Y1550">
        <v>3.9540690103311502E-3</v>
      </c>
    </row>
    <row r="1551" spans="1:25" x14ac:dyDescent="0.25">
      <c r="A1551" s="1095"/>
      <c r="B1551" s="1454">
        <v>1301</v>
      </c>
      <c r="C1551" s="1099">
        <v>0.9942520021282768</v>
      </c>
      <c r="D1551" s="1099">
        <v>0.99279581360030478</v>
      </c>
      <c r="E1551" s="1099">
        <v>0.97673486778153584</v>
      </c>
      <c r="F1551" s="1099">
        <v>0.98025132671947868</v>
      </c>
      <c r="G1551" s="1099">
        <v>0.99166436463272045</v>
      </c>
      <c r="H1551" s="1099">
        <v>1.0389424013388069</v>
      </c>
      <c r="I1551" s="1099">
        <v>1.0354751783969682</v>
      </c>
      <c r="K1551">
        <v>1.7292039865487094</v>
      </c>
      <c r="L1551">
        <v>0</v>
      </c>
      <c r="M1551">
        <v>1.5110112687056136E-3</v>
      </c>
      <c r="N1551">
        <v>0.12956518650677973</v>
      </c>
      <c r="O1551">
        <v>0.12651614834811559</v>
      </c>
      <c r="P1551">
        <v>1.789864834384787E-2</v>
      </c>
      <c r="Q1551">
        <v>8.8487000729782505E-4</v>
      </c>
      <c r="R1551">
        <v>1.5072568450722056E-3</v>
      </c>
      <c r="S1551">
        <v>0.11558088063056197</v>
      </c>
      <c r="T1551">
        <v>1.0113791169436641</v>
      </c>
      <c r="U1551">
        <v>0</v>
      </c>
      <c r="V1551">
        <v>0.208397762435233</v>
      </c>
      <c r="W1551">
        <v>8.631167566678484E-2</v>
      </c>
      <c r="X1551">
        <v>2.8571195824857981E-2</v>
      </c>
      <c r="Y1551">
        <v>4.102256265201101E-3</v>
      </c>
    </row>
    <row r="1552" spans="1:25" x14ac:dyDescent="0.25">
      <c r="A1552" s="1095"/>
      <c r="B1552" s="1454">
        <v>1302</v>
      </c>
      <c r="C1552" s="1099">
        <v>1.0405779125649985</v>
      </c>
      <c r="D1552" s="1099">
        <v>0.98448428548231892</v>
      </c>
      <c r="E1552" s="1099">
        <v>1.0065214312956514</v>
      </c>
      <c r="F1552" s="1099">
        <v>0.96863080312274807</v>
      </c>
      <c r="G1552" s="1099">
        <v>1.0333017369065827</v>
      </c>
      <c r="H1552" s="1099">
        <v>0.95746939920241514</v>
      </c>
      <c r="I1552" s="1099">
        <v>0.98923488589257691</v>
      </c>
      <c r="K1552">
        <v>1.676362221501865</v>
      </c>
      <c r="L1552">
        <v>0</v>
      </c>
      <c r="M1552">
        <v>1.2606376791325911E-3</v>
      </c>
      <c r="N1552">
        <v>0.11825810398174186</v>
      </c>
      <c r="O1552">
        <v>0.12381684086195108</v>
      </c>
      <c r="P1552">
        <v>1.7897471173074924E-2</v>
      </c>
      <c r="Q1552">
        <v>8.7505287190211287E-4</v>
      </c>
      <c r="R1552">
        <v>1.2572537026559307E-3</v>
      </c>
      <c r="S1552">
        <v>0.10083298655259067</v>
      </c>
      <c r="T1552">
        <v>0.99852469170643365</v>
      </c>
      <c r="U1552">
        <v>0</v>
      </c>
      <c r="V1552">
        <v>0.20635545606325587</v>
      </c>
      <c r="W1552">
        <v>7.7387773091935702E-2</v>
      </c>
      <c r="X1552">
        <v>2.8995399050397604E-2</v>
      </c>
      <c r="Y1552">
        <v>3.4218301250577496E-3</v>
      </c>
    </row>
    <row r="1553" spans="1:25" x14ac:dyDescent="0.25">
      <c r="A1553" s="1095"/>
      <c r="B1553" s="1454">
        <v>1303</v>
      </c>
      <c r="C1553" s="1099">
        <v>1.0068672123282041</v>
      </c>
      <c r="D1553" s="1099">
        <v>0.99469228182307323</v>
      </c>
      <c r="E1553" s="1099">
        <v>1.011335652724785</v>
      </c>
      <c r="F1553" s="1099">
        <v>1.0269189652121307</v>
      </c>
      <c r="G1553" s="1099">
        <v>1.0016548806753207</v>
      </c>
      <c r="H1553" s="1099">
        <v>0.97422792102711941</v>
      </c>
      <c r="I1553" s="1099">
        <v>1.0360724111562924</v>
      </c>
      <c r="K1553">
        <v>1.7677120456231101</v>
      </c>
      <c r="L1553">
        <v>0</v>
      </c>
      <c r="M1553">
        <v>1.3075235852466019E-3</v>
      </c>
      <c r="N1553">
        <v>0.12445812854125746</v>
      </c>
      <c r="O1553">
        <v>0.12946735297093626</v>
      </c>
      <c r="P1553">
        <v>1.8963876953051056E-2</v>
      </c>
      <c r="Q1553">
        <v>9.0511170675326334E-4</v>
      </c>
      <c r="R1553">
        <v>1.3040753662286828E-3</v>
      </c>
      <c r="S1553">
        <v>0.109828991136807</v>
      </c>
      <c r="T1553">
        <v>1.0584660907119969</v>
      </c>
      <c r="U1553">
        <v>0</v>
      </c>
      <c r="V1553">
        <v>0.21029969987436228</v>
      </c>
      <c r="W1553">
        <v>8.1213976047339848E-2</v>
      </c>
      <c r="X1553">
        <v>3.0563002641078474E-2</v>
      </c>
      <c r="Y1553">
        <v>3.5492632585455326E-3</v>
      </c>
    </row>
    <row r="1554" spans="1:25" x14ac:dyDescent="0.25">
      <c r="A1554" s="1095"/>
      <c r="B1554" s="1454">
        <v>1304</v>
      </c>
      <c r="C1554" s="1099">
        <v>1.0299924395994602</v>
      </c>
      <c r="D1554" s="1099">
        <v>0.99535176448332863</v>
      </c>
      <c r="E1554" s="1099">
        <v>1.0032317142565583</v>
      </c>
      <c r="F1554" s="1099">
        <v>0.98961058553572967</v>
      </c>
      <c r="G1554" s="1099">
        <v>0.98391358076701474</v>
      </c>
      <c r="H1554" s="1099">
        <v>1.01446506276947</v>
      </c>
      <c r="I1554" s="1099">
        <v>0.97727570920063822</v>
      </c>
      <c r="K1554">
        <v>1.7149220997804357</v>
      </c>
      <c r="L1554">
        <v>0</v>
      </c>
      <c r="M1554">
        <v>1.3512502356937944E-3</v>
      </c>
      <c r="N1554">
        <v>0.12552378109394746</v>
      </c>
      <c r="O1554">
        <v>0.12542129803986291</v>
      </c>
      <c r="P1554">
        <v>1.8180744916723023E-2</v>
      </c>
      <c r="Q1554">
        <v>8.7718317205172608E-4</v>
      </c>
      <c r="R1554">
        <v>1.3478231371656275E-3</v>
      </c>
      <c r="S1554">
        <v>0.10380983586284051</v>
      </c>
      <c r="T1554">
        <v>1.0202482573339524</v>
      </c>
      <c r="U1554">
        <v>0</v>
      </c>
      <c r="V1554">
        <v>0.20556772416260805</v>
      </c>
      <c r="W1554">
        <v>8.2302558142412593E-2</v>
      </c>
      <c r="X1554">
        <v>2.9325813884977483E-2</v>
      </c>
      <c r="Y1554">
        <v>3.6683302695870827E-3</v>
      </c>
    </row>
    <row r="1555" spans="1:25" x14ac:dyDescent="0.25">
      <c r="A1555" s="1095"/>
      <c r="B1555" s="1454">
        <v>1305</v>
      </c>
      <c r="C1555" s="1099">
        <v>1.0249716850666131</v>
      </c>
      <c r="D1555" s="1099">
        <v>1.0335928948389308</v>
      </c>
      <c r="E1555" s="1099">
        <v>0.96619953037432926</v>
      </c>
      <c r="F1555" s="1099">
        <v>0.99740175747222337</v>
      </c>
      <c r="G1555" s="1099">
        <v>1.0007837452051953</v>
      </c>
      <c r="H1555" s="1099">
        <v>1.0125464793695134</v>
      </c>
      <c r="I1555" s="1099">
        <v>0.9946399318996646</v>
      </c>
      <c r="K1555">
        <v>1.7122301230377541</v>
      </c>
      <c r="L1555">
        <v>0</v>
      </c>
      <c r="M1555">
        <v>1.4313726904017581E-3</v>
      </c>
      <c r="N1555">
        <v>0.11887449758779026</v>
      </c>
      <c r="O1555">
        <v>0.12441160317416594</v>
      </c>
      <c r="P1555">
        <v>1.7802221628130346E-2</v>
      </c>
      <c r="Q1555">
        <v>8.3531726303069296E-4</v>
      </c>
      <c r="R1555">
        <v>1.4277101695512647E-3</v>
      </c>
      <c r="S1555">
        <v>0.10355171888222527</v>
      </c>
      <c r="T1555">
        <v>1.029395486584987</v>
      </c>
      <c r="U1555">
        <v>0</v>
      </c>
      <c r="V1555">
        <v>0.20598081080635655</v>
      </c>
      <c r="W1555">
        <v>7.9698738967530852E-2</v>
      </c>
      <c r="X1555">
        <v>2.7797634227399112E-2</v>
      </c>
      <c r="Y1555">
        <v>3.8857564369876381E-3</v>
      </c>
    </row>
    <row r="1556" spans="1:25" x14ac:dyDescent="0.25">
      <c r="A1556" s="1095"/>
      <c r="B1556" s="1454">
        <v>1306</v>
      </c>
      <c r="C1556" s="1099">
        <v>1.0071904331443602</v>
      </c>
      <c r="D1556" s="1099">
        <v>1.0024981874316334</v>
      </c>
      <c r="E1556" s="1099">
        <v>0.98474431430884335</v>
      </c>
      <c r="F1556" s="1099">
        <v>0.96790515955938128</v>
      </c>
      <c r="G1556" s="1099">
        <v>0.97618994445950458</v>
      </c>
      <c r="H1556" s="1099">
        <v>0.98160302790895293</v>
      </c>
      <c r="I1556" s="1099">
        <v>1.0024812726231529</v>
      </c>
      <c r="K1556">
        <v>1.6863708888070874</v>
      </c>
      <c r="L1556">
        <v>0</v>
      </c>
      <c r="M1556">
        <v>1.3782156624439486E-3</v>
      </c>
      <c r="N1556">
        <v>0.12105885561479815</v>
      </c>
      <c r="O1556">
        <v>0.12450629259670622</v>
      </c>
      <c r="P1556">
        <v>1.7664397359842019E-2</v>
      </c>
      <c r="Q1556">
        <v>8.7744251903136854E-4</v>
      </c>
      <c r="R1556">
        <v>1.3745845044721653E-3</v>
      </c>
      <c r="S1556">
        <v>0.10584207039466398</v>
      </c>
      <c r="T1556">
        <v>0.9984059877799728</v>
      </c>
      <c r="U1556">
        <v>0</v>
      </c>
      <c r="V1556">
        <v>0.20564897438929144</v>
      </c>
      <c r="W1556">
        <v>8.0256208685219516E-2</v>
      </c>
      <c r="X1556">
        <v>2.8373124736019242E-2</v>
      </c>
      <c r="Y1556">
        <v>3.7411658895131171E-3</v>
      </c>
    </row>
    <row r="1557" spans="1:25" x14ac:dyDescent="0.25">
      <c r="A1557" s="1095"/>
      <c r="B1557" s="1454">
        <v>1307</v>
      </c>
      <c r="C1557" s="1099">
        <v>0.97992930297170799</v>
      </c>
      <c r="D1557" s="1099">
        <v>0.99742397649021708</v>
      </c>
      <c r="E1557" s="1099">
        <v>0.99574973367991415</v>
      </c>
      <c r="F1557" s="1099">
        <v>0.99499180207915194</v>
      </c>
      <c r="G1557" s="1099">
        <v>1.0353351500733239</v>
      </c>
      <c r="H1557" s="1099">
        <v>0.96877186175150509</v>
      </c>
      <c r="I1557" s="1099">
        <v>1.010757209678226</v>
      </c>
      <c r="K1557">
        <v>1.7348910483631113</v>
      </c>
      <c r="L1557">
        <v>0</v>
      </c>
      <c r="M1557">
        <v>1.3707613652646485E-3</v>
      </c>
      <c r="N1557">
        <v>0.12447375918471153</v>
      </c>
      <c r="O1557">
        <v>0.12826331666029955</v>
      </c>
      <c r="P1557">
        <v>1.8323812716628373E-2</v>
      </c>
      <c r="Q1557">
        <v>9.1410988544428861E-4</v>
      </c>
      <c r="R1557">
        <v>1.3671058863996386E-3</v>
      </c>
      <c r="S1557">
        <v>0.10913179701214275</v>
      </c>
      <c r="T1557">
        <v>1.0260174880779298</v>
      </c>
      <c r="U1557">
        <v>0</v>
      </c>
      <c r="V1557">
        <v>0.21243882329121536</v>
      </c>
      <c r="W1557">
        <v>8.1977970519744828E-2</v>
      </c>
      <c r="X1557">
        <v>2.9632814937413838E-2</v>
      </c>
      <c r="Y1557">
        <v>3.7208115564454835E-3</v>
      </c>
    </row>
    <row r="1558" spans="1:25" x14ac:dyDescent="0.25">
      <c r="A1558" s="1095"/>
      <c r="B1558" s="1454">
        <v>1308</v>
      </c>
      <c r="C1558" s="1099">
        <v>1.0158037975536516</v>
      </c>
      <c r="D1558" s="1099">
        <v>1.0322694923961002</v>
      </c>
      <c r="E1558" s="1099">
        <v>0.96763441012715279</v>
      </c>
      <c r="F1558" s="1099">
        <v>1.0032336243700488</v>
      </c>
      <c r="G1558" s="1099">
        <v>0.99923161483625367</v>
      </c>
      <c r="H1558" s="1099">
        <v>0.99104553325707101</v>
      </c>
      <c r="I1558" s="1099">
        <v>0.99930916136219472</v>
      </c>
      <c r="K1558">
        <v>1.7183544520111989</v>
      </c>
      <c r="L1558">
        <v>0</v>
      </c>
      <c r="M1558">
        <v>1.410193318141821E-3</v>
      </c>
      <c r="N1558">
        <v>0.11761907477837849</v>
      </c>
      <c r="O1558">
        <v>0.12536315003154055</v>
      </c>
      <c r="P1558">
        <v>1.7915377481677357E-2</v>
      </c>
      <c r="Q1558">
        <v>8.4456620291248894E-4</v>
      </c>
      <c r="R1558">
        <v>1.406506778881158E-3</v>
      </c>
      <c r="S1558">
        <v>0.1035951409970816</v>
      </c>
      <c r="T1558">
        <v>1.0353702063460535</v>
      </c>
      <c r="U1558">
        <v>0</v>
      </c>
      <c r="V1558">
        <v>0.20698815418877106</v>
      </c>
      <c r="W1558">
        <v>7.8788042041533876E-2</v>
      </c>
      <c r="X1558">
        <v>2.8046378685231379E-2</v>
      </c>
      <c r="Y1558">
        <v>3.8280477972794649E-3</v>
      </c>
    </row>
    <row r="1559" spans="1:25" x14ac:dyDescent="0.25">
      <c r="A1559" s="1095"/>
      <c r="B1559" s="1454">
        <v>1309</v>
      </c>
      <c r="C1559" s="1099">
        <v>0.96344276732689038</v>
      </c>
      <c r="D1559" s="1099">
        <v>0.99270501491370178</v>
      </c>
      <c r="E1559" s="1099">
        <v>0.99334456987678033</v>
      </c>
      <c r="F1559" s="1099">
        <v>1.0121700351218552</v>
      </c>
      <c r="G1559" s="1099">
        <v>1.0095067783820117</v>
      </c>
      <c r="H1559" s="1099">
        <v>1.0152236352574482</v>
      </c>
      <c r="I1559" s="1099">
        <v>1.0235316223222788</v>
      </c>
      <c r="K1559">
        <v>1.7784187039025454</v>
      </c>
      <c r="L1559">
        <v>0</v>
      </c>
      <c r="M1559">
        <v>1.472573290473244E-3</v>
      </c>
      <c r="N1559">
        <v>0.13276695366005353</v>
      </c>
      <c r="O1559">
        <v>0.13068571050372735</v>
      </c>
      <c r="P1559">
        <v>1.8645169067171365E-2</v>
      </c>
      <c r="Q1559">
        <v>9.2919083528116583E-4</v>
      </c>
      <c r="R1559">
        <v>1.4688295838164859E-3</v>
      </c>
      <c r="S1559">
        <v>0.11618798932806755</v>
      </c>
      <c r="T1559">
        <v>1.0438041338600594</v>
      </c>
      <c r="U1559">
        <v>0</v>
      </c>
      <c r="V1559">
        <v>0.21370254407891007</v>
      </c>
      <c r="W1559">
        <v>8.7565463377059116E-2</v>
      </c>
      <c r="X1559">
        <v>3.0137622971265422E-2</v>
      </c>
      <c r="Y1559">
        <v>3.9976699276063022E-3</v>
      </c>
    </row>
    <row r="1560" spans="1:25" x14ac:dyDescent="0.25">
      <c r="A1560" s="1095"/>
      <c r="B1560" s="1454">
        <v>1310</v>
      </c>
      <c r="C1560" s="1099">
        <v>1.011845513862798</v>
      </c>
      <c r="D1560" s="1099">
        <v>0.98164216386084957</v>
      </c>
      <c r="E1560" s="1099">
        <v>0.97507626005314185</v>
      </c>
      <c r="F1560" s="1099">
        <v>1.0029786434644399</v>
      </c>
      <c r="G1560" s="1099">
        <v>0.99951705091651843</v>
      </c>
      <c r="H1560" s="1099">
        <v>0.97592550391325539</v>
      </c>
      <c r="I1560" s="1099">
        <v>0.99306087488178152</v>
      </c>
      <c r="K1560">
        <v>1.7296998807279176</v>
      </c>
      <c r="L1560">
        <v>0</v>
      </c>
      <c r="M1560">
        <v>1.4137543891813934E-3</v>
      </c>
      <c r="N1560">
        <v>0.12060105031527404</v>
      </c>
      <c r="O1560">
        <v>0.12786526379941021</v>
      </c>
      <c r="P1560">
        <v>1.8062138061945614E-2</v>
      </c>
      <c r="Q1560">
        <v>8.719024856983339E-4</v>
      </c>
      <c r="R1560">
        <v>1.4100358125879544E-3</v>
      </c>
      <c r="S1560">
        <v>0.10555816341990197</v>
      </c>
      <c r="T1560">
        <v>1.0348787866464855</v>
      </c>
      <c r="U1560">
        <v>0</v>
      </c>
      <c r="V1560">
        <v>0.20883121746499131</v>
      </c>
      <c r="W1560">
        <v>8.0420853284643684E-2</v>
      </c>
      <c r="X1560">
        <v>2.8776571162475031E-2</v>
      </c>
      <c r="Y1560">
        <v>3.8376526636837152E-3</v>
      </c>
    </row>
    <row r="1561" spans="1:25" x14ac:dyDescent="0.25">
      <c r="A1561" s="1095"/>
      <c r="B1561" s="1454">
        <v>1311</v>
      </c>
      <c r="C1561" s="1099">
        <v>1.0207552876124042</v>
      </c>
      <c r="D1561" s="1099">
        <v>0.99165326539858312</v>
      </c>
      <c r="E1561" s="1099">
        <v>1.0103554513892758</v>
      </c>
      <c r="F1561" s="1099">
        <v>0.97356737220833345</v>
      </c>
      <c r="G1561" s="1099">
        <v>0.99508330161201497</v>
      </c>
      <c r="H1561" s="1099">
        <v>1.0216717360647802</v>
      </c>
      <c r="I1561" s="1099">
        <v>0.96147906330232291</v>
      </c>
      <c r="K1561">
        <v>1.7024726433236252</v>
      </c>
      <c r="L1561">
        <v>0</v>
      </c>
      <c r="M1561">
        <v>1.353035172578104E-3</v>
      </c>
      <c r="N1561">
        <v>0.1284244969096347</v>
      </c>
      <c r="O1561">
        <v>0.12485623936280825</v>
      </c>
      <c r="P1561">
        <v>1.8052428621358162E-2</v>
      </c>
      <c r="Q1561">
        <v>8.9298770366180681E-4</v>
      </c>
      <c r="R1561">
        <v>1.3496227605511858E-3</v>
      </c>
      <c r="S1561">
        <v>0.1036360917205727</v>
      </c>
      <c r="T1561">
        <v>1.0035035883528123</v>
      </c>
      <c r="U1561">
        <v>0</v>
      </c>
      <c r="V1561">
        <v>0.2061446769998371</v>
      </c>
      <c r="W1561">
        <v>8.38506117621209E-2</v>
      </c>
      <c r="X1561">
        <v>2.9441706051647337E-2</v>
      </c>
      <c r="Y1561">
        <v>3.673228251196882E-3</v>
      </c>
    </row>
    <row r="1562" spans="1:25" x14ac:dyDescent="0.25">
      <c r="A1562" s="1095"/>
      <c r="B1562" s="1454">
        <v>1312</v>
      </c>
      <c r="C1562" s="1099">
        <v>1.0122588633813612</v>
      </c>
      <c r="D1562" s="1099">
        <v>1.0091406887961836</v>
      </c>
      <c r="E1562" s="1099">
        <v>0.98777191191756619</v>
      </c>
      <c r="F1562" s="1099">
        <v>1.0449752501289842</v>
      </c>
      <c r="G1562" s="1099">
        <v>0.98215053396391205</v>
      </c>
      <c r="H1562" s="1099">
        <v>1.0116656147827534</v>
      </c>
      <c r="I1562" s="1099">
        <v>1.0139279053330548</v>
      </c>
      <c r="K1562">
        <v>1.7864582579552433</v>
      </c>
      <c r="L1562">
        <v>0</v>
      </c>
      <c r="M1562">
        <v>1.408742480863492E-3</v>
      </c>
      <c r="N1562">
        <v>0.12489006532250725</v>
      </c>
      <c r="O1562">
        <v>0.12975756935278002</v>
      </c>
      <c r="P1562">
        <v>1.8865772448715901E-2</v>
      </c>
      <c r="Q1562">
        <v>8.7350366108047875E-4</v>
      </c>
      <c r="R1562">
        <v>1.4051615467906135E-3</v>
      </c>
      <c r="S1562">
        <v>0.10866098640339505</v>
      </c>
      <c r="T1562">
        <v>1.0778093816047012</v>
      </c>
      <c r="U1562">
        <v>0</v>
      </c>
      <c r="V1562">
        <v>0.20932696849455504</v>
      </c>
      <c r="W1562">
        <v>8.2645639721257991E-2</v>
      </c>
      <c r="X1562">
        <v>2.9807565361336774E-2</v>
      </c>
      <c r="Y1562">
        <v>3.8243865189846421E-3</v>
      </c>
    </row>
    <row r="1563" spans="1:25" x14ac:dyDescent="0.25">
      <c r="A1563" s="1095"/>
      <c r="B1563" s="1454">
        <v>1313</v>
      </c>
      <c r="C1563" s="1099">
        <v>1.0027430662344052</v>
      </c>
      <c r="D1563" s="1099">
        <v>1.0206794482695771</v>
      </c>
      <c r="E1563" s="1099">
        <v>0.9920630056008507</v>
      </c>
      <c r="F1563" s="1099">
        <v>0.96717480129031652</v>
      </c>
      <c r="G1563" s="1099">
        <v>1.0016640149791791</v>
      </c>
      <c r="H1563" s="1099">
        <v>1.0333227591967766</v>
      </c>
      <c r="I1563" s="1099">
        <v>1.0082350176499548</v>
      </c>
      <c r="K1563">
        <v>1.7001630973077604</v>
      </c>
      <c r="L1563">
        <v>0</v>
      </c>
      <c r="M1563">
        <v>1.4196876135651303E-3</v>
      </c>
      <c r="N1563">
        <v>0.12750772143648081</v>
      </c>
      <c r="O1563">
        <v>0.12390668427061821</v>
      </c>
      <c r="P1563">
        <v>1.7810414239026844E-2</v>
      </c>
      <c r="Q1563">
        <v>8.8172711891645677E-4</v>
      </c>
      <c r="R1563">
        <v>1.4161209380576273E-3</v>
      </c>
      <c r="S1563">
        <v>0.10930645916813733</v>
      </c>
      <c r="T1563">
        <v>0.99743974655971734</v>
      </c>
      <c r="U1563">
        <v>0</v>
      </c>
      <c r="V1563">
        <v>0.20671048835962696</v>
      </c>
      <c r="W1563">
        <v>8.4161226432542882E-2</v>
      </c>
      <c r="X1563">
        <v>2.8587982028947957E-2</v>
      </c>
      <c r="Y1563">
        <v>3.8542143692510918E-3</v>
      </c>
    </row>
    <row r="1564" spans="1:25" x14ac:dyDescent="0.25">
      <c r="A1564" s="1095"/>
      <c r="B1564" s="1454">
        <v>1314</v>
      </c>
      <c r="C1564" s="1099">
        <v>0.99125860337884941</v>
      </c>
      <c r="D1564" s="1099">
        <v>0.99550818073211589</v>
      </c>
      <c r="E1564" s="1099">
        <v>1.0132840488076198</v>
      </c>
      <c r="F1564" s="1099">
        <v>0.96801391035985529</v>
      </c>
      <c r="G1564" s="1099">
        <v>0.99694336175755571</v>
      </c>
      <c r="H1564" s="1099">
        <v>1.0017436423275394</v>
      </c>
      <c r="I1564" s="1099">
        <v>1.0116279469003806</v>
      </c>
      <c r="K1564">
        <v>1.7082050720717912</v>
      </c>
      <c r="L1564">
        <v>0</v>
      </c>
      <c r="M1564">
        <v>1.3506766862598685E-3</v>
      </c>
      <c r="N1564">
        <v>0.12933123650139428</v>
      </c>
      <c r="O1564">
        <v>0.12575185311057518</v>
      </c>
      <c r="P1564">
        <v>1.8134031770273697E-2</v>
      </c>
      <c r="Q1564">
        <v>9.2090869365000854E-4</v>
      </c>
      <c r="R1564">
        <v>1.3471894684096686E-3</v>
      </c>
      <c r="S1564">
        <v>0.11038434497338717</v>
      </c>
      <c r="T1564">
        <v>0.99769608499254003</v>
      </c>
      <c r="U1564">
        <v>0</v>
      </c>
      <c r="V1564">
        <v>0.20828713480312602</v>
      </c>
      <c r="W1564">
        <v>8.4297146302567821E-2</v>
      </c>
      <c r="X1564">
        <v>2.9739212510002878E-2</v>
      </c>
      <c r="Y1564">
        <v>3.6666056321222108E-3</v>
      </c>
    </row>
    <row r="1565" spans="1:25" x14ac:dyDescent="0.25">
      <c r="A1565" s="1095"/>
      <c r="B1565" s="1454">
        <v>1315</v>
      </c>
      <c r="C1565" s="1099">
        <v>0.99355067211282611</v>
      </c>
      <c r="D1565" s="1099">
        <v>0.98953646891622582</v>
      </c>
      <c r="E1565" s="1099">
        <v>0.99651436995161025</v>
      </c>
      <c r="F1565" s="1099">
        <v>0.97401743316505507</v>
      </c>
      <c r="G1565" s="1099">
        <v>0.98256008533292383</v>
      </c>
      <c r="H1565" s="1099">
        <v>1.0323226730397255</v>
      </c>
      <c r="I1565" s="1099">
        <v>0.99278734353926223</v>
      </c>
      <c r="K1565">
        <v>1.7192097756676188</v>
      </c>
      <c r="L1565">
        <v>0</v>
      </c>
      <c r="M1565">
        <v>1.4440453444036507E-3</v>
      </c>
      <c r="N1565">
        <v>0.13145365064913064</v>
      </c>
      <c r="O1565">
        <v>0.12630077481900143</v>
      </c>
      <c r="P1565">
        <v>1.7997828055507679E-2</v>
      </c>
      <c r="Q1565">
        <v>9.0516413622235162E-4</v>
      </c>
      <c r="R1565">
        <v>1.4404342421646486E-3</v>
      </c>
      <c r="S1565">
        <v>0.11064481716702083</v>
      </c>
      <c r="T1565">
        <v>1.0043668740445097</v>
      </c>
      <c r="U1565">
        <v>0</v>
      </c>
      <c r="V1565">
        <v>0.20784334306650373</v>
      </c>
      <c r="W1565">
        <v>8.6535445922882662E-2</v>
      </c>
      <c r="X1565">
        <v>2.924510174092633E-2</v>
      </c>
      <c r="Y1565">
        <v>3.9203871681518596E-3</v>
      </c>
    </row>
    <row r="1566" spans="1:25" x14ac:dyDescent="0.25">
      <c r="A1566" s="1095"/>
      <c r="B1566" s="1454">
        <v>1316</v>
      </c>
      <c r="C1566" s="1099">
        <v>1.0037424391658056</v>
      </c>
      <c r="D1566" s="1099">
        <v>0.98761463234344482</v>
      </c>
      <c r="E1566" s="1099">
        <v>0.98666630098109431</v>
      </c>
      <c r="F1566" s="1099">
        <v>0.98970154653866071</v>
      </c>
      <c r="G1566" s="1099">
        <v>1.0189297337776946</v>
      </c>
      <c r="H1566" s="1099">
        <v>0.9818674003540997</v>
      </c>
      <c r="I1566" s="1099">
        <v>0.99161862819216717</v>
      </c>
      <c r="K1566">
        <v>1.7198258406000742</v>
      </c>
      <c r="L1566">
        <v>0</v>
      </c>
      <c r="M1566">
        <v>1.3923132567253583E-3</v>
      </c>
      <c r="N1566">
        <v>0.1230116525823345</v>
      </c>
      <c r="O1566">
        <v>0.12703280750404713</v>
      </c>
      <c r="P1566">
        <v>1.8050608979861424E-2</v>
      </c>
      <c r="Q1566">
        <v>8.8752065934717737E-4</v>
      </c>
      <c r="R1566">
        <v>1.3886623115107353E-3</v>
      </c>
      <c r="S1566">
        <v>0.10616483252786564</v>
      </c>
      <c r="T1566">
        <v>1.0208318697831842</v>
      </c>
      <c r="U1566">
        <v>0</v>
      </c>
      <c r="V1566">
        <v>0.2095984820003195</v>
      </c>
      <c r="W1566">
        <v>8.1456657472320657E-2</v>
      </c>
      <c r="X1566">
        <v>2.9015578996483937E-2</v>
      </c>
      <c r="Y1566">
        <v>3.7794810395242609E-3</v>
      </c>
    </row>
    <row r="1567" spans="1:25" x14ac:dyDescent="0.25">
      <c r="A1567" s="1095"/>
      <c r="B1567" s="1454">
        <v>1317</v>
      </c>
      <c r="C1567" s="1099">
        <v>1.0154132134554383</v>
      </c>
      <c r="D1567" s="1099">
        <v>1.0069615293033685</v>
      </c>
      <c r="E1567" s="1099">
        <v>0.98013877437192243</v>
      </c>
      <c r="F1567" s="1099">
        <v>1.0090607188676259</v>
      </c>
      <c r="G1567" s="1099">
        <v>1.0009560339323444</v>
      </c>
      <c r="H1567" s="1099">
        <v>1.0056333737649601</v>
      </c>
      <c r="I1567" s="1099">
        <v>0.97442649008640003</v>
      </c>
      <c r="K1567">
        <v>1.7357790877748041</v>
      </c>
      <c r="L1567">
        <v>0</v>
      </c>
      <c r="M1567">
        <v>1.4162641043343267E-3</v>
      </c>
      <c r="N1567">
        <v>0.12268858480031211</v>
      </c>
      <c r="O1567">
        <v>0.12699221333428215</v>
      </c>
      <c r="P1567">
        <v>1.8179534978926548E-2</v>
      </c>
      <c r="Q1567">
        <v>8.6461433187708786E-4</v>
      </c>
      <c r="R1567">
        <v>1.4126343291807639E-3</v>
      </c>
      <c r="S1567">
        <v>0.10364648764935042</v>
      </c>
      <c r="T1567">
        <v>1.0409990332026182</v>
      </c>
      <c r="U1567">
        <v>0</v>
      </c>
      <c r="V1567">
        <v>0.20817097681123989</v>
      </c>
      <c r="W1567">
        <v>8.1562709133581338E-2</v>
      </c>
      <c r="X1567">
        <v>2.8833838338522679E-2</v>
      </c>
      <c r="Y1567">
        <v>3.8447249692485771E-3</v>
      </c>
    </row>
    <row r="1568" spans="1:25" x14ac:dyDescent="0.25">
      <c r="A1568" s="1095"/>
      <c r="B1568" s="1454">
        <v>1318</v>
      </c>
      <c r="C1568" s="1099">
        <v>0.98477468005214375</v>
      </c>
      <c r="D1568" s="1099">
        <v>0.97951983506529272</v>
      </c>
      <c r="E1568" s="1099">
        <v>0.99549779493315504</v>
      </c>
      <c r="F1568" s="1099">
        <v>1.0059591860151771</v>
      </c>
      <c r="G1568" s="1099">
        <v>1.0034830697445039</v>
      </c>
      <c r="H1568" s="1099">
        <v>1.0066430902745673</v>
      </c>
      <c r="I1568" s="1099">
        <v>0.98941891038368046</v>
      </c>
      <c r="K1568">
        <v>1.7581836719501354</v>
      </c>
      <c r="L1568">
        <v>0</v>
      </c>
      <c r="M1568">
        <v>1.4352317914443035E-3</v>
      </c>
      <c r="N1568">
        <v>0.13024358242864617</v>
      </c>
      <c r="O1568">
        <v>0.12968387010710913</v>
      </c>
      <c r="P1568">
        <v>1.8478453709387416E-2</v>
      </c>
      <c r="Q1568">
        <v>9.1598676040399566E-4</v>
      </c>
      <c r="R1568">
        <v>1.4315659339129954E-3</v>
      </c>
      <c r="S1568">
        <v>0.11028166049561315</v>
      </c>
      <c r="T1568">
        <v>1.0373344223683065</v>
      </c>
      <c r="U1568">
        <v>0</v>
      </c>
      <c r="V1568">
        <v>0.21160248377590293</v>
      </c>
      <c r="W1568">
        <v>8.5790845086873374E-2</v>
      </c>
      <c r="X1568">
        <v>2.9959782518894688E-2</v>
      </c>
      <c r="Y1568">
        <v>3.8962505565278889E-3</v>
      </c>
    </row>
    <row r="1569" spans="1:25" x14ac:dyDescent="0.25">
      <c r="A1569" s="1095"/>
      <c r="B1569" s="1454">
        <v>1319</v>
      </c>
      <c r="C1569" s="1099">
        <v>0.98724025024607442</v>
      </c>
      <c r="D1569" s="1099">
        <v>1.0020711980895547</v>
      </c>
      <c r="E1569" s="1099">
        <v>0.96162113665812399</v>
      </c>
      <c r="F1569" s="1099">
        <v>1.0164776869783649</v>
      </c>
      <c r="G1569" s="1099">
        <v>0.96365052206488966</v>
      </c>
      <c r="H1569" s="1099">
        <v>0.99099204957742493</v>
      </c>
      <c r="I1569" s="1099">
        <v>1.013224654463698</v>
      </c>
      <c r="K1569">
        <v>1.7537592646384106</v>
      </c>
      <c r="L1569">
        <v>0</v>
      </c>
      <c r="M1569">
        <v>1.4932140159834434E-3</v>
      </c>
      <c r="N1569">
        <v>0.12229694615678117</v>
      </c>
      <c r="O1569">
        <v>0.12916442530676611</v>
      </c>
      <c r="P1569">
        <v>1.8130426211544953E-2</v>
      </c>
      <c r="Q1569">
        <v>8.7381415066215885E-4</v>
      </c>
      <c r="R1569">
        <v>1.4893275904789233E-3</v>
      </c>
      <c r="S1569">
        <v>0.1099813423703422</v>
      </c>
      <c r="T1569">
        <v>1.0492266838694493</v>
      </c>
      <c r="U1569">
        <v>0</v>
      </c>
      <c r="V1569">
        <v>0.20922368074749256</v>
      </c>
      <c r="W1569">
        <v>8.2223210077594033E-2</v>
      </c>
      <c r="X1569">
        <v>2.8589163428707556E-2</v>
      </c>
      <c r="Y1569">
        <v>4.0534587445753755E-3</v>
      </c>
    </row>
    <row r="1570" spans="1:25" x14ac:dyDescent="0.25">
      <c r="A1570" s="1095"/>
      <c r="B1570" s="1454">
        <v>1320</v>
      </c>
      <c r="C1570" s="1099">
        <v>1.0064985082557778</v>
      </c>
      <c r="D1570" s="1099">
        <v>0.95209357704370345</v>
      </c>
      <c r="E1570" s="1099">
        <v>0.97596824663558812</v>
      </c>
      <c r="F1570" s="1099">
        <v>1.0096626100475588</v>
      </c>
      <c r="G1570" s="1099">
        <v>1.0076218410440236</v>
      </c>
      <c r="H1570" s="1099">
        <v>0.98155820729602083</v>
      </c>
      <c r="I1570" s="1099">
        <v>0.97672134934918942</v>
      </c>
      <c r="K1570">
        <v>1.7489463040923749</v>
      </c>
      <c r="L1570">
        <v>0</v>
      </c>
      <c r="M1570">
        <v>1.4529593009980869E-3</v>
      </c>
      <c r="N1570">
        <v>0.12428432146181909</v>
      </c>
      <c r="O1570">
        <v>0.13006865961531638</v>
      </c>
      <c r="P1570">
        <v>1.8211118250324527E-2</v>
      </c>
      <c r="Q1570">
        <v>8.8814801693190917E-4</v>
      </c>
      <c r="R1570">
        <v>1.449181954893851E-3</v>
      </c>
      <c r="S1570">
        <v>0.10676986765999115</v>
      </c>
      <c r="T1570">
        <v>1.0417479089289454</v>
      </c>
      <c r="U1570">
        <v>0</v>
      </c>
      <c r="V1570">
        <v>0.21095368719423307</v>
      </c>
      <c r="W1570">
        <v>8.2832198461961243E-2</v>
      </c>
      <c r="X1570">
        <v>2.9249976290440047E-2</v>
      </c>
      <c r="Y1570">
        <v>3.9441955585180228E-3</v>
      </c>
    </row>
    <row r="1571" spans="1:25" x14ac:dyDescent="0.25">
      <c r="A1571" s="1095"/>
      <c r="B1571" s="1454">
        <v>1321</v>
      </c>
      <c r="C1571" s="1099">
        <v>0.98461978893745483</v>
      </c>
      <c r="D1571" s="1099">
        <v>0.99491202138405788</v>
      </c>
      <c r="E1571" s="1099">
        <v>0.9760036890111502</v>
      </c>
      <c r="F1571" s="1099">
        <v>1.0047478120127451</v>
      </c>
      <c r="G1571" s="1099">
        <v>1.0164838362338355</v>
      </c>
      <c r="H1571" s="1099">
        <v>0.9755000778835059</v>
      </c>
      <c r="I1571" s="1099">
        <v>0.9617136008547652</v>
      </c>
      <c r="K1571">
        <v>1.7376013777102499</v>
      </c>
      <c r="L1571">
        <v>0</v>
      </c>
      <c r="M1571">
        <v>1.434949755418779E-3</v>
      </c>
      <c r="N1571">
        <v>0.1227515602377855</v>
      </c>
      <c r="O1571">
        <v>0.12880139426643106</v>
      </c>
      <c r="P1571">
        <v>1.8116096490378767E-2</v>
      </c>
      <c r="Q1571">
        <v>8.9208055679975665E-4</v>
      </c>
      <c r="R1571">
        <v>1.4311561030659148E-3</v>
      </c>
      <c r="S1571">
        <v>0.10401392947677159</v>
      </c>
      <c r="T1571">
        <v>1.0366758431400402</v>
      </c>
      <c r="U1571">
        <v>0</v>
      </c>
      <c r="V1571">
        <v>0.2116520192899608</v>
      </c>
      <c r="W1571">
        <v>8.1808897438947578E-2</v>
      </c>
      <c r="X1571">
        <v>2.8998215333423571E-2</v>
      </c>
      <c r="Y1571">
        <v>3.8951351320628395E-3</v>
      </c>
    </row>
    <row r="1572" spans="1:25" x14ac:dyDescent="0.25">
      <c r="A1572" s="1095"/>
      <c r="B1572" s="1454">
        <v>1322</v>
      </c>
      <c r="C1572" s="1099">
        <v>0.9989882681017046</v>
      </c>
      <c r="D1572" s="1099">
        <v>0.99087837024119907</v>
      </c>
      <c r="E1572" s="1099">
        <v>0.99171634923730201</v>
      </c>
      <c r="F1572" s="1099">
        <v>1.0329332371424156</v>
      </c>
      <c r="G1572" s="1099">
        <v>1.0171419260055552</v>
      </c>
      <c r="H1572" s="1099">
        <v>1.031117529818897</v>
      </c>
      <c r="I1572" s="1099">
        <v>0.9626356063916417</v>
      </c>
      <c r="K1572">
        <v>1.7852227746166811</v>
      </c>
      <c r="L1572">
        <v>0</v>
      </c>
      <c r="M1572">
        <v>1.4558377260684245E-3</v>
      </c>
      <c r="N1572">
        <v>0.13062044242386048</v>
      </c>
      <c r="O1572">
        <v>0.13043354905428933</v>
      </c>
      <c r="P1572">
        <v>1.8765618738132036E-2</v>
      </c>
      <c r="Q1572">
        <v>8.9527059037524987E-4</v>
      </c>
      <c r="R1572">
        <v>1.4522123556939747E-3</v>
      </c>
      <c r="S1572">
        <v>0.10691342045593129</v>
      </c>
      <c r="T1572">
        <v>1.0652666338942063</v>
      </c>
      <c r="U1572">
        <v>0</v>
      </c>
      <c r="V1572">
        <v>0.21208836756472327</v>
      </c>
      <c r="W1572">
        <v>8.6233651329474595E-2</v>
      </c>
      <c r="X1572">
        <v>3.0057002625537076E-2</v>
      </c>
      <c r="Y1572">
        <v>3.9524433105246042E-3</v>
      </c>
    </row>
    <row r="1573" spans="1:25" x14ac:dyDescent="0.25">
      <c r="A1573" s="1095"/>
      <c r="B1573" s="1454">
        <v>1323</v>
      </c>
      <c r="C1573" s="1099">
        <v>1.0364150573623352</v>
      </c>
      <c r="D1573" s="1099">
        <v>0.99846349662476019</v>
      </c>
      <c r="E1573" s="1099">
        <v>1.001239197350219</v>
      </c>
      <c r="F1573" s="1099">
        <v>0.98234798666648526</v>
      </c>
      <c r="G1573" s="1099">
        <v>0.97802644694719554</v>
      </c>
      <c r="H1573" s="1099">
        <v>0.9881733308299121</v>
      </c>
      <c r="I1573" s="1099">
        <v>0.98948122781085857</v>
      </c>
      <c r="K1573">
        <v>1.6959397807283556</v>
      </c>
      <c r="L1573">
        <v>0</v>
      </c>
      <c r="M1573">
        <v>1.3109157964119103E-3</v>
      </c>
      <c r="N1573">
        <v>0.12103776257141184</v>
      </c>
      <c r="O1573">
        <v>0.12441017750065295</v>
      </c>
      <c r="P1573">
        <v>1.8016920640730776E-2</v>
      </c>
      <c r="Q1573">
        <v>8.6886490151484553E-4</v>
      </c>
      <c r="R1573">
        <v>1.3075000920589751E-3</v>
      </c>
      <c r="S1573">
        <v>0.10248402047879084</v>
      </c>
      <c r="T1573">
        <v>1.0128188690207998</v>
      </c>
      <c r="U1573">
        <v>0</v>
      </c>
      <c r="V1573">
        <v>0.20429800061490766</v>
      </c>
      <c r="W1573">
        <v>7.9455069514206639E-2</v>
      </c>
      <c r="X1573">
        <v>2.899492695639699E-2</v>
      </c>
      <c r="Y1573">
        <v>3.5585842332950214E-3</v>
      </c>
    </row>
    <row r="1574" spans="1:25" x14ac:dyDescent="0.25">
      <c r="A1574" s="1095"/>
      <c r="B1574" s="1454">
        <v>1324</v>
      </c>
      <c r="C1574" s="1099">
        <v>0.96445299290366249</v>
      </c>
      <c r="D1574" s="1099">
        <v>1.0058998823302674</v>
      </c>
      <c r="E1574" s="1099">
        <v>0.97721106841641969</v>
      </c>
      <c r="F1574" s="1099">
        <v>1.031160205983578</v>
      </c>
      <c r="G1574" s="1099">
        <v>1.0334983292933575</v>
      </c>
      <c r="H1574" s="1099">
        <v>0.95720584885812043</v>
      </c>
      <c r="I1574" s="1099">
        <v>0.98935609328351826</v>
      </c>
      <c r="K1574">
        <v>1.7747261614234053</v>
      </c>
      <c r="L1574">
        <v>0</v>
      </c>
      <c r="M1574">
        <v>1.4254329932958103E-3</v>
      </c>
      <c r="N1574">
        <v>0.12237712944056406</v>
      </c>
      <c r="O1574">
        <v>0.13139537953309618</v>
      </c>
      <c r="P1574">
        <v>1.8589960905960067E-2</v>
      </c>
      <c r="Q1574">
        <v>9.0789167526349223E-4</v>
      </c>
      <c r="R1574">
        <v>1.4215866032530138E-3</v>
      </c>
      <c r="S1574">
        <v>0.10723603762718038</v>
      </c>
      <c r="T1574">
        <v>1.063889668268863</v>
      </c>
      <c r="U1574">
        <v>0</v>
      </c>
      <c r="V1574">
        <v>0.2153140171014159</v>
      </c>
      <c r="W1574">
        <v>8.1499755886797434E-2</v>
      </c>
      <c r="X1574">
        <v>2.9651077266147494E-2</v>
      </c>
      <c r="Y1574">
        <v>3.869090108156887E-3</v>
      </c>
    </row>
    <row r="1575" spans="1:25" x14ac:dyDescent="0.25">
      <c r="A1575" s="1095"/>
      <c r="B1575" s="1454">
        <v>1325</v>
      </c>
      <c r="C1575" s="1099">
        <v>0.97361929301048822</v>
      </c>
      <c r="D1575" s="1099">
        <v>0.98070940712830257</v>
      </c>
      <c r="E1575" s="1099">
        <v>1.0061568947108779</v>
      </c>
      <c r="F1575" s="1099">
        <v>1.0034535805975413</v>
      </c>
      <c r="G1575" s="1099">
        <v>0.96778384656834615</v>
      </c>
      <c r="H1575" s="1099">
        <v>1.0054010784087952</v>
      </c>
      <c r="I1575" s="1099">
        <v>1.0065850837288359</v>
      </c>
      <c r="K1575">
        <v>1.7617889799510087</v>
      </c>
      <c r="L1575">
        <v>0</v>
      </c>
      <c r="M1575">
        <v>1.4154623547878512E-3</v>
      </c>
      <c r="N1575">
        <v>0.13265223444501512</v>
      </c>
      <c r="O1575">
        <v>0.13007596613387276</v>
      </c>
      <c r="P1575">
        <v>1.8614499363309386E-2</v>
      </c>
      <c r="Q1575">
        <v>9.363183080980628E-4</v>
      </c>
      <c r="R1575">
        <v>1.4118373476630695E-3</v>
      </c>
      <c r="S1575">
        <v>0.1132361783404275</v>
      </c>
      <c r="T1575">
        <v>1.0344329749456456</v>
      </c>
      <c r="U1575">
        <v>0</v>
      </c>
      <c r="V1575">
        <v>0.21071915189814433</v>
      </c>
      <c r="W1575">
        <v>8.6825967776481675E-2</v>
      </c>
      <c r="X1575">
        <v>3.0456757898856317E-2</v>
      </c>
      <c r="Y1575">
        <v>3.8425558482823008E-3</v>
      </c>
    </row>
    <row r="1576" spans="1:25" x14ac:dyDescent="0.25">
      <c r="A1576" s="1095"/>
      <c r="B1576" s="1454">
        <v>1326</v>
      </c>
      <c r="C1576" s="1099">
        <v>0.98899016884831148</v>
      </c>
      <c r="D1576" s="1099">
        <v>1.0107168538171991</v>
      </c>
      <c r="E1576" s="1099">
        <v>1.0095842659369663</v>
      </c>
      <c r="F1576" s="1099">
        <v>1.0262146186723353</v>
      </c>
      <c r="G1576" s="1099">
        <v>1.0247994477111304</v>
      </c>
      <c r="H1576" s="1099">
        <v>0.96528953329022871</v>
      </c>
      <c r="I1576" s="1099">
        <v>0.98639840482576024</v>
      </c>
      <c r="K1576">
        <v>1.7632889195616117</v>
      </c>
      <c r="L1576">
        <v>0</v>
      </c>
      <c r="M1576">
        <v>1.3093254468655145E-3</v>
      </c>
      <c r="N1576">
        <v>0.12396788146874983</v>
      </c>
      <c r="O1576">
        <v>0.12960195470721328</v>
      </c>
      <c r="P1576">
        <v>1.888837323035307E-2</v>
      </c>
      <c r="Q1576">
        <v>9.1394879964715756E-4</v>
      </c>
      <c r="R1576">
        <v>1.3058245520601165E-3</v>
      </c>
      <c r="S1576">
        <v>0.10467919209740144</v>
      </c>
      <c r="T1576">
        <v>1.0577929761088933</v>
      </c>
      <c r="U1576">
        <v>0</v>
      </c>
      <c r="V1576">
        <v>0.21241353867967552</v>
      </c>
      <c r="W1576">
        <v>8.0977626242109108E-2</v>
      </c>
      <c r="X1576">
        <v>3.0502905156614635E-2</v>
      </c>
      <c r="Y1576">
        <v>3.5540239657597403E-3</v>
      </c>
    </row>
    <row r="1577" spans="1:25" x14ac:dyDescent="0.25">
      <c r="A1577" s="1095"/>
      <c r="B1577" s="1454">
        <v>1327</v>
      </c>
      <c r="C1577" s="1099">
        <v>0.96179253887020211</v>
      </c>
      <c r="D1577" s="1099">
        <v>1.0282429362675403</v>
      </c>
      <c r="E1577" s="1099">
        <v>0.99609990031646012</v>
      </c>
      <c r="F1577" s="1099">
        <v>0.97524603773832885</v>
      </c>
      <c r="G1577" s="1099">
        <v>1.0052033635283035</v>
      </c>
      <c r="H1577" s="1099">
        <v>1.0390583263081037</v>
      </c>
      <c r="I1577" s="1099">
        <v>1.0086575435634457</v>
      </c>
      <c r="K1577">
        <v>1.7295411393860731</v>
      </c>
      <c r="L1577">
        <v>0</v>
      </c>
      <c r="M1577">
        <v>1.4655065456275508E-3</v>
      </c>
      <c r="N1577">
        <v>0.13323921725523011</v>
      </c>
      <c r="O1577">
        <v>0.12631896941476783</v>
      </c>
      <c r="P1577">
        <v>1.8089231641390303E-2</v>
      </c>
      <c r="Q1577">
        <v>9.2041436795050734E-4</v>
      </c>
      <c r="R1577">
        <v>1.4618298642550679E-3</v>
      </c>
      <c r="S1577">
        <v>0.11370430833324907</v>
      </c>
      <c r="T1577">
        <v>1.0056458211120156</v>
      </c>
      <c r="U1577">
        <v>0</v>
      </c>
      <c r="V1577">
        <v>0.21063328868381412</v>
      </c>
      <c r="W1577">
        <v>8.7732550044972796E-2</v>
      </c>
      <c r="X1577">
        <v>2.9282396215636178E-2</v>
      </c>
      <c r="Y1577">
        <v>3.9786189984170536E-3</v>
      </c>
    </row>
    <row r="1578" spans="1:25" x14ac:dyDescent="0.25">
      <c r="A1578" s="1095"/>
      <c r="B1578" s="1454">
        <v>1328</v>
      </c>
      <c r="C1578" s="1099">
        <v>1.0235417902859549</v>
      </c>
      <c r="D1578" s="1099">
        <v>1.0026908688852147</v>
      </c>
      <c r="E1578" s="1099">
        <v>1.023929773469503</v>
      </c>
      <c r="F1578" s="1099">
        <v>1.0260903042166993</v>
      </c>
      <c r="G1578" s="1099">
        <v>1.0275338270351015</v>
      </c>
      <c r="H1578" s="1099">
        <v>1.0196041945218448</v>
      </c>
      <c r="I1578" s="1099">
        <v>0.98528358389293502</v>
      </c>
      <c r="K1578">
        <v>1.7680244705768364</v>
      </c>
      <c r="L1578">
        <v>0</v>
      </c>
      <c r="M1578">
        <v>1.3067451138928348E-3</v>
      </c>
      <c r="N1578">
        <v>0.12921672669801118</v>
      </c>
      <c r="O1578">
        <v>0.12822378687958069</v>
      </c>
      <c r="P1578">
        <v>1.9056200241615306E-2</v>
      </c>
      <c r="Q1578">
        <v>8.9907404418964319E-4</v>
      </c>
      <c r="R1578">
        <v>1.3034513389905879E-3</v>
      </c>
      <c r="S1578">
        <v>0.10539749591880278</v>
      </c>
      <c r="T1578">
        <v>1.05723458287922</v>
      </c>
      <c r="U1578">
        <v>0</v>
      </c>
      <c r="V1578">
        <v>0.20992363513843054</v>
      </c>
      <c r="W1578">
        <v>8.3699002288912555E-2</v>
      </c>
      <c r="X1578">
        <v>3.0829695400860505E-2</v>
      </c>
      <c r="Y1578">
        <v>3.5475648621139618E-3</v>
      </c>
    </row>
    <row r="1579" spans="1:25" x14ac:dyDescent="0.25">
      <c r="A1579" s="1095"/>
      <c r="B1579" s="1454">
        <v>1329</v>
      </c>
      <c r="C1579" s="1099">
        <v>0.96940568330704069</v>
      </c>
      <c r="D1579" s="1099">
        <v>1.0168188479609164</v>
      </c>
      <c r="E1579" s="1099">
        <v>1.0137455863301019</v>
      </c>
      <c r="F1579" s="1099">
        <v>0.97919895766404041</v>
      </c>
      <c r="G1579" s="1099">
        <v>0.99419889665394279</v>
      </c>
      <c r="H1579" s="1099">
        <v>1.0096427110185326</v>
      </c>
      <c r="I1579" s="1099">
        <v>1.0121580218810871</v>
      </c>
      <c r="K1579">
        <v>1.7283775091902653</v>
      </c>
      <c r="L1579">
        <v>0</v>
      </c>
      <c r="M1579">
        <v>1.3723496351866775E-3</v>
      </c>
      <c r="N1579">
        <v>0.13159070431178696</v>
      </c>
      <c r="O1579">
        <v>0.12680016834360341</v>
      </c>
      <c r="P1579">
        <v>1.834464770196657E-2</v>
      </c>
      <c r="Q1579">
        <v>9.3416762362142855E-4</v>
      </c>
      <c r="R1579">
        <v>1.3688172802131279E-3</v>
      </c>
      <c r="S1579">
        <v>0.11197534520298788</v>
      </c>
      <c r="T1579">
        <v>1.0092108456825526</v>
      </c>
      <c r="U1579">
        <v>0</v>
      </c>
      <c r="V1579">
        <v>0.21001739818612233</v>
      </c>
      <c r="W1579">
        <v>8.5746575528913738E-2</v>
      </c>
      <c r="X1579">
        <v>3.0035719557437914E-2</v>
      </c>
      <c r="Y1579">
        <v>3.7254694062449833E-3</v>
      </c>
    </row>
    <row r="1580" spans="1:25" x14ac:dyDescent="0.25">
      <c r="A1580" s="1095"/>
      <c r="B1580" s="1454">
        <v>1330</v>
      </c>
      <c r="C1580" s="1099">
        <v>1.0204803369316331</v>
      </c>
      <c r="D1580" s="1099">
        <v>1.0472249943682173</v>
      </c>
      <c r="E1580" s="1099">
        <v>1.0209820951375033</v>
      </c>
      <c r="F1580" s="1099">
        <v>0.99244912989879142</v>
      </c>
      <c r="G1580" s="1099">
        <v>0.9635800214410295</v>
      </c>
      <c r="H1580" s="1099">
        <v>0.99655350647700647</v>
      </c>
      <c r="I1580" s="1099">
        <v>0.98534166377541932</v>
      </c>
      <c r="K1580">
        <v>1.7065233787075778</v>
      </c>
      <c r="L1580">
        <v>0</v>
      </c>
      <c r="M1580">
        <v>1.2524196826940457E-3</v>
      </c>
      <c r="N1580">
        <v>0.12273778112281046</v>
      </c>
      <c r="O1580">
        <v>0.12388965214724244</v>
      </c>
      <c r="P1580">
        <v>1.839662494638131E-2</v>
      </c>
      <c r="Q1580">
        <v>8.8355925861390093E-4</v>
      </c>
      <c r="R1580">
        <v>1.2491529752240332E-3</v>
      </c>
      <c r="S1580">
        <v>0.10119141110061591</v>
      </c>
      <c r="T1580">
        <v>1.0226573344984369</v>
      </c>
      <c r="U1580">
        <v>0</v>
      </c>
      <c r="V1580">
        <v>0.20405870985011904</v>
      </c>
      <c r="W1580">
        <v>7.9639281099998807E-2</v>
      </c>
      <c r="X1580">
        <v>2.9672508775435903E-2</v>
      </c>
      <c r="Y1580">
        <v>3.3997826153922051E-3</v>
      </c>
    </row>
    <row r="1581" spans="1:25" x14ac:dyDescent="0.25">
      <c r="A1581" s="1095"/>
      <c r="B1581" s="1454">
        <v>1331</v>
      </c>
      <c r="C1581" s="1099">
        <v>0.99140402425111396</v>
      </c>
      <c r="D1581" s="1099">
        <v>1.0131250336235227</v>
      </c>
      <c r="E1581" s="1099">
        <v>0.98063239924183887</v>
      </c>
      <c r="F1581" s="1099">
        <v>0.99002000905971477</v>
      </c>
      <c r="G1581" s="1099">
        <v>1.0126666642773365</v>
      </c>
      <c r="H1581" s="1099">
        <v>0.99830805194978889</v>
      </c>
      <c r="I1581" s="1099">
        <v>1.0234274354351474</v>
      </c>
      <c r="K1581">
        <v>1.7254960053111765</v>
      </c>
      <c r="L1581">
        <v>0</v>
      </c>
      <c r="M1581">
        <v>1.4282301647652472E-3</v>
      </c>
      <c r="N1581">
        <v>0.12390624507925156</v>
      </c>
      <c r="O1581">
        <v>0.12651235729567359</v>
      </c>
      <c r="P1581">
        <v>1.8030480105108163E-2</v>
      </c>
      <c r="Q1581">
        <v>8.8385109829108442E-4</v>
      </c>
      <c r="R1581">
        <v>1.4245253331562791E-3</v>
      </c>
      <c r="S1581">
        <v>0.11029458715509542</v>
      </c>
      <c r="T1581">
        <v>1.0213408422485375</v>
      </c>
      <c r="U1581">
        <v>0</v>
      </c>
      <c r="V1581">
        <v>0.20958006953847166</v>
      </c>
      <c r="W1581">
        <v>8.2347662232632568E-2</v>
      </c>
      <c r="X1581">
        <v>2.8726527027522417E-2</v>
      </c>
      <c r="Y1581">
        <v>3.8770883622015226E-3</v>
      </c>
    </row>
    <row r="1582" spans="1:25" x14ac:dyDescent="0.25">
      <c r="A1582" s="1095"/>
      <c r="B1582" s="1454">
        <v>1332</v>
      </c>
      <c r="C1582" s="1099">
        <v>0.99958801893046068</v>
      </c>
      <c r="D1582" s="1099">
        <v>0.98235897696117458</v>
      </c>
      <c r="E1582" s="1099">
        <v>0.99776352484097319</v>
      </c>
      <c r="F1582" s="1099">
        <v>1.0188037856449719</v>
      </c>
      <c r="G1582" s="1099">
        <v>0.99625162435872117</v>
      </c>
      <c r="H1582" s="1099">
        <v>1.0030806423596428</v>
      </c>
      <c r="I1582" s="1099">
        <v>1.0238049744905902</v>
      </c>
      <c r="K1582">
        <v>1.7690662426292636</v>
      </c>
      <c r="L1582">
        <v>0</v>
      </c>
      <c r="M1582">
        <v>1.4033122495127998E-3</v>
      </c>
      <c r="N1582">
        <v>0.12822133636870139</v>
      </c>
      <c r="O1582">
        <v>0.129758572960887</v>
      </c>
      <c r="P1582">
        <v>1.8700504977823329E-2</v>
      </c>
      <c r="Q1582">
        <v>9.0349193113894088E-4</v>
      </c>
      <c r="R1582">
        <v>1.3997218019726225E-3</v>
      </c>
      <c r="S1582">
        <v>0.11214222715457121</v>
      </c>
      <c r="T1582">
        <v>1.0505107857436602</v>
      </c>
      <c r="U1582">
        <v>0</v>
      </c>
      <c r="V1582">
        <v>0.21057040746197264</v>
      </c>
      <c r="W1582">
        <v>8.4344840456340706E-2</v>
      </c>
      <c r="X1582">
        <v>3.0108084694905706E-2</v>
      </c>
      <c r="Y1582">
        <v>3.8095813268014685E-3</v>
      </c>
    </row>
    <row r="1583" spans="1:25" x14ac:dyDescent="0.25">
      <c r="A1583" s="1095"/>
      <c r="B1583" s="1454">
        <v>1333</v>
      </c>
      <c r="C1583" s="1099">
        <v>1.0110286261821457</v>
      </c>
      <c r="D1583" s="1099">
        <v>0.96880438077805442</v>
      </c>
      <c r="E1583" s="1099">
        <v>1.0367334715210408</v>
      </c>
      <c r="F1583" s="1099">
        <v>1.0153635336176918</v>
      </c>
      <c r="G1583" s="1099">
        <v>0.99829323853901664</v>
      </c>
      <c r="H1583" s="1099">
        <v>1.0212033082996963</v>
      </c>
      <c r="I1583" s="1099">
        <v>0.96212632468342363</v>
      </c>
      <c r="K1583">
        <v>1.7691088098876981</v>
      </c>
      <c r="L1583">
        <v>0</v>
      </c>
      <c r="M1583">
        <v>1.3141207509189655E-3</v>
      </c>
      <c r="N1583">
        <v>0.13506173448210257</v>
      </c>
      <c r="O1583">
        <v>0.12970647160115009</v>
      </c>
      <c r="P1583">
        <v>1.9090589988344862E-2</v>
      </c>
      <c r="Q1583">
        <v>9.349388134907889E-4</v>
      </c>
      <c r="R1583">
        <v>1.3108290462933889E-3</v>
      </c>
      <c r="S1583">
        <v>0.10643554169365435</v>
      </c>
      <c r="T1583">
        <v>1.0458074460196483</v>
      </c>
      <c r="U1583">
        <v>0</v>
      </c>
      <c r="V1583">
        <v>0.21006255842464475</v>
      </c>
      <c r="W1583">
        <v>8.6837420131640239E-2</v>
      </c>
      <c r="X1583">
        <v>3.1607755888313376E-2</v>
      </c>
      <c r="Y1583">
        <v>3.5676445493316267E-3</v>
      </c>
    </row>
    <row r="1584" spans="1:25" x14ac:dyDescent="0.25">
      <c r="A1584" s="1095"/>
      <c r="B1584" s="1454">
        <v>1334</v>
      </c>
      <c r="C1584" s="1099">
        <v>0.98817845145963934</v>
      </c>
      <c r="D1584" s="1099">
        <v>0.96527786440691754</v>
      </c>
      <c r="E1584" s="1099">
        <v>0.96456906779168161</v>
      </c>
      <c r="F1584" s="1099">
        <v>1.0064326305594018</v>
      </c>
      <c r="G1584" s="1099">
        <v>0.96579849467314294</v>
      </c>
      <c r="H1584" s="1099">
        <v>1.0192683269782297</v>
      </c>
      <c r="I1584" s="1099">
        <v>0.99370844413148507</v>
      </c>
      <c r="K1584">
        <v>1.7581429839806562</v>
      </c>
      <c r="L1584">
        <v>0</v>
      </c>
      <c r="M1584">
        <v>1.5577427678763753E-3</v>
      </c>
      <c r="N1584">
        <v>0.12873779748249625</v>
      </c>
      <c r="O1584">
        <v>0.13009680483728173</v>
      </c>
      <c r="P1584">
        <v>1.8071615625752106E-2</v>
      </c>
      <c r="Q1584">
        <v>8.8891231059761268E-4</v>
      </c>
      <c r="R1584">
        <v>1.5538253832591792E-3</v>
      </c>
      <c r="S1584">
        <v>0.11225428407474289</v>
      </c>
      <c r="T1584">
        <v>1.0387665227135934</v>
      </c>
      <c r="U1584">
        <v>0</v>
      </c>
      <c r="V1584">
        <v>0.20987081604453148</v>
      </c>
      <c r="W1584">
        <v>8.6397542060564714E-2</v>
      </c>
      <c r="X1584">
        <v>2.8833605740879443E-2</v>
      </c>
      <c r="Y1584">
        <v>4.2290004748315561E-3</v>
      </c>
    </row>
    <row r="1585" spans="1:25" x14ac:dyDescent="0.25">
      <c r="A1585" s="1095"/>
      <c r="B1585" s="1454">
        <v>1335</v>
      </c>
      <c r="C1585" s="1099">
        <v>1.0198553858332788</v>
      </c>
      <c r="D1585" s="1099">
        <v>0.98041543505712214</v>
      </c>
      <c r="E1585" s="1099">
        <v>1.0257363076879318</v>
      </c>
      <c r="F1585" s="1099">
        <v>0.9706692171182445</v>
      </c>
      <c r="G1585" s="1099">
        <v>0.98704471889314083</v>
      </c>
      <c r="H1585" s="1099">
        <v>1.0000421376062103</v>
      </c>
      <c r="I1585" s="1099">
        <v>1.0032800294107056</v>
      </c>
      <c r="K1585">
        <v>1.7032221262881944</v>
      </c>
      <c r="L1585">
        <v>0</v>
      </c>
      <c r="M1585">
        <v>1.2920124223829784E-3</v>
      </c>
      <c r="N1585">
        <v>0.12845121313580102</v>
      </c>
      <c r="O1585">
        <v>0.12525154836228317</v>
      </c>
      <c r="P1585">
        <v>1.8262349071279362E-2</v>
      </c>
      <c r="Q1585">
        <v>9.1215365442790539E-4</v>
      </c>
      <c r="R1585">
        <v>1.2886894245166852E-3</v>
      </c>
      <c r="S1585">
        <v>0.10750052021907611</v>
      </c>
      <c r="T1585">
        <v>1.0000804975019819</v>
      </c>
      <c r="U1585">
        <v>0</v>
      </c>
      <c r="V1585">
        <v>0.20605688281810752</v>
      </c>
      <c r="W1585">
        <v>8.3115588125872789E-2</v>
      </c>
      <c r="X1585">
        <v>3.0087308600049417E-2</v>
      </c>
      <c r="Y1585">
        <v>3.5073877971797973E-3</v>
      </c>
    </row>
    <row r="1586" spans="1:25" x14ac:dyDescent="0.25">
      <c r="A1586" s="1095"/>
      <c r="B1586" s="1454">
        <v>1336</v>
      </c>
      <c r="C1586" s="1099">
        <v>0.9750438402772631</v>
      </c>
      <c r="D1586" s="1099">
        <v>1.0145907817334987</v>
      </c>
      <c r="E1586" s="1099">
        <v>1.0087656159076888</v>
      </c>
      <c r="F1586" s="1099">
        <v>0.99016556759510954</v>
      </c>
      <c r="G1586" s="1099">
        <v>1.0052264712158663</v>
      </c>
      <c r="H1586" s="1099">
        <v>1.000144260565798</v>
      </c>
      <c r="I1586" s="1099">
        <v>1.0145026025172887</v>
      </c>
      <c r="K1586">
        <v>1.736847444835407</v>
      </c>
      <c r="L1586">
        <v>0</v>
      </c>
      <c r="M1586">
        <v>1.3693996719261014E-3</v>
      </c>
      <c r="N1586">
        <v>0.12934609647661521</v>
      </c>
      <c r="O1586">
        <v>0.1274216811138206</v>
      </c>
      <c r="P1586">
        <v>1.8432242055606028E-2</v>
      </c>
      <c r="Q1586">
        <v>9.2482233802096609E-4</v>
      </c>
      <c r="R1586">
        <v>1.365848097959838E-3</v>
      </c>
      <c r="S1586">
        <v>0.11115116789946253</v>
      </c>
      <c r="T1586">
        <v>1.0206585104287609</v>
      </c>
      <c r="U1586">
        <v>0</v>
      </c>
      <c r="V1586">
        <v>0.21068010499579309</v>
      </c>
      <c r="W1586">
        <v>8.4531577953227979E-2</v>
      </c>
      <c r="X1586">
        <v>2.9987404877122082E-2</v>
      </c>
      <c r="Y1586">
        <v>3.7173882709421939E-3</v>
      </c>
    </row>
    <row r="1587" spans="1:25" x14ac:dyDescent="0.25">
      <c r="A1587" s="1095"/>
      <c r="B1587" s="1454">
        <v>1337</v>
      </c>
      <c r="C1587" s="1099">
        <v>0.98036457718862091</v>
      </c>
      <c r="D1587" s="1099">
        <v>1.0190418550618461</v>
      </c>
      <c r="E1587" s="1099">
        <v>0.9602385856982798</v>
      </c>
      <c r="F1587" s="1099">
        <v>1.0180918258831018</v>
      </c>
      <c r="G1587" s="1099">
        <v>0.99261099094869543</v>
      </c>
      <c r="H1587" s="1099">
        <v>1.0362231846554646</v>
      </c>
      <c r="I1587" s="1099">
        <v>0.97948767235432699</v>
      </c>
      <c r="K1587">
        <v>1.7643413658765315</v>
      </c>
      <c r="L1587">
        <v>0</v>
      </c>
      <c r="M1587">
        <v>1.5606021907870818E-3</v>
      </c>
      <c r="N1587">
        <v>0.12729520636252681</v>
      </c>
      <c r="O1587">
        <v>0.12886788254076204</v>
      </c>
      <c r="P1587">
        <v>1.8142107953654098E-2</v>
      </c>
      <c r="Q1587">
        <v>8.7277287878844898E-4</v>
      </c>
      <c r="R1587">
        <v>1.5567036152277166E-3</v>
      </c>
      <c r="S1587">
        <v>0.10904764061463838</v>
      </c>
      <c r="T1587">
        <v>1.0509363153381415</v>
      </c>
      <c r="U1587">
        <v>0</v>
      </c>
      <c r="V1587">
        <v>0.21079365880500839</v>
      </c>
      <c r="W1587">
        <v>8.5656229554547672E-2</v>
      </c>
      <c r="X1587">
        <v>2.8496616330582172E-2</v>
      </c>
      <c r="Y1587">
        <v>4.2368340734410016E-3</v>
      </c>
    </row>
    <row r="1588" spans="1:25" x14ac:dyDescent="0.25">
      <c r="A1588" s="1095"/>
      <c r="B1588" s="1454">
        <v>1338</v>
      </c>
      <c r="C1588" s="1099">
        <v>1.0373303378053729</v>
      </c>
      <c r="D1588" s="1099">
        <v>0.97786919944729933</v>
      </c>
      <c r="E1588" s="1099">
        <v>1.0009489976946284</v>
      </c>
      <c r="F1588" s="1099">
        <v>1.0003297226471559</v>
      </c>
      <c r="G1588" s="1099">
        <v>0.99515493319385695</v>
      </c>
      <c r="H1588" s="1099">
        <v>1.0190180708794891</v>
      </c>
      <c r="I1588" s="1099">
        <v>0.99968555677843818</v>
      </c>
      <c r="K1588">
        <v>1.7335849944323825</v>
      </c>
      <c r="L1588">
        <v>0</v>
      </c>
      <c r="M1588">
        <v>1.3704409920642783E-3</v>
      </c>
      <c r="N1588">
        <v>0.12643467320168886</v>
      </c>
      <c r="O1588">
        <v>0.12666414596433942</v>
      </c>
      <c r="P1588">
        <v>1.835955517941857E-2</v>
      </c>
      <c r="Q1588">
        <v>8.7510237746346326E-4</v>
      </c>
      <c r="R1588">
        <v>1.3669976596480794E-3</v>
      </c>
      <c r="S1588">
        <v>0.10701483476290199</v>
      </c>
      <c r="T1588">
        <v>1.0313669901774598</v>
      </c>
      <c r="U1588">
        <v>0</v>
      </c>
      <c r="V1588">
        <v>0.2066046994622705</v>
      </c>
      <c r="W1588">
        <v>8.3012168173850806E-2</v>
      </c>
      <c r="X1588">
        <v>2.9535751466498329E-2</v>
      </c>
      <c r="Y1588">
        <v>3.7205169989046791E-3</v>
      </c>
    </row>
    <row r="1589" spans="1:25" x14ac:dyDescent="0.25">
      <c r="A1589" s="1095"/>
      <c r="B1589" s="1454">
        <v>1339</v>
      </c>
      <c r="C1589" s="1099">
        <v>0.97714919896837338</v>
      </c>
      <c r="D1589" s="1099">
        <v>1.0346823361992021</v>
      </c>
      <c r="E1589" s="1099">
        <v>0.98497020582297579</v>
      </c>
      <c r="F1589" s="1099">
        <v>0.98601184982025514</v>
      </c>
      <c r="G1589" s="1099">
        <v>1.026259729163882</v>
      </c>
      <c r="H1589" s="1099">
        <v>0.97803833049678779</v>
      </c>
      <c r="I1589" s="1099">
        <v>0.98753827542323447</v>
      </c>
      <c r="K1589">
        <v>1.7129976614578915</v>
      </c>
      <c r="L1589">
        <v>0</v>
      </c>
      <c r="M1589">
        <v>1.3875231005879161E-3</v>
      </c>
      <c r="N1589">
        <v>0.1219563122444446</v>
      </c>
      <c r="O1589">
        <v>0.12600586755811424</v>
      </c>
      <c r="P1589">
        <v>1.7976405112592263E-2</v>
      </c>
      <c r="Q1589">
        <v>8.9326959407708996E-4</v>
      </c>
      <c r="R1589">
        <v>1.3838290446680651E-3</v>
      </c>
      <c r="S1589">
        <v>0.10508914752577972</v>
      </c>
      <c r="T1589">
        <v>1.0170765380989666</v>
      </c>
      <c r="U1589">
        <v>0</v>
      </c>
      <c r="V1589">
        <v>0.21064134869902831</v>
      </c>
      <c r="W1589">
        <v>8.0840194456882952E-2</v>
      </c>
      <c r="X1589">
        <v>2.8755945743459126E-2</v>
      </c>
      <c r="Y1589">
        <v>3.7663264804645002E-3</v>
      </c>
    </row>
    <row r="1590" spans="1:25" x14ac:dyDescent="0.25">
      <c r="A1590" s="1095"/>
      <c r="B1590" s="1454">
        <v>1340</v>
      </c>
      <c r="C1590" s="1099">
        <v>1.0127737130738226</v>
      </c>
      <c r="D1590" s="1099">
        <v>1.005532099552471</v>
      </c>
      <c r="E1590" s="1099">
        <v>1.0204584110300186</v>
      </c>
      <c r="F1590" s="1099">
        <v>0.97866350598928475</v>
      </c>
      <c r="G1590" s="1099">
        <v>0.99880989171494683</v>
      </c>
      <c r="H1590" s="1099">
        <v>1.0019530177168241</v>
      </c>
      <c r="I1590" s="1099">
        <v>1.032185352346253</v>
      </c>
      <c r="K1590">
        <v>1.7123956120917538</v>
      </c>
      <c r="L1590">
        <v>0</v>
      </c>
      <c r="M1590">
        <v>1.2986587938618344E-3</v>
      </c>
      <c r="N1590">
        <v>0.12707208705961387</v>
      </c>
      <c r="O1590">
        <v>0.12505979821104876</v>
      </c>
      <c r="P1590">
        <v>1.8350950094185244E-2</v>
      </c>
      <c r="Q1590">
        <v>9.043828209217066E-4</v>
      </c>
      <c r="R1590">
        <v>1.2953096534696507E-3</v>
      </c>
      <c r="S1590">
        <v>0.10978156309445175</v>
      </c>
      <c r="T1590">
        <v>1.0084670235769764</v>
      </c>
      <c r="U1590">
        <v>0</v>
      </c>
      <c r="V1590">
        <v>0.20686342960116949</v>
      </c>
      <c r="W1590">
        <v>8.2476877635051765E-2</v>
      </c>
      <c r="X1590">
        <v>2.989744326069561E-2</v>
      </c>
      <c r="Y1590">
        <v>3.5254058780318808E-3</v>
      </c>
    </row>
    <row r="1591" spans="1:25" x14ac:dyDescent="0.25">
      <c r="A1591" s="1095"/>
      <c r="B1591" s="1454">
        <v>1341</v>
      </c>
      <c r="C1591" s="1099">
        <v>1.0047698962327951</v>
      </c>
      <c r="D1591" s="1099">
        <v>0.98847270239536866</v>
      </c>
      <c r="E1591" s="1099">
        <v>1.0080755756453068</v>
      </c>
      <c r="F1591" s="1099">
        <v>1.0216630052649629</v>
      </c>
      <c r="G1591" s="1099">
        <v>0.99636324503306939</v>
      </c>
      <c r="H1591" s="1099">
        <v>1.0433388790949838</v>
      </c>
      <c r="I1591" s="1099">
        <v>0.99101636375050361</v>
      </c>
      <c r="K1591">
        <v>1.7782060201236505</v>
      </c>
      <c r="L1591">
        <v>0</v>
      </c>
      <c r="M1591">
        <v>1.417120337017566E-3</v>
      </c>
      <c r="N1591">
        <v>0.13359268138825217</v>
      </c>
      <c r="O1591">
        <v>0.12945911006454933</v>
      </c>
      <c r="P1591">
        <v>1.885128824628168E-2</v>
      </c>
      <c r="Q1591">
        <v>9.0622702837841768E-4</v>
      </c>
      <c r="R1591">
        <v>1.4136326996479725E-3</v>
      </c>
      <c r="S1591">
        <v>0.11044207557041405</v>
      </c>
      <c r="T1591">
        <v>1.0531467176583036</v>
      </c>
      <c r="U1591">
        <v>0</v>
      </c>
      <c r="V1591">
        <v>0.21012821994853143</v>
      </c>
      <c r="W1591">
        <v>8.7342426031858059E-2</v>
      </c>
      <c r="X1591">
        <v>3.0493319619902232E-2</v>
      </c>
      <c r="Y1591">
        <v>3.8474422045475833E-3</v>
      </c>
    </row>
    <row r="1592" spans="1:25" x14ac:dyDescent="0.25">
      <c r="A1592" s="1095"/>
      <c r="B1592" s="1454">
        <v>1342</v>
      </c>
      <c r="C1592" s="1099">
        <v>0.97709200591099199</v>
      </c>
      <c r="D1592" s="1099">
        <v>1.007348480540019</v>
      </c>
      <c r="E1592" s="1099">
        <v>1.0187031450544151</v>
      </c>
      <c r="F1592" s="1099">
        <v>1.0118282199487567</v>
      </c>
      <c r="G1592" s="1099">
        <v>0.99492624282290454</v>
      </c>
      <c r="H1592" s="1099">
        <v>1.0405849857717016</v>
      </c>
      <c r="I1592" s="1099">
        <v>1.011942486213006</v>
      </c>
      <c r="K1592">
        <v>1.7772336846677754</v>
      </c>
      <c r="L1592">
        <v>0</v>
      </c>
      <c r="M1592">
        <v>1.4014759422154471E-3</v>
      </c>
      <c r="N1592">
        <v>0.13642130284033607</v>
      </c>
      <c r="O1592">
        <v>0.12933841809984922</v>
      </c>
      <c r="P1592">
        <v>1.8924440320639203E-2</v>
      </c>
      <c r="Q1592">
        <v>9.3504727188409005E-4</v>
      </c>
      <c r="R1592">
        <v>1.3979943108297392E-3</v>
      </c>
      <c r="S1592">
        <v>0.11420649170842372</v>
      </c>
      <c r="T1592">
        <v>1.0426934760046633</v>
      </c>
      <c r="U1592">
        <v>0</v>
      </c>
      <c r="V1592">
        <v>0.21138352567727545</v>
      </c>
      <c r="W1592">
        <v>8.8636046275215361E-2</v>
      </c>
      <c r="X1592">
        <v>3.0893538435498514E-2</v>
      </c>
      <c r="Y1592">
        <v>3.8048796653778398E-3</v>
      </c>
    </row>
    <row r="1593" spans="1:25" x14ac:dyDescent="0.25">
      <c r="A1593" s="1095"/>
      <c r="B1593" s="1454">
        <v>1343</v>
      </c>
      <c r="C1593" s="1099">
        <v>0.99933930870209364</v>
      </c>
      <c r="D1593" s="1099">
        <v>1.0220767456702531</v>
      </c>
      <c r="E1593" s="1099">
        <v>0.99221284967532841</v>
      </c>
      <c r="F1593" s="1099">
        <v>1.0020440147822309</v>
      </c>
      <c r="G1593" s="1099">
        <v>1.022388524200615</v>
      </c>
      <c r="H1593" s="1099">
        <v>1.0259091244438869</v>
      </c>
      <c r="I1593" s="1099">
        <v>0.99386131905951891</v>
      </c>
      <c r="K1593">
        <v>1.741122107450773</v>
      </c>
      <c r="L1593">
        <v>0</v>
      </c>
      <c r="M1593">
        <v>1.4166212352653901E-3</v>
      </c>
      <c r="N1593">
        <v>0.12728845190180679</v>
      </c>
      <c r="O1593">
        <v>0.1266551744493048</v>
      </c>
      <c r="P1593">
        <v>1.8319858987738264E-2</v>
      </c>
      <c r="Q1593">
        <v>8.8438424194552513E-4</v>
      </c>
      <c r="R1593">
        <v>1.4130454797378195E-3</v>
      </c>
      <c r="S1593">
        <v>0.1077105558754656</v>
      </c>
      <c r="T1593">
        <v>1.0333955928154335</v>
      </c>
      <c r="U1593">
        <v>0</v>
      </c>
      <c r="V1593">
        <v>0.20977269219549324</v>
      </c>
      <c r="W1593">
        <v>8.4008969275519152E-2</v>
      </c>
      <c r="X1593">
        <v>2.9244159478061863E-2</v>
      </c>
      <c r="Y1593">
        <v>3.8458439855291399E-3</v>
      </c>
    </row>
    <row r="1594" spans="1:25" x14ac:dyDescent="0.25">
      <c r="A1594" s="1095"/>
      <c r="B1594" s="1454">
        <v>1344</v>
      </c>
      <c r="C1594" s="1099">
        <v>0.97139695834619677</v>
      </c>
      <c r="D1594" s="1099">
        <v>0.99796894629429089</v>
      </c>
      <c r="E1594" s="1099">
        <v>1.0046326557969556</v>
      </c>
      <c r="F1594" s="1099">
        <v>1.0060728597513013</v>
      </c>
      <c r="G1594" s="1099">
        <v>1.0129897757328017</v>
      </c>
      <c r="H1594" s="1099">
        <v>1.0001284118279312</v>
      </c>
      <c r="I1594" s="1099">
        <v>1.0263169846235229</v>
      </c>
      <c r="K1594">
        <v>1.7636445839170076</v>
      </c>
      <c r="L1594">
        <v>0</v>
      </c>
      <c r="M1594">
        <v>1.4013757747283846E-3</v>
      </c>
      <c r="N1594">
        <v>0.13072607031136405</v>
      </c>
      <c r="O1594">
        <v>0.12957914685472605</v>
      </c>
      <c r="P1594">
        <v>1.8669920395940839E-2</v>
      </c>
      <c r="Q1594">
        <v>9.3046685836140508E-4</v>
      </c>
      <c r="R1594">
        <v>1.3977563054635841E-3</v>
      </c>
      <c r="S1594">
        <v>0.11409353626580994</v>
      </c>
      <c r="T1594">
        <v>1.0371784586203718</v>
      </c>
      <c r="U1594">
        <v>0</v>
      </c>
      <c r="V1594">
        <v>0.21270245937230975</v>
      </c>
      <c r="W1594">
        <v>8.5642440742482132E-2</v>
      </c>
      <c r="X1594">
        <v>3.0321472071677045E-2</v>
      </c>
      <c r="Y1594">
        <v>3.8042318932296139E-3</v>
      </c>
    </row>
    <row r="1595" spans="1:25" x14ac:dyDescent="0.25">
      <c r="A1595" s="1095"/>
      <c r="B1595" s="1454">
        <v>1345</v>
      </c>
      <c r="C1595" s="1099">
        <v>1.0064625144596278</v>
      </c>
      <c r="D1595" s="1099">
        <v>1.0253459499934472</v>
      </c>
      <c r="E1595" s="1099">
        <v>0.96475376073005303</v>
      </c>
      <c r="F1595" s="1099">
        <v>1.0142636712044879</v>
      </c>
      <c r="G1595" s="1099">
        <v>0.97449629459388798</v>
      </c>
      <c r="H1595" s="1099">
        <v>0.95873223322992707</v>
      </c>
      <c r="I1595" s="1099">
        <v>0.99700283382845689</v>
      </c>
      <c r="K1595">
        <v>1.7267205397912981</v>
      </c>
      <c r="L1595">
        <v>0</v>
      </c>
      <c r="M1595">
        <v>1.3908502177869067E-3</v>
      </c>
      <c r="N1595">
        <v>0.11498831813260979</v>
      </c>
      <c r="O1595">
        <v>0.12695090723799093</v>
      </c>
      <c r="P1595">
        <v>1.8018620484813196E-2</v>
      </c>
      <c r="Q1595">
        <v>8.5210716670560825E-4</v>
      </c>
      <c r="R1595">
        <v>1.3870971940595784E-3</v>
      </c>
      <c r="S1595">
        <v>0.10255176155195933</v>
      </c>
      <c r="T1595">
        <v>1.0468433863516666</v>
      </c>
      <c r="U1595">
        <v>0</v>
      </c>
      <c r="V1595">
        <v>0.20731966618903572</v>
      </c>
      <c r="W1595">
        <v>7.7161383830698219E-2</v>
      </c>
      <c r="X1595">
        <v>2.8262920563783857E-2</v>
      </c>
      <c r="Y1595">
        <v>3.7752213057630412E-3</v>
      </c>
    </row>
    <row r="1596" spans="1:25" x14ac:dyDescent="0.25">
      <c r="A1596" s="1095"/>
      <c r="B1596" s="1454">
        <v>1346</v>
      </c>
      <c r="C1596" s="1099">
        <v>0.97159442057356493</v>
      </c>
      <c r="D1596" s="1099">
        <v>1.0116429310616357</v>
      </c>
      <c r="E1596" s="1099">
        <v>0.98535594925416992</v>
      </c>
      <c r="F1596" s="1099">
        <v>0.99999827154291576</v>
      </c>
      <c r="G1596" s="1099">
        <v>0.96491014378361561</v>
      </c>
      <c r="H1596" s="1099">
        <v>0.98799893281629358</v>
      </c>
      <c r="I1596" s="1099">
        <v>0.99118465842687464</v>
      </c>
      <c r="K1596">
        <v>1.7390413232283668</v>
      </c>
      <c r="L1596">
        <v>0</v>
      </c>
      <c r="M1596">
        <v>1.4283360172479961E-3</v>
      </c>
      <c r="N1596">
        <v>0.12569513963247364</v>
      </c>
      <c r="O1596">
        <v>0.12839805783133917</v>
      </c>
      <c r="P1596">
        <v>1.8205272167806767E-2</v>
      </c>
      <c r="Q1596">
        <v>9.0687077447660638E-4</v>
      </c>
      <c r="R1596">
        <v>1.4245902175172307E-3</v>
      </c>
      <c r="S1596">
        <v>0.10831892349891684</v>
      </c>
      <c r="T1596">
        <v>1.0314919698628158</v>
      </c>
      <c r="U1596">
        <v>0</v>
      </c>
      <c r="V1596">
        <v>0.20957196205077769</v>
      </c>
      <c r="W1596">
        <v>8.3299195567446693E-2</v>
      </c>
      <c r="X1596">
        <v>2.9280412685999339E-2</v>
      </c>
      <c r="Y1596">
        <v>3.8772649560429098E-3</v>
      </c>
    </row>
    <row r="1597" spans="1:25" x14ac:dyDescent="0.25">
      <c r="A1597" s="1095"/>
      <c r="B1597" s="1454">
        <v>1347</v>
      </c>
      <c r="C1597" s="1099">
        <v>0.99655813469873245</v>
      </c>
      <c r="D1597" s="1099">
        <v>1.0329279215902587</v>
      </c>
      <c r="E1597" s="1099">
        <v>0.98289960660808418</v>
      </c>
      <c r="F1597" s="1099">
        <v>1.0070875714632854</v>
      </c>
      <c r="G1597" s="1099">
        <v>0.99493845047106988</v>
      </c>
      <c r="H1597" s="1099">
        <v>1.0199549537087094</v>
      </c>
      <c r="I1597" s="1099">
        <v>0.98100116139840887</v>
      </c>
      <c r="K1597">
        <v>1.7395188876039593</v>
      </c>
      <c r="L1597">
        <v>0</v>
      </c>
      <c r="M1597">
        <v>1.4311673375799836E-3</v>
      </c>
      <c r="N1597">
        <v>0.12502192992015779</v>
      </c>
      <c r="O1597">
        <v>0.12665764299525886</v>
      </c>
      <c r="P1597">
        <v>1.8220076980745736E-2</v>
      </c>
      <c r="Q1597">
        <v>8.7457130113122595E-4</v>
      </c>
      <c r="R1597">
        <v>1.4275272055561603E-3</v>
      </c>
      <c r="S1597">
        <v>0.10551628701934448</v>
      </c>
      <c r="T1597">
        <v>1.0388792466671819</v>
      </c>
      <c r="U1597">
        <v>0</v>
      </c>
      <c r="V1597">
        <v>0.20860012843739056</v>
      </c>
      <c r="W1597">
        <v>8.2975630760765959E-2</v>
      </c>
      <c r="X1597">
        <v>2.8891755184697446E-2</v>
      </c>
      <c r="Y1597">
        <v>3.8852584693070298E-3</v>
      </c>
    </row>
    <row r="1598" spans="1:25" x14ac:dyDescent="0.25">
      <c r="A1598" s="1095"/>
      <c r="B1598" s="1454">
        <v>1348</v>
      </c>
      <c r="C1598" s="1099">
        <v>0.96158808137802165</v>
      </c>
      <c r="D1598" s="1099">
        <v>0.9955261182443037</v>
      </c>
      <c r="E1598" s="1099">
        <v>0.9907201556910844</v>
      </c>
      <c r="F1598" s="1099">
        <v>1.0170689936754322</v>
      </c>
      <c r="G1598" s="1099">
        <v>1.0268425323190433</v>
      </c>
      <c r="H1598" s="1099">
        <v>0.96150157898410848</v>
      </c>
      <c r="I1598" s="1099">
        <v>1.0000981595710403</v>
      </c>
      <c r="K1598">
        <v>1.766234535889879</v>
      </c>
      <c r="L1598">
        <v>0</v>
      </c>
      <c r="M1598">
        <v>1.4029903293449979E-3</v>
      </c>
      <c r="N1598">
        <v>0.12547583184438513</v>
      </c>
      <c r="O1598">
        <v>0.13101839904823623</v>
      </c>
      <c r="P1598">
        <v>1.8605265358441248E-2</v>
      </c>
      <c r="Q1598">
        <v>9.2738921214875834E-4</v>
      </c>
      <c r="R1598">
        <v>1.3992232308586178E-3</v>
      </c>
      <c r="S1598">
        <v>0.10965623412369964</v>
      </c>
      <c r="T1598">
        <v>1.0489361842670195</v>
      </c>
      <c r="U1598">
        <v>0</v>
      </c>
      <c r="V1598">
        <v>0.21487103476484465</v>
      </c>
      <c r="W1598">
        <v>8.2886659584815128E-2</v>
      </c>
      <c r="X1598">
        <v>3.0053080404190483E-2</v>
      </c>
      <c r="Y1598">
        <v>3.8082243805830714E-3</v>
      </c>
    </row>
    <row r="1599" spans="1:25" x14ac:dyDescent="0.25">
      <c r="A1599" s="1095"/>
      <c r="B1599" s="1454">
        <v>1349</v>
      </c>
      <c r="C1599" s="1099">
        <v>0.98850631693563529</v>
      </c>
      <c r="D1599" s="1099">
        <v>1.0029531605420658</v>
      </c>
      <c r="E1599" s="1099">
        <v>0.99607951946760853</v>
      </c>
      <c r="F1599" s="1099">
        <v>0.999042322396821</v>
      </c>
      <c r="G1599" s="1099">
        <v>0.98078171287888627</v>
      </c>
      <c r="H1599" s="1099">
        <v>0.97366272320990899</v>
      </c>
      <c r="I1599" s="1099">
        <v>1.0257869116477834</v>
      </c>
      <c r="K1599">
        <v>1.7348282890955937</v>
      </c>
      <c r="L1599">
        <v>0</v>
      </c>
      <c r="M1599">
        <v>1.3618577737717083E-3</v>
      </c>
      <c r="N1599">
        <v>0.12379025128823366</v>
      </c>
      <c r="O1599">
        <v>0.12786748185086874</v>
      </c>
      <c r="P1599">
        <v>1.8349364069792158E-2</v>
      </c>
      <c r="Q1599">
        <v>9.0448669219018996E-4</v>
      </c>
      <c r="R1599">
        <v>1.3582444878243382E-3</v>
      </c>
      <c r="S1599">
        <v>0.10985010505818509</v>
      </c>
      <c r="T1599">
        <v>1.0301844769051351</v>
      </c>
      <c r="U1599">
        <v>0</v>
      </c>
      <c r="V1599">
        <v>0.2091010061943531</v>
      </c>
      <c r="W1599">
        <v>8.1511784615232147E-2</v>
      </c>
      <c r="X1599">
        <v>2.9576251956868714E-2</v>
      </c>
      <c r="Y1599">
        <v>3.6966937506827712E-3</v>
      </c>
    </row>
    <row r="1600" spans="1:25" x14ac:dyDescent="0.25">
      <c r="A1600" s="1095"/>
      <c r="B1600" s="1454">
        <v>1350</v>
      </c>
      <c r="C1600" s="1099">
        <v>0.97544243711187761</v>
      </c>
      <c r="D1600" s="1099">
        <v>0.9796329818917181</v>
      </c>
      <c r="E1600" s="1099">
        <v>1.0048993346851147</v>
      </c>
      <c r="F1600" s="1099">
        <v>0.97723604940741315</v>
      </c>
      <c r="G1600" s="1099">
        <v>1.039323798007149</v>
      </c>
      <c r="H1600" s="1099">
        <v>0.99281897034947719</v>
      </c>
      <c r="I1600" s="1099">
        <v>0.98042681607668891</v>
      </c>
      <c r="K1600">
        <v>1.7257933449192671</v>
      </c>
      <c r="L1600">
        <v>0</v>
      </c>
      <c r="M1600">
        <v>1.3965660358993088E-3</v>
      </c>
      <c r="N1600">
        <v>0.13038028599272747</v>
      </c>
      <c r="O1600">
        <v>0.12799131541824857</v>
      </c>
      <c r="P1600">
        <v>1.8197713615421829E-2</v>
      </c>
      <c r="Q1600">
        <v>9.337642218820968E-4</v>
      </c>
      <c r="R1600">
        <v>1.3929367513422245E-3</v>
      </c>
      <c r="S1600">
        <v>0.10911006365585225</v>
      </c>
      <c r="T1600">
        <v>1.0074423662669525</v>
      </c>
      <c r="U1600">
        <v>0</v>
      </c>
      <c r="V1600">
        <v>0.21265885415759178</v>
      </c>
      <c r="W1600">
        <v>8.5402420926751821E-2</v>
      </c>
      <c r="X1600">
        <v>2.9889075292718639E-2</v>
      </c>
      <c r="Y1600">
        <v>3.7911146556768643E-3</v>
      </c>
    </row>
    <row r="1601" spans="1:25" x14ac:dyDescent="0.25">
      <c r="A1601" s="1095"/>
      <c r="B1601" s="1454">
        <v>1351</v>
      </c>
      <c r="C1601" s="1099">
        <v>1.00401419277347</v>
      </c>
      <c r="D1601" s="1099">
        <v>0.98367059249285038</v>
      </c>
      <c r="E1601" s="1099">
        <v>1.0286471790101366</v>
      </c>
      <c r="F1601" s="1099">
        <v>0.99393369506294471</v>
      </c>
      <c r="G1601" s="1099">
        <v>0.96219990319636717</v>
      </c>
      <c r="H1601" s="1099">
        <v>1.0045579018537734</v>
      </c>
      <c r="I1601" s="1099">
        <v>1.0011999168869361</v>
      </c>
      <c r="K1601">
        <v>1.7380853953002897</v>
      </c>
      <c r="L1601">
        <v>0</v>
      </c>
      <c r="M1601">
        <v>1.3088006358293086E-3</v>
      </c>
      <c r="N1601">
        <v>0.13126892857195513</v>
      </c>
      <c r="O1601">
        <v>0.12769437978564788</v>
      </c>
      <c r="P1601">
        <v>1.8673689296015664E-2</v>
      </c>
      <c r="Q1601">
        <v>9.2807451524669598E-4</v>
      </c>
      <c r="R1601">
        <v>1.3054500571308824E-3</v>
      </c>
      <c r="S1601">
        <v>0.10912397300101472</v>
      </c>
      <c r="T1601">
        <v>1.0239662142740407</v>
      </c>
      <c r="U1601">
        <v>0</v>
      </c>
      <c r="V1601">
        <v>0.20729378006627597</v>
      </c>
      <c r="W1601">
        <v>8.4795102619306895E-2</v>
      </c>
      <c r="X1601">
        <v>3.0791599035468076E-2</v>
      </c>
      <c r="Y1601">
        <v>3.553004714014586E-3</v>
      </c>
    </row>
    <row r="1602" spans="1:25" x14ac:dyDescent="0.25">
      <c r="A1602" s="1095"/>
      <c r="B1602" s="1454">
        <v>1352</v>
      </c>
      <c r="C1602" s="1099">
        <v>1.0027118839804992</v>
      </c>
      <c r="D1602" s="1099">
        <v>1.0126805998921951</v>
      </c>
      <c r="E1602" s="1099">
        <v>1.005417222966192</v>
      </c>
      <c r="F1602" s="1099">
        <v>1.0052963299244666</v>
      </c>
      <c r="G1602" s="1099">
        <v>0.99054918357680688</v>
      </c>
      <c r="H1602" s="1099">
        <v>1.0302065023116636</v>
      </c>
      <c r="I1602" s="1099">
        <v>0.99349110531026463</v>
      </c>
      <c r="K1602">
        <v>1.7480771723204556</v>
      </c>
      <c r="L1602">
        <v>0</v>
      </c>
      <c r="M1602">
        <v>1.3877657443461919E-3</v>
      </c>
      <c r="N1602">
        <v>0.12977333003000935</v>
      </c>
      <c r="O1602">
        <v>0.12720121323836578</v>
      </c>
      <c r="P1602">
        <v>1.8531322878343682E-2</v>
      </c>
      <c r="Q1602">
        <v>8.9687440626417788E-4</v>
      </c>
      <c r="R1602">
        <v>1.3842854502026088E-3</v>
      </c>
      <c r="S1602">
        <v>0.10827941454360483</v>
      </c>
      <c r="T1602">
        <v>1.0363545917289907</v>
      </c>
      <c r="U1602">
        <v>0</v>
      </c>
      <c r="V1602">
        <v>0.20843059264429095</v>
      </c>
      <c r="W1602">
        <v>8.4978794658914517E-2</v>
      </c>
      <c r="X1602">
        <v>2.986694981994081E-2</v>
      </c>
      <c r="Y1602">
        <v>3.7675686658754817E-3</v>
      </c>
    </row>
    <row r="1603" spans="1:25" x14ac:dyDescent="0.25">
      <c r="A1603" s="1095"/>
      <c r="B1603" s="1454">
        <v>1353</v>
      </c>
      <c r="C1603" s="1099">
        <v>1.0425364835292141</v>
      </c>
      <c r="D1603" s="1099">
        <v>1.0162561595330055</v>
      </c>
      <c r="E1603" s="1099">
        <v>1.0031659142984066</v>
      </c>
      <c r="F1603" s="1099">
        <v>0.98162680142716874</v>
      </c>
      <c r="G1603" s="1099">
        <v>1.0170088835953122</v>
      </c>
      <c r="H1603" s="1099">
        <v>1.028687819570054</v>
      </c>
      <c r="I1603" s="1099">
        <v>1.0018660360898051</v>
      </c>
      <c r="K1603">
        <v>1.7024107574492211</v>
      </c>
      <c r="L1603">
        <v>0</v>
      </c>
      <c r="M1603">
        <v>1.3377640401655911E-3</v>
      </c>
      <c r="N1603">
        <v>0.12424951294471619</v>
      </c>
      <c r="O1603">
        <v>0.12328297611259906</v>
      </c>
      <c r="P1603">
        <v>1.8074857965015061E-2</v>
      </c>
      <c r="Q1603">
        <v>8.5939505111541615E-4</v>
      </c>
      <c r="R1603">
        <v>1.33440575144239E-3</v>
      </c>
      <c r="S1603">
        <v>0.10476546461922209</v>
      </c>
      <c r="T1603">
        <v>1.0120192146365397</v>
      </c>
      <c r="U1603">
        <v>0</v>
      </c>
      <c r="V1603">
        <v>0.20516074085928065</v>
      </c>
      <c r="W1603">
        <v>8.1470232914785848E-2</v>
      </c>
      <c r="X1603">
        <v>2.8899908065979748E-2</v>
      </c>
      <c r="Y1603">
        <v>3.6318125686884452E-3</v>
      </c>
    </row>
    <row r="1604" spans="1:25" x14ac:dyDescent="0.25">
      <c r="A1604" s="1095"/>
      <c r="B1604" s="1454">
        <v>1354</v>
      </c>
      <c r="C1604" s="1099">
        <v>0.98251189145780726</v>
      </c>
      <c r="D1604" s="1099">
        <v>1.0114785515237952</v>
      </c>
      <c r="E1604" s="1099">
        <v>1.0124598577859227</v>
      </c>
      <c r="F1604" s="1099">
        <v>1.0332768531658418</v>
      </c>
      <c r="G1604" s="1099">
        <v>1.0049199863957974</v>
      </c>
      <c r="H1604" s="1099">
        <v>0.97609643969397564</v>
      </c>
      <c r="I1604" s="1099">
        <v>0.98417250590287342</v>
      </c>
      <c r="K1604">
        <v>1.7769809369410721</v>
      </c>
      <c r="L1604">
        <v>0</v>
      </c>
      <c r="M1604">
        <v>1.3242470072784595E-3</v>
      </c>
      <c r="N1604">
        <v>0.12647752373703133</v>
      </c>
      <c r="O1604">
        <v>0.13045366289631724</v>
      </c>
      <c r="P1604">
        <v>1.9042906299119887E-2</v>
      </c>
      <c r="Q1604">
        <v>9.2242784753459293E-4</v>
      </c>
      <c r="R1604">
        <v>1.3207450773881795E-3</v>
      </c>
      <c r="S1604">
        <v>0.10584304694668718</v>
      </c>
      <c r="T1604">
        <v>1.0649851733760269</v>
      </c>
      <c r="U1604">
        <v>0</v>
      </c>
      <c r="V1604">
        <v>0.21236519956087202</v>
      </c>
      <c r="W1604">
        <v>8.2477101443904036E-2</v>
      </c>
      <c r="X1604">
        <v>3.0822764046312904E-2</v>
      </c>
      <c r="Y1604">
        <v>3.5946327171528757E-3</v>
      </c>
    </row>
    <row r="1605" spans="1:25" x14ac:dyDescent="0.25">
      <c r="A1605" s="1095"/>
      <c r="B1605" s="1454">
        <v>1355</v>
      </c>
      <c r="C1605" s="1099">
        <v>0.98736952046749227</v>
      </c>
      <c r="D1605" s="1099">
        <v>1.001138532566898</v>
      </c>
      <c r="E1605" s="1099">
        <v>1.0258168225217974</v>
      </c>
      <c r="F1605" s="1099">
        <v>0.9891123308000388</v>
      </c>
      <c r="G1605" s="1099">
        <v>1.0315651060282278</v>
      </c>
      <c r="H1605" s="1099">
        <v>0.9771218271098504</v>
      </c>
      <c r="I1605" s="1099">
        <v>0.99804232440348484</v>
      </c>
      <c r="K1605">
        <v>1.729356650591628</v>
      </c>
      <c r="L1605">
        <v>0</v>
      </c>
      <c r="M1605">
        <v>1.2864016835481132E-3</v>
      </c>
      <c r="N1605">
        <v>0.12791502073873617</v>
      </c>
      <c r="O1605">
        <v>0.12737057289580955</v>
      </c>
      <c r="P1605">
        <v>1.859802250238405E-2</v>
      </c>
      <c r="Q1605">
        <v>9.3439181601987192E-4</v>
      </c>
      <c r="R1605">
        <v>1.2829985224619158E-3</v>
      </c>
      <c r="S1605">
        <v>0.10735009438733399</v>
      </c>
      <c r="T1605">
        <v>1.0190801310360733</v>
      </c>
      <c r="U1605">
        <v>0</v>
      </c>
      <c r="V1605">
        <v>0.21127512694610975</v>
      </c>
      <c r="W1605">
        <v>8.2764758593099716E-2</v>
      </c>
      <c r="X1605">
        <v>3.058003579935327E-2</v>
      </c>
      <c r="Y1605">
        <v>3.4918990377920726E-3</v>
      </c>
    </row>
    <row r="1606" spans="1:25" x14ac:dyDescent="0.25">
      <c r="A1606" s="1095"/>
      <c r="B1606" s="1454">
        <v>1356</v>
      </c>
      <c r="C1606" s="1099">
        <v>0.99404745210086054</v>
      </c>
      <c r="D1606" s="1099">
        <v>0.99206448642414391</v>
      </c>
      <c r="E1606" s="1099">
        <v>1.0221527640419288</v>
      </c>
      <c r="F1606" s="1099">
        <v>1.0206956466548884</v>
      </c>
      <c r="G1606" s="1099">
        <v>0.99331849856034904</v>
      </c>
      <c r="H1606" s="1099">
        <v>1.0005413721876388</v>
      </c>
      <c r="I1606" s="1099">
        <v>0.98444950575206347</v>
      </c>
      <c r="K1606">
        <v>1.7701543113467306</v>
      </c>
      <c r="L1606">
        <v>0</v>
      </c>
      <c r="M1606">
        <v>1.3298833672252556E-3</v>
      </c>
      <c r="N1606">
        <v>0.13079524579210047</v>
      </c>
      <c r="O1606">
        <v>0.12983623581278933</v>
      </c>
      <c r="P1606">
        <v>1.8997723981693204E-2</v>
      </c>
      <c r="Q1606">
        <v>9.2801365722241602E-4</v>
      </c>
      <c r="R1606">
        <v>1.3264647559682384E-3</v>
      </c>
      <c r="S1606">
        <v>0.10761976218976682</v>
      </c>
      <c r="T1606">
        <v>1.0517288636056679</v>
      </c>
      <c r="U1606">
        <v>0</v>
      </c>
      <c r="V1606">
        <v>0.21077125793638166</v>
      </c>
      <c r="W1606">
        <v>8.4809389723884049E-2</v>
      </c>
      <c r="X1606">
        <v>3.1061037461722805E-2</v>
      </c>
      <c r="Y1606">
        <v>3.6101997967562592E-3</v>
      </c>
    </row>
    <row r="1607" spans="1:25" x14ac:dyDescent="0.25">
      <c r="A1607" s="1095"/>
      <c r="B1607" s="1454">
        <v>1357</v>
      </c>
      <c r="C1607" s="1099">
        <v>0.96008728932435938</v>
      </c>
      <c r="D1607" s="1099">
        <v>1.0095526416029625</v>
      </c>
      <c r="E1607" s="1099">
        <v>1.0100773024768159</v>
      </c>
      <c r="F1607" s="1099">
        <v>1.0426357743180359</v>
      </c>
      <c r="G1607" s="1099">
        <v>1.0189025742795121</v>
      </c>
      <c r="H1607" s="1099">
        <v>1.0181853673509902</v>
      </c>
      <c r="I1607" s="1099">
        <v>1.0015293380372221</v>
      </c>
      <c r="K1607">
        <v>1.8141307570318126</v>
      </c>
      <c r="L1607">
        <v>0</v>
      </c>
      <c r="M1607">
        <v>1.4206381681877251E-3</v>
      </c>
      <c r="N1607">
        <v>0.13472588286898055</v>
      </c>
      <c r="O1607">
        <v>0.13246734128421508</v>
      </c>
      <c r="P1607">
        <v>1.9290107314550657E-2</v>
      </c>
      <c r="Q1607">
        <v>9.4237592388069912E-4</v>
      </c>
      <c r="R1607">
        <v>1.4170339116012145E-3</v>
      </c>
      <c r="S1607">
        <v>0.11332397757718066</v>
      </c>
      <c r="T1607">
        <v>1.0747043072736149</v>
      </c>
      <c r="U1607">
        <v>0</v>
      </c>
      <c r="V1607">
        <v>0.21558476474563351</v>
      </c>
      <c r="W1607">
        <v>8.797932396447368E-2</v>
      </c>
      <c r="X1607">
        <v>3.1259581153593348E-2</v>
      </c>
      <c r="Y1607">
        <v>3.8566991822750899E-3</v>
      </c>
    </row>
    <row r="1608" spans="1:25" x14ac:dyDescent="0.25">
      <c r="A1608" s="1095"/>
      <c r="B1608" s="1454">
        <v>1358</v>
      </c>
      <c r="C1608" s="1099">
        <v>1.0114396896810922</v>
      </c>
      <c r="D1608" s="1099">
        <v>0.97888975676618417</v>
      </c>
      <c r="E1608" s="1099">
        <v>0.98378165334799439</v>
      </c>
      <c r="F1608" s="1099">
        <v>1.0067314621723424</v>
      </c>
      <c r="G1608" s="1099">
        <v>0.99994780154533847</v>
      </c>
      <c r="H1608" s="1099">
        <v>1.0105736286848199</v>
      </c>
      <c r="I1608" s="1099">
        <v>1.0097091898324448</v>
      </c>
      <c r="K1608">
        <v>1.7483578016256558</v>
      </c>
      <c r="L1608">
        <v>0</v>
      </c>
      <c r="M1608">
        <v>1.4412146192481444E-3</v>
      </c>
      <c r="N1608">
        <v>0.12623668124823567</v>
      </c>
      <c r="O1608">
        <v>0.12833532079150436</v>
      </c>
      <c r="P1608">
        <v>1.829594158142113E-2</v>
      </c>
      <c r="Q1608">
        <v>8.812377190198301E-4</v>
      </c>
      <c r="R1608">
        <v>1.4375568041232287E-3</v>
      </c>
      <c r="S1608">
        <v>0.11004331957983524</v>
      </c>
      <c r="T1608">
        <v>1.0384850573952973</v>
      </c>
      <c r="U1608">
        <v>0</v>
      </c>
      <c r="V1608">
        <v>0.20919128296774653</v>
      </c>
      <c r="W1608">
        <v>8.3737354909861339E-2</v>
      </c>
      <c r="X1608">
        <v>2.9242707517509531E-2</v>
      </c>
      <c r="Y1608">
        <v>3.9125557303503105E-3</v>
      </c>
    </row>
    <row r="1609" spans="1:25" x14ac:dyDescent="0.25">
      <c r="A1609" s="1095"/>
      <c r="B1609" s="1454">
        <v>1359</v>
      </c>
      <c r="C1609" s="1099">
        <v>1.0234076815944397</v>
      </c>
      <c r="D1609" s="1099">
        <v>0.96200505121325552</v>
      </c>
      <c r="E1609" s="1099">
        <v>1.0254825874365601</v>
      </c>
      <c r="F1609" s="1099">
        <v>0.98082189082607152</v>
      </c>
      <c r="G1609" s="1099">
        <v>0.97611576664914335</v>
      </c>
      <c r="H1609" s="1099">
        <v>0.97191025303522693</v>
      </c>
      <c r="I1609" s="1099">
        <v>0.99854850055727895</v>
      </c>
      <c r="K1609">
        <v>1.7100857490608072</v>
      </c>
      <c r="L1609">
        <v>0</v>
      </c>
      <c r="M1609">
        <v>1.2675496941777083E-3</v>
      </c>
      <c r="N1609">
        <v>0.12591495654397622</v>
      </c>
      <c r="O1609">
        <v>0.12670877017888704</v>
      </c>
      <c r="P1609">
        <v>1.838745897632147E-2</v>
      </c>
      <c r="Q1609">
        <v>9.1566863161799197E-4</v>
      </c>
      <c r="R1609">
        <v>1.2642112619919081E-3</v>
      </c>
      <c r="S1609">
        <v>0.10599905695289065</v>
      </c>
      <c r="T1609">
        <v>1.0105480060202507</v>
      </c>
      <c r="U1609">
        <v>0</v>
      </c>
      <c r="V1609">
        <v>0.20633673398672472</v>
      </c>
      <c r="W1609">
        <v>8.1486520750905345E-2</v>
      </c>
      <c r="X1609">
        <v>3.0351149143404959E-2</v>
      </c>
      <c r="Y1609">
        <v>3.4407663080114623E-3</v>
      </c>
    </row>
    <row r="1610" spans="1:25" x14ac:dyDescent="0.25">
      <c r="A1610" s="1095"/>
      <c r="B1610" s="1454">
        <v>1360</v>
      </c>
      <c r="C1610" s="1099">
        <v>1.0203629992033558</v>
      </c>
      <c r="D1610" s="1099">
        <v>1.0296802943488956</v>
      </c>
      <c r="E1610" s="1099">
        <v>1.0220032894006235</v>
      </c>
      <c r="F1610" s="1099">
        <v>1.0167181917907058</v>
      </c>
      <c r="G1610" s="1099">
        <v>0.98505117797288155</v>
      </c>
      <c r="H1610" s="1099">
        <v>0.99424166324532348</v>
      </c>
      <c r="I1610" s="1099">
        <v>1.0011992139213468</v>
      </c>
      <c r="K1610">
        <v>1.7428168897357315</v>
      </c>
      <c r="L1610">
        <v>0</v>
      </c>
      <c r="M1610">
        <v>1.2620151570652768E-3</v>
      </c>
      <c r="N1610">
        <v>0.12406064074532472</v>
      </c>
      <c r="O1610">
        <v>0.12646201594800971</v>
      </c>
      <c r="P1610">
        <v>1.8832785509257603E-2</v>
      </c>
      <c r="Q1610">
        <v>8.9058476716143403E-4</v>
      </c>
      <c r="R1610">
        <v>1.2587329026252825E-3</v>
      </c>
      <c r="S1610">
        <v>0.10389137217216719</v>
      </c>
      <c r="T1610">
        <v>1.0476348964499409</v>
      </c>
      <c r="U1610">
        <v>0</v>
      </c>
      <c r="V1610">
        <v>0.20684948979317253</v>
      </c>
      <c r="W1610">
        <v>8.0449605159571447E-2</v>
      </c>
      <c r="X1610">
        <v>3.0322925425807213E-2</v>
      </c>
      <c r="Y1610">
        <v>3.4258560197561868E-3</v>
      </c>
    </row>
    <row r="1611" spans="1:25" x14ac:dyDescent="0.25">
      <c r="A1611" s="1095"/>
      <c r="B1611" s="1454">
        <v>1361</v>
      </c>
      <c r="C1611" s="1099">
        <v>1.0288630426699299</v>
      </c>
      <c r="D1611" s="1099">
        <v>0.98779161496406409</v>
      </c>
      <c r="E1611" s="1099">
        <v>1.0167310660841518</v>
      </c>
      <c r="F1611" s="1099">
        <v>1.0192830491136007</v>
      </c>
      <c r="G1611" s="1099">
        <v>1.0116180221527118</v>
      </c>
      <c r="H1611" s="1099">
        <v>0.99195366125911555</v>
      </c>
      <c r="I1611" s="1099">
        <v>0.99016138108026164</v>
      </c>
      <c r="K1611">
        <v>1.7523066418045319</v>
      </c>
      <c r="L1611">
        <v>0</v>
      </c>
      <c r="M1611">
        <v>1.295089681335641E-3</v>
      </c>
      <c r="N1611">
        <v>0.12530513866504431</v>
      </c>
      <c r="O1611">
        <v>0.1281097016799532</v>
      </c>
      <c r="P1611">
        <v>1.8833493690470885E-2</v>
      </c>
      <c r="Q1611">
        <v>8.9317705422899433E-4</v>
      </c>
      <c r="R1611">
        <v>1.2917435125929914E-3</v>
      </c>
      <c r="S1611">
        <v>0.10445160395234665</v>
      </c>
      <c r="T1611">
        <v>1.0504344078977872</v>
      </c>
      <c r="U1611">
        <v>0</v>
      </c>
      <c r="V1611">
        <v>0.20880149834188996</v>
      </c>
      <c r="W1611">
        <v>8.1507775582959754E-2</v>
      </c>
      <c r="X1611">
        <v>3.0457491090449634E-2</v>
      </c>
      <c r="Y1611">
        <v>3.5157000181436377E-3</v>
      </c>
    </row>
    <row r="1612" spans="1:25" x14ac:dyDescent="0.25">
      <c r="A1612" s="1095"/>
      <c r="B1612" s="1454">
        <v>1362</v>
      </c>
      <c r="C1612" s="1099">
        <v>0.96018574128458656</v>
      </c>
      <c r="D1612" s="1099">
        <v>0.98217956623407077</v>
      </c>
      <c r="E1612" s="1099">
        <v>1.0409211963895943</v>
      </c>
      <c r="F1612" s="1099">
        <v>0.97145625824359438</v>
      </c>
      <c r="G1612" s="1099">
        <v>0.97025699836477464</v>
      </c>
      <c r="H1612" s="1099">
        <v>1.0173138405469511</v>
      </c>
      <c r="I1612" s="1099">
        <v>0.99811038255500484</v>
      </c>
      <c r="K1612">
        <v>1.7379370141881345</v>
      </c>
      <c r="L1612">
        <v>0</v>
      </c>
      <c r="M1612">
        <v>1.3441016755152081E-3</v>
      </c>
      <c r="N1612">
        <v>0.13989170695750736</v>
      </c>
      <c r="O1612">
        <v>0.12838293566639755</v>
      </c>
      <c r="P1612">
        <v>1.862749495046042E-2</v>
      </c>
      <c r="Q1612">
        <v>9.83233603722557E-4</v>
      </c>
      <c r="R1612">
        <v>1.3406846170308977E-3</v>
      </c>
      <c r="S1612">
        <v>0.11437676220600855</v>
      </c>
      <c r="T1612">
        <v>1.0004674245146377</v>
      </c>
      <c r="U1612">
        <v>0</v>
      </c>
      <c r="V1612">
        <v>0.21039951911398247</v>
      </c>
      <c r="W1612">
        <v>8.9725962255383665E-2</v>
      </c>
      <c r="X1612">
        <v>3.1436490407525997E-2</v>
      </c>
      <c r="Y1612">
        <v>3.6489015709928775E-3</v>
      </c>
    </row>
    <row r="1613" spans="1:25" x14ac:dyDescent="0.25">
      <c r="A1613" s="1095"/>
      <c r="B1613" s="1454">
        <v>1363</v>
      </c>
      <c r="C1613" s="1099">
        <v>1.0242867545836463</v>
      </c>
      <c r="D1613" s="1099">
        <v>0.98231764110142272</v>
      </c>
      <c r="E1613" s="1099">
        <v>0.9910325149350584</v>
      </c>
      <c r="F1613" s="1099">
        <v>0.99688818560423154</v>
      </c>
      <c r="G1613" s="1099">
        <v>1.0030622827781499</v>
      </c>
      <c r="H1613" s="1099">
        <v>1.0261691451950996</v>
      </c>
      <c r="I1613" s="1099">
        <v>1.0146496954540094</v>
      </c>
      <c r="K1613">
        <v>1.7360928384722576</v>
      </c>
      <c r="L1613">
        <v>0</v>
      </c>
      <c r="M1613">
        <v>1.4209149277923188E-3</v>
      </c>
      <c r="N1613">
        <v>0.12722249644778696</v>
      </c>
      <c r="O1613">
        <v>0.12680247398014402</v>
      </c>
      <c r="P1613">
        <v>1.8235884565224739E-2</v>
      </c>
      <c r="Q1613">
        <v>8.7557061041415953E-4</v>
      </c>
      <c r="R1613">
        <v>1.4173617758102056E-3</v>
      </c>
      <c r="S1613">
        <v>0.11007805036740617</v>
      </c>
      <c r="T1613">
        <v>1.0281137222342305</v>
      </c>
      <c r="U1613">
        <v>0</v>
      </c>
      <c r="V1613">
        <v>0.20768744709184003</v>
      </c>
      <c r="W1613">
        <v>8.402475551567154E-2</v>
      </c>
      <c r="X1613">
        <v>2.9198399290949733E-2</v>
      </c>
      <c r="Y1613">
        <v>3.8575915205715564E-3</v>
      </c>
    </row>
    <row r="1614" spans="1:25" x14ac:dyDescent="0.25">
      <c r="A1614" s="1095"/>
      <c r="B1614" s="1454">
        <v>1364</v>
      </c>
      <c r="C1614" s="1099">
        <v>1.0235919027136158</v>
      </c>
      <c r="D1614" s="1099">
        <v>0.99827743708874817</v>
      </c>
      <c r="E1614" s="1099">
        <v>0.99238739446509894</v>
      </c>
      <c r="F1614" s="1099">
        <v>0.99805227682882169</v>
      </c>
      <c r="G1614" s="1099">
        <v>1.036923285996894</v>
      </c>
      <c r="H1614" s="1099">
        <v>1.0207390908903877</v>
      </c>
      <c r="I1614" s="1099">
        <v>1.0293939842418487</v>
      </c>
      <c r="K1614">
        <v>1.7352958399692926</v>
      </c>
      <c r="L1614">
        <v>0</v>
      </c>
      <c r="M1614">
        <v>1.3971004136592833E-3</v>
      </c>
      <c r="N1614">
        <v>0.125601021201529</v>
      </c>
      <c r="O1614">
        <v>0.12619972171474289</v>
      </c>
      <c r="P1614">
        <v>1.8290150088220315E-2</v>
      </c>
      <c r="Q1614">
        <v>8.7176402396789638E-4</v>
      </c>
      <c r="R1614">
        <v>1.3935775989844836E-3</v>
      </c>
      <c r="S1614">
        <v>0.11026843673592897</v>
      </c>
      <c r="T1614">
        <v>1.0292737443213511</v>
      </c>
      <c r="U1614">
        <v>0</v>
      </c>
      <c r="V1614">
        <v>0.2089678627836743</v>
      </c>
      <c r="W1614">
        <v>8.2886632121752429E-2</v>
      </c>
      <c r="X1614">
        <v>2.9147170961097542E-2</v>
      </c>
      <c r="Y1614">
        <v>3.7928588317037246E-3</v>
      </c>
    </row>
    <row r="1615" spans="1:25" x14ac:dyDescent="0.25">
      <c r="A1615" s="1095"/>
      <c r="B1615" s="1454">
        <v>1365</v>
      </c>
      <c r="C1615" s="1099">
        <v>1.0123225481044156</v>
      </c>
      <c r="D1615" s="1099">
        <v>0.98963458382745551</v>
      </c>
      <c r="E1615" s="1099">
        <v>0.99835875819776643</v>
      </c>
      <c r="F1615" s="1099">
        <v>0.9668353806688248</v>
      </c>
      <c r="G1615" s="1099">
        <v>0.98924393382910369</v>
      </c>
      <c r="H1615" s="1099">
        <v>1.0065741277500619</v>
      </c>
      <c r="I1615" s="1099">
        <v>1.001333782737748</v>
      </c>
      <c r="K1615">
        <v>1.6962374222259966</v>
      </c>
      <c r="L1615">
        <v>0</v>
      </c>
      <c r="M1615">
        <v>1.3778663706502767E-3</v>
      </c>
      <c r="N1615">
        <v>0.12612250200491784</v>
      </c>
      <c r="O1615">
        <v>0.12480039618814269</v>
      </c>
      <c r="P1615">
        <v>1.786023484219653E-2</v>
      </c>
      <c r="Q1615">
        <v>8.9004681359517671E-4</v>
      </c>
      <c r="R1615">
        <v>1.3743358984273765E-3</v>
      </c>
      <c r="S1615">
        <v>0.10780529419588601</v>
      </c>
      <c r="T1615">
        <v>0.99690789000188185</v>
      </c>
      <c r="U1615">
        <v>0</v>
      </c>
      <c r="V1615">
        <v>0.20622061942809078</v>
      </c>
      <c r="W1615">
        <v>8.293482301987519E-2</v>
      </c>
      <c r="X1615">
        <v>2.8958656937819908E-2</v>
      </c>
      <c r="Y1615">
        <v>3.7404892658121631E-3</v>
      </c>
    </row>
    <row r="1616" spans="1:25" x14ac:dyDescent="0.25">
      <c r="A1616" s="1095"/>
      <c r="B1616" s="1454">
        <v>1366</v>
      </c>
      <c r="C1616" s="1099">
        <v>1.0176600556571906</v>
      </c>
      <c r="D1616" s="1099">
        <v>1.0202173007426896</v>
      </c>
      <c r="E1616" s="1099">
        <v>1.0008983400067604</v>
      </c>
      <c r="F1616" s="1099">
        <v>0.96097772298696427</v>
      </c>
      <c r="G1616" s="1099">
        <v>1.0082631583805168</v>
      </c>
      <c r="H1616" s="1099">
        <v>1.0052590862894637</v>
      </c>
      <c r="I1616" s="1099">
        <v>1.0031979402068885</v>
      </c>
      <c r="K1616">
        <v>1.6796740365470404</v>
      </c>
      <c r="L1616">
        <v>0</v>
      </c>
      <c r="M1616">
        <v>1.3374322802555019E-3</v>
      </c>
      <c r="N1616">
        <v>0.12336206074931193</v>
      </c>
      <c r="O1616">
        <v>0.12274875535909657</v>
      </c>
      <c r="P1616">
        <v>1.77675943460733E-2</v>
      </c>
      <c r="Q1616">
        <v>8.7697184229147565E-4</v>
      </c>
      <c r="R1616">
        <v>1.3339810480727393E-3</v>
      </c>
      <c r="S1616">
        <v>0.10535154631374223</v>
      </c>
      <c r="T1616">
        <v>0.99079546035536525</v>
      </c>
      <c r="U1616">
        <v>0</v>
      </c>
      <c r="V1616">
        <v>0.20551863531154363</v>
      </c>
      <c r="W1616">
        <v>8.0997245280087116E-2</v>
      </c>
      <c r="X1616">
        <v>2.8628561555591108E-2</v>
      </c>
      <c r="Y1616">
        <v>3.6306566661196841E-3</v>
      </c>
    </row>
    <row r="1617" spans="1:25" x14ac:dyDescent="0.25">
      <c r="A1617" s="1095"/>
      <c r="B1617" s="1454">
        <v>1367</v>
      </c>
      <c r="C1617" s="1099">
        <v>0.97531399839272437</v>
      </c>
      <c r="D1617" s="1099">
        <v>1.0403083905791954</v>
      </c>
      <c r="E1617" s="1099">
        <v>1.017811253205881</v>
      </c>
      <c r="F1617" s="1099">
        <v>1.0059857437203501</v>
      </c>
      <c r="G1617" s="1099">
        <v>1.0067382391012432</v>
      </c>
      <c r="H1617" s="1099">
        <v>0.98386175727626146</v>
      </c>
      <c r="I1617" s="1099">
        <v>0.98706171575334145</v>
      </c>
      <c r="K1617">
        <v>1.7428859015837572</v>
      </c>
      <c r="L1617">
        <v>0</v>
      </c>
      <c r="M1617">
        <v>1.3041815920094521E-3</v>
      </c>
      <c r="N1617">
        <v>0.12658897456808499</v>
      </c>
      <c r="O1617">
        <v>0.1275019246697518</v>
      </c>
      <c r="P1617">
        <v>1.8700491868786258E-2</v>
      </c>
      <c r="Q1617">
        <v>9.2391900710146909E-4</v>
      </c>
      <c r="R1617">
        <v>1.3007318504185412E-3</v>
      </c>
      <c r="S1617">
        <v>0.10544719483263938</v>
      </c>
      <c r="T1617">
        <v>1.0366989640658912</v>
      </c>
      <c r="U1617">
        <v>0</v>
      </c>
      <c r="V1617">
        <v>0.21083394748625475</v>
      </c>
      <c r="W1617">
        <v>8.2290744615046721E-2</v>
      </c>
      <c r="X1617">
        <v>3.0363026901091734E-2</v>
      </c>
      <c r="Y1617">
        <v>3.5401633107000159E-3</v>
      </c>
    </row>
    <row r="1618" spans="1:25" x14ac:dyDescent="0.25">
      <c r="A1618" s="1095"/>
      <c r="B1618" s="1454">
        <v>1368</v>
      </c>
      <c r="C1618" s="1099">
        <v>0.97133273883661142</v>
      </c>
      <c r="D1618" s="1099">
        <v>0.96900115410305643</v>
      </c>
      <c r="E1618" s="1099">
        <v>0.99073653242782811</v>
      </c>
      <c r="F1618" s="1099">
        <v>1.018991909825935</v>
      </c>
      <c r="G1618" s="1099">
        <v>0.96567682311865188</v>
      </c>
      <c r="H1618" s="1099">
        <v>1.0097076225725796</v>
      </c>
      <c r="I1618" s="1099">
        <v>1.0134279898742544</v>
      </c>
      <c r="K1618">
        <v>1.7845152521998628</v>
      </c>
      <c r="L1618">
        <v>0</v>
      </c>
      <c r="M1618">
        <v>1.4833218024279363E-3</v>
      </c>
      <c r="N1618">
        <v>0.13268592243089797</v>
      </c>
      <c r="O1618">
        <v>0.13189933718705937</v>
      </c>
      <c r="P1618">
        <v>1.8672263123119644E-2</v>
      </c>
      <c r="Q1618">
        <v>9.2807236465478288E-4</v>
      </c>
      <c r="R1618">
        <v>1.4795521211456138E-3</v>
      </c>
      <c r="S1618">
        <v>0.11550237563190995</v>
      </c>
      <c r="T1618">
        <v>1.0509188492673442</v>
      </c>
      <c r="U1618">
        <v>0</v>
      </c>
      <c r="V1618">
        <v>0.2119697599859629</v>
      </c>
      <c r="W1618">
        <v>8.7648632319369701E-2</v>
      </c>
      <c r="X1618">
        <v>3.0266956431295046E-2</v>
      </c>
      <c r="Y1618">
        <v>4.0268531395327078E-3</v>
      </c>
    </row>
    <row r="1619" spans="1:25" x14ac:dyDescent="0.25">
      <c r="A1619" s="1095"/>
      <c r="B1619" s="1454">
        <v>1369</v>
      </c>
      <c r="C1619" s="1099">
        <v>1.0055060314582562</v>
      </c>
      <c r="D1619" s="1099">
        <v>0.99141919022381164</v>
      </c>
      <c r="E1619" s="1099">
        <v>0.96750778729798959</v>
      </c>
      <c r="F1619" s="1099">
        <v>0.98973256683254363</v>
      </c>
      <c r="G1619" s="1099">
        <v>1.0166343971437517</v>
      </c>
      <c r="H1619" s="1099">
        <v>1.0257089871697878</v>
      </c>
      <c r="I1619" s="1099">
        <v>1.0166712462215644</v>
      </c>
      <c r="K1619">
        <v>1.729771643284677</v>
      </c>
      <c r="L1619">
        <v>0</v>
      </c>
      <c r="M1619">
        <v>1.5073947436644135E-3</v>
      </c>
      <c r="N1619">
        <v>0.12569102147440736</v>
      </c>
      <c r="O1619">
        <v>0.12669413238107424</v>
      </c>
      <c r="P1619">
        <v>1.7862415453610885E-2</v>
      </c>
      <c r="Q1619">
        <v>8.6699211016163331E-4</v>
      </c>
      <c r="R1619">
        <v>1.5036088203979421E-3</v>
      </c>
      <c r="S1619">
        <v>0.1114855649915016</v>
      </c>
      <c r="T1619">
        <v>1.0214405164000733</v>
      </c>
      <c r="U1619">
        <v>0</v>
      </c>
      <c r="V1619">
        <v>0.20917233750397135</v>
      </c>
      <c r="W1619">
        <v>8.4201599065277646E-2</v>
      </c>
      <c r="X1619">
        <v>2.8268522283255902E-2</v>
      </c>
      <c r="Y1619">
        <v>4.0923275446087667E-3</v>
      </c>
    </row>
    <row r="1620" spans="1:25" x14ac:dyDescent="0.25">
      <c r="A1620" s="1095"/>
      <c r="B1620" s="1454">
        <v>1370</v>
      </c>
      <c r="C1620" s="1099">
        <v>0.99895348539997841</v>
      </c>
      <c r="D1620" s="1099">
        <v>1.0308180633772734</v>
      </c>
      <c r="E1620" s="1099">
        <v>1.031315338555197</v>
      </c>
      <c r="F1620" s="1099">
        <v>0.97308904161571874</v>
      </c>
      <c r="G1620" s="1099">
        <v>0.96634673513168912</v>
      </c>
      <c r="H1620" s="1099">
        <v>1.0011879637999912</v>
      </c>
      <c r="I1620" s="1099">
        <v>1.014520151413822</v>
      </c>
      <c r="K1620">
        <v>1.7030155281663122</v>
      </c>
      <c r="L1620">
        <v>0</v>
      </c>
      <c r="M1620">
        <v>1.2655116067784346E-3</v>
      </c>
      <c r="N1620">
        <v>0.12794743948436182</v>
      </c>
      <c r="O1620">
        <v>0.12426068499117301</v>
      </c>
      <c r="P1620">
        <v>1.8361910548025356E-2</v>
      </c>
      <c r="Q1620">
        <v>9.1796676022485257E-4</v>
      </c>
      <c r="R1620">
        <v>1.262224855298264E-3</v>
      </c>
      <c r="S1620">
        <v>0.10758452091488664</v>
      </c>
      <c r="T1620">
        <v>1.0024168466604439</v>
      </c>
      <c r="U1620">
        <v>0</v>
      </c>
      <c r="V1620">
        <v>0.20545014741806036</v>
      </c>
      <c r="W1620">
        <v>8.2521627129652539E-2</v>
      </c>
      <c r="X1620">
        <v>3.0122311047151403E-2</v>
      </c>
      <c r="Y1620">
        <v>3.4353599638101526E-3</v>
      </c>
    </row>
    <row r="1621" spans="1:25" x14ac:dyDescent="0.25">
      <c r="A1621" s="1095"/>
      <c r="B1621" s="1454">
        <v>1371</v>
      </c>
      <c r="C1621" s="1099">
        <v>1.0391334380974424</v>
      </c>
      <c r="D1621" s="1099">
        <v>0.99422952295696798</v>
      </c>
      <c r="E1621" s="1099">
        <v>0.97645068202276375</v>
      </c>
      <c r="F1621" s="1099">
        <v>0.98476006721919074</v>
      </c>
      <c r="G1621" s="1099">
        <v>0.96971791621609738</v>
      </c>
      <c r="H1621" s="1099">
        <v>1.012172012822441</v>
      </c>
      <c r="I1621" s="1099">
        <v>1.0118256781847301</v>
      </c>
      <c r="K1621">
        <v>1.7033209836119052</v>
      </c>
      <c r="L1621">
        <v>0</v>
      </c>
      <c r="M1621">
        <v>1.4139237016455575E-3</v>
      </c>
      <c r="N1621">
        <v>0.12112916220204796</v>
      </c>
      <c r="O1621">
        <v>0.12455512764627147</v>
      </c>
      <c r="P1621">
        <v>1.777371487689056E-2</v>
      </c>
      <c r="Q1621">
        <v>8.4591040734323592E-4</v>
      </c>
      <c r="R1621">
        <v>1.4103313998987677E-3</v>
      </c>
      <c r="S1621">
        <v>0.10642733333323856</v>
      </c>
      <c r="T1621">
        <v>1.0160395469009607</v>
      </c>
      <c r="U1621">
        <v>0</v>
      </c>
      <c r="V1621">
        <v>0.20386409741753009</v>
      </c>
      <c r="W1621">
        <v>8.0705784362439706E-2</v>
      </c>
      <c r="X1621">
        <v>2.8145441612024782E-2</v>
      </c>
      <c r="Y1621">
        <v>3.8384571549034182E-3</v>
      </c>
    </row>
    <row r="1622" spans="1:25" x14ac:dyDescent="0.25">
      <c r="A1622" s="1095"/>
      <c r="B1622" s="1454">
        <v>1372</v>
      </c>
      <c r="C1622" s="1099">
        <v>1.0076996448687476</v>
      </c>
      <c r="D1622" s="1099">
        <v>1.0378988335573249</v>
      </c>
      <c r="E1622" s="1099">
        <v>1.0138047523596694</v>
      </c>
      <c r="F1622" s="1099">
        <v>0.97831537745631758</v>
      </c>
      <c r="G1622" s="1099">
        <v>0.99966053619231265</v>
      </c>
      <c r="H1622" s="1099">
        <v>1.0143187809423051</v>
      </c>
      <c r="I1622" s="1099">
        <v>0.99649772185457186</v>
      </c>
      <c r="K1622">
        <v>1.7039897848407846</v>
      </c>
      <c r="L1622">
        <v>0</v>
      </c>
      <c r="M1622">
        <v>1.3143941566252943E-3</v>
      </c>
      <c r="N1622">
        <v>0.12605730054112138</v>
      </c>
      <c r="O1622">
        <v>0.12384097148083215</v>
      </c>
      <c r="P1622">
        <v>1.8189695912072958E-2</v>
      </c>
      <c r="Q1622">
        <v>8.9137641685780168E-4</v>
      </c>
      <c r="R1622">
        <v>1.311024227178201E-3</v>
      </c>
      <c r="S1622">
        <v>0.1052504700939306</v>
      </c>
      <c r="T1622">
        <v>1.0082984872412879</v>
      </c>
      <c r="U1622">
        <v>0</v>
      </c>
      <c r="V1622">
        <v>0.20635722967278083</v>
      </c>
      <c r="W1622">
        <v>8.2138065239017066E-2</v>
      </c>
      <c r="X1622">
        <v>2.9401382404971796E-2</v>
      </c>
      <c r="Y1622">
        <v>3.5681757673587241E-3</v>
      </c>
    </row>
    <row r="1623" spans="1:25" x14ac:dyDescent="0.25">
      <c r="A1623" s="1095"/>
      <c r="B1623" s="1454">
        <v>1373</v>
      </c>
      <c r="C1623" s="1099">
        <v>1.0048713909882503</v>
      </c>
      <c r="D1623" s="1099">
        <v>1.0079420963340959</v>
      </c>
      <c r="E1623" s="1099">
        <v>0.9824753972023168</v>
      </c>
      <c r="F1623" s="1099">
        <v>1.021725532036255</v>
      </c>
      <c r="G1623" s="1099">
        <v>0.99408649005740801</v>
      </c>
      <c r="H1623" s="1099">
        <v>0.99599151016847798</v>
      </c>
      <c r="I1623" s="1099">
        <v>0.9991977094219664</v>
      </c>
      <c r="K1623">
        <v>1.7555433523067392</v>
      </c>
      <c r="L1623">
        <v>0</v>
      </c>
      <c r="M1623">
        <v>1.4100523886933561E-3</v>
      </c>
      <c r="N1623">
        <v>0.12301398101414365</v>
      </c>
      <c r="O1623">
        <v>0.12844607127559027</v>
      </c>
      <c r="P1623">
        <v>1.8443400616526589E-2</v>
      </c>
      <c r="Q1623">
        <v>8.7548430634011218E-4</v>
      </c>
      <c r="R1623">
        <v>1.4064036380847722E-3</v>
      </c>
      <c r="S1623">
        <v>0.10668222572568213</v>
      </c>
      <c r="T1623">
        <v>1.0539924057076748</v>
      </c>
      <c r="U1623">
        <v>0</v>
      </c>
      <c r="V1623">
        <v>0.20934617290475502</v>
      </c>
      <c r="W1623">
        <v>8.1663848771180242E-2</v>
      </c>
      <c r="X1623">
        <v>2.9255643653421398E-2</v>
      </c>
      <c r="Y1623">
        <v>3.8277670820320566E-3</v>
      </c>
    </row>
    <row r="1624" spans="1:25" x14ac:dyDescent="0.25">
      <c r="A1624" s="1095"/>
      <c r="B1624" s="1454">
        <v>1374</v>
      </c>
      <c r="C1624" s="1099">
        <v>0.97873220393091254</v>
      </c>
      <c r="D1624" s="1099">
        <v>0.99269896687174952</v>
      </c>
      <c r="E1624" s="1099">
        <v>0.99253807448150788</v>
      </c>
      <c r="F1624" s="1099">
        <v>1.0286600207782965</v>
      </c>
      <c r="G1624" s="1099">
        <v>1.0297141210450416</v>
      </c>
      <c r="H1624" s="1099">
        <v>1.0183872076691334</v>
      </c>
      <c r="I1624" s="1099">
        <v>0.96934742483997083</v>
      </c>
      <c r="K1624">
        <v>1.7867553115326655</v>
      </c>
      <c r="L1624">
        <v>0</v>
      </c>
      <c r="M1624">
        <v>1.4605384745673608E-3</v>
      </c>
      <c r="N1624">
        <v>0.13136322365309533</v>
      </c>
      <c r="O1624">
        <v>0.13110995645698933</v>
      </c>
      <c r="P1624">
        <v>1.8770092765067293E-2</v>
      </c>
      <c r="Q1624">
        <v>9.1391015111695932E-4</v>
      </c>
      <c r="R1624">
        <v>1.4568470784408157E-3</v>
      </c>
      <c r="S1624">
        <v>0.10873126819855737</v>
      </c>
      <c r="T1624">
        <v>1.0608343294312701</v>
      </c>
      <c r="U1624">
        <v>0</v>
      </c>
      <c r="V1624">
        <v>0.21417603439644475</v>
      </c>
      <c r="W1624">
        <v>8.668141549403946E-2</v>
      </c>
      <c r="X1624">
        <v>3.0213714884207332E-2</v>
      </c>
      <c r="Y1624">
        <v>3.9650574980055614E-3</v>
      </c>
    </row>
    <row r="1625" spans="1:25" x14ac:dyDescent="0.25">
      <c r="A1625" s="1095"/>
      <c r="B1625" s="1454">
        <v>1375</v>
      </c>
      <c r="C1625" s="1099">
        <v>1.0152472978753642</v>
      </c>
      <c r="D1625" s="1099">
        <v>1.0358585014524722</v>
      </c>
      <c r="E1625" s="1099">
        <v>1.0070134017136196</v>
      </c>
      <c r="F1625" s="1099">
        <v>0.98718782373114577</v>
      </c>
      <c r="G1625" s="1099">
        <v>1.0294231384439472</v>
      </c>
      <c r="H1625" s="1099">
        <v>0.98356895662357702</v>
      </c>
      <c r="I1625" s="1099">
        <v>1.0038445133268667</v>
      </c>
      <c r="K1625">
        <v>1.7045832700135894</v>
      </c>
      <c r="L1625">
        <v>0</v>
      </c>
      <c r="M1625">
        <v>1.2862797159194986E-3</v>
      </c>
      <c r="N1625">
        <v>0.12084836673667021</v>
      </c>
      <c r="O1625">
        <v>0.12419453999090564</v>
      </c>
      <c r="P1625">
        <v>1.8218969075622753E-2</v>
      </c>
      <c r="Q1625">
        <v>8.7926770913194369E-4</v>
      </c>
      <c r="R1625">
        <v>1.2828846377508324E-3</v>
      </c>
      <c r="S1625">
        <v>0.1033663766688587</v>
      </c>
      <c r="T1625">
        <v>1.0176400794934435</v>
      </c>
      <c r="U1625">
        <v>0</v>
      </c>
      <c r="V1625">
        <v>0.20767765609042974</v>
      </c>
      <c r="W1625">
        <v>7.9059836442285869E-2</v>
      </c>
      <c r="X1625">
        <v>2.9209983803258878E-2</v>
      </c>
      <c r="Y1625">
        <v>3.4915890811505895E-3</v>
      </c>
    </row>
    <row r="1626" spans="1:25" x14ac:dyDescent="0.25">
      <c r="A1626" s="1095"/>
      <c r="B1626" s="1454">
        <v>1376</v>
      </c>
      <c r="C1626" s="1099">
        <v>1.0153626271156431</v>
      </c>
      <c r="D1626" s="1099">
        <v>1.016106658119486</v>
      </c>
      <c r="E1626" s="1099">
        <v>1.0212441358402626</v>
      </c>
      <c r="F1626" s="1099">
        <v>1.0231726176114684</v>
      </c>
      <c r="G1626" s="1099">
        <v>1.018633421442577</v>
      </c>
      <c r="H1626" s="1099">
        <v>1.0117341581669577</v>
      </c>
      <c r="I1626" s="1099">
        <v>0.99150843405563427</v>
      </c>
      <c r="K1626">
        <v>1.7619050248833978</v>
      </c>
      <c r="L1626">
        <v>0</v>
      </c>
      <c r="M1626">
        <v>1.3029775244581948E-3</v>
      </c>
      <c r="N1626">
        <v>0.12780105843442777</v>
      </c>
      <c r="O1626">
        <v>0.12780172595713885</v>
      </c>
      <c r="P1626">
        <v>1.8974512480576522E-2</v>
      </c>
      <c r="Q1626">
        <v>8.9903397670754235E-4</v>
      </c>
      <c r="R1626">
        <v>1.2996563081007139E-3</v>
      </c>
      <c r="S1626">
        <v>0.10544171053775638</v>
      </c>
      <c r="T1626">
        <v>1.0543081826504577</v>
      </c>
      <c r="U1626">
        <v>0</v>
      </c>
      <c r="V1626">
        <v>0.20960795253769532</v>
      </c>
      <c r="W1626">
        <v>8.2911923657019826E-2</v>
      </c>
      <c r="X1626">
        <v>3.062500982890962E-2</v>
      </c>
      <c r="Y1626">
        <v>3.537236039063322E-3</v>
      </c>
    </row>
    <row r="1627" spans="1:25" x14ac:dyDescent="0.25">
      <c r="A1627" s="1095"/>
      <c r="B1627" s="1454">
        <v>1377</v>
      </c>
      <c r="C1627" s="1099">
        <v>1.0364500306906064</v>
      </c>
      <c r="D1627" s="1099">
        <v>1.0154347423635202</v>
      </c>
      <c r="E1627" s="1099">
        <v>1.0063762379451264</v>
      </c>
      <c r="F1627" s="1099">
        <v>0.96067198604565152</v>
      </c>
      <c r="G1627" s="1099">
        <v>0.98102847358541057</v>
      </c>
      <c r="H1627" s="1099">
        <v>1.0016816931540216</v>
      </c>
      <c r="I1627" s="1099">
        <v>0.97082738023850357</v>
      </c>
      <c r="K1627">
        <v>1.6678220746582069</v>
      </c>
      <c r="L1627">
        <v>0</v>
      </c>
      <c r="M1627">
        <v>1.2992235374988811E-3</v>
      </c>
      <c r="N1627">
        <v>0.12183665319664215</v>
      </c>
      <c r="O1627">
        <v>0.12204710087908287</v>
      </c>
      <c r="P1627">
        <v>1.7727240183413814E-2</v>
      </c>
      <c r="Q1627">
        <v>8.6759708373197633E-4</v>
      </c>
      <c r="R1627">
        <v>1.2958668786285166E-3</v>
      </c>
      <c r="S1627">
        <v>0.10026794542799991</v>
      </c>
      <c r="T1627">
        <v>0.99032436924137235</v>
      </c>
      <c r="U1627">
        <v>0</v>
      </c>
      <c r="V1627">
        <v>0.20284136676060127</v>
      </c>
      <c r="W1627">
        <v>7.973641134463845E-2</v>
      </c>
      <c r="X1627">
        <v>2.8649824738367333E-2</v>
      </c>
      <c r="Y1627">
        <v>3.5269224612250903E-3</v>
      </c>
    </row>
    <row r="1628" spans="1:25" x14ac:dyDescent="0.25">
      <c r="A1628" s="1095"/>
      <c r="B1628" s="1454">
        <v>1378</v>
      </c>
      <c r="C1628" s="1099">
        <v>1.0125871054070363</v>
      </c>
      <c r="D1628" s="1099">
        <v>1.0124573242964543</v>
      </c>
      <c r="E1628" s="1099">
        <v>0.9786359543344928</v>
      </c>
      <c r="F1628" s="1099">
        <v>0.96800239690624268</v>
      </c>
      <c r="G1628" s="1099">
        <v>1.0100252720649101</v>
      </c>
      <c r="H1628" s="1099">
        <v>0.98648578861089309</v>
      </c>
      <c r="I1628" s="1099">
        <v>1.0007180832760409</v>
      </c>
      <c r="K1628">
        <v>1.6833510655515191</v>
      </c>
      <c r="L1628">
        <v>0</v>
      </c>
      <c r="M1628">
        <v>1.3877789691387019E-3</v>
      </c>
      <c r="N1628">
        <v>0.11966805378047339</v>
      </c>
      <c r="O1628">
        <v>0.12378656196394587</v>
      </c>
      <c r="P1628">
        <v>1.758464986156338E-2</v>
      </c>
      <c r="Q1628">
        <v>8.6377996795404305E-4</v>
      </c>
      <c r="R1628">
        <v>1.3841356766006153E-3</v>
      </c>
      <c r="S1628">
        <v>0.10480880694749564</v>
      </c>
      <c r="T1628">
        <v>0.99868529235278736</v>
      </c>
      <c r="U1628">
        <v>0</v>
      </c>
      <c r="V1628">
        <v>0.20654435104998045</v>
      </c>
      <c r="W1628">
        <v>7.9626935202892296E-2</v>
      </c>
      <c r="X1628">
        <v>2.8019116685460772E-2</v>
      </c>
      <c r="Y1628">
        <v>3.7671610315037117E-3</v>
      </c>
    </row>
    <row r="1629" spans="1:25" x14ac:dyDescent="0.25">
      <c r="A1629" s="1095"/>
      <c r="B1629" s="1454">
        <v>1379</v>
      </c>
      <c r="C1629" s="1099">
        <v>0.99926102625817725</v>
      </c>
      <c r="D1629" s="1099">
        <v>0.97632120997393168</v>
      </c>
      <c r="E1629" s="1099">
        <v>1.0035433979029171</v>
      </c>
      <c r="F1629" s="1099">
        <v>0.99813070517284641</v>
      </c>
      <c r="G1629" s="1099">
        <v>0.98526764381517629</v>
      </c>
      <c r="H1629" s="1099">
        <v>1.0056570564267002</v>
      </c>
      <c r="I1629" s="1099">
        <v>1.0117076208274216</v>
      </c>
      <c r="K1629">
        <v>1.7456628756009629</v>
      </c>
      <c r="L1629">
        <v>0</v>
      </c>
      <c r="M1629">
        <v>1.3931044226347103E-3</v>
      </c>
      <c r="N1629">
        <v>0.12953142869738549</v>
      </c>
      <c r="O1629">
        <v>0.1285083079279174</v>
      </c>
      <c r="P1629">
        <v>1.8457527982472376E-2</v>
      </c>
      <c r="Q1629">
        <v>9.1146294508331102E-4</v>
      </c>
      <c r="R1629">
        <v>1.3895468457533725E-3</v>
      </c>
      <c r="S1629">
        <v>0.11133969567656529</v>
      </c>
      <c r="T1629">
        <v>1.0290229373592163</v>
      </c>
      <c r="U1629">
        <v>0</v>
      </c>
      <c r="V1629">
        <v>0.20918866309875078</v>
      </c>
      <c r="W1629">
        <v>8.4914574918870583E-2</v>
      </c>
      <c r="X1629">
        <v>3.0009946121435122E-2</v>
      </c>
      <c r="Y1629">
        <v>3.7818884501460855E-3</v>
      </c>
    </row>
    <row r="1630" spans="1:25" x14ac:dyDescent="0.25">
      <c r="A1630" s="1095"/>
      <c r="B1630" s="1454">
        <v>1380</v>
      </c>
      <c r="C1630" s="1099">
        <v>1.0240339152512279</v>
      </c>
      <c r="D1630" s="1099">
        <v>0.99614886461640562</v>
      </c>
      <c r="E1630" s="1099">
        <v>0.99949513228216946</v>
      </c>
      <c r="F1630" s="1099">
        <v>0.96979639923330963</v>
      </c>
      <c r="G1630" s="1099">
        <v>0.97205066802199236</v>
      </c>
      <c r="H1630" s="1099">
        <v>1.0365007851490233</v>
      </c>
      <c r="I1630" s="1099">
        <v>1.00792027191108</v>
      </c>
      <c r="K1630">
        <v>1.7014149275583932</v>
      </c>
      <c r="L1630">
        <v>0</v>
      </c>
      <c r="M1630">
        <v>1.3956636752624212E-3</v>
      </c>
      <c r="N1630">
        <v>0.12820047518290689</v>
      </c>
      <c r="O1630">
        <v>0.12416297574810353</v>
      </c>
      <c r="P1630">
        <v>1.7907973901409639E-2</v>
      </c>
      <c r="Q1630">
        <v>8.7859685621019946E-4</v>
      </c>
      <c r="R1630">
        <v>1.3921909208371452E-3</v>
      </c>
      <c r="S1630">
        <v>0.10898994917682203</v>
      </c>
      <c r="T1630">
        <v>0.99992821247127106</v>
      </c>
      <c r="U1630">
        <v>0</v>
      </c>
      <c r="V1630">
        <v>0.20440546360033518</v>
      </c>
      <c r="W1630">
        <v>8.4244277304952528E-2</v>
      </c>
      <c r="X1630">
        <v>2.8911391319902505E-2</v>
      </c>
      <c r="Y1630">
        <v>3.7890847509049973E-3</v>
      </c>
    </row>
    <row r="1631" spans="1:25" x14ac:dyDescent="0.25">
      <c r="A1631" s="1095"/>
      <c r="B1631" s="1454">
        <v>1381</v>
      </c>
      <c r="C1631" s="1099">
        <v>0.96943439276877319</v>
      </c>
      <c r="D1631" s="1099">
        <v>0.9776005922888914</v>
      </c>
      <c r="E1631" s="1099">
        <v>1.0221462613609855</v>
      </c>
      <c r="F1631" s="1099">
        <v>0.99765993094882788</v>
      </c>
      <c r="G1631" s="1099">
        <v>0.98175440835178363</v>
      </c>
      <c r="H1631" s="1099">
        <v>1.0010668743354387</v>
      </c>
      <c r="I1631" s="1099">
        <v>0.96766816682937384</v>
      </c>
      <c r="K1631">
        <v>1.7554903432862596</v>
      </c>
      <c r="L1631">
        <v>0</v>
      </c>
      <c r="M1631">
        <v>1.3704982970376685E-3</v>
      </c>
      <c r="N1631">
        <v>0.13478681265596509</v>
      </c>
      <c r="O1631">
        <v>0.13007251470334338</v>
      </c>
      <c r="P1631">
        <v>1.8702138410929922E-2</v>
      </c>
      <c r="Q1631">
        <v>9.5717543868480354E-4</v>
      </c>
      <c r="R1631">
        <v>1.3669721885638771E-3</v>
      </c>
      <c r="S1631">
        <v>0.10920177150381481</v>
      </c>
      <c r="T1631">
        <v>1.0279929588943308</v>
      </c>
      <c r="U1631">
        <v>0</v>
      </c>
      <c r="V1631">
        <v>0.21160974796614013</v>
      </c>
      <c r="W1631">
        <v>8.7397907091909963E-2</v>
      </c>
      <c r="X1631">
        <v>3.1052395054603756E-2</v>
      </c>
      <c r="Y1631">
        <v>3.7204476750100214E-3</v>
      </c>
    </row>
    <row r="1632" spans="1:25" x14ac:dyDescent="0.25">
      <c r="A1632" s="1095"/>
      <c r="B1632" s="1454">
        <v>1382</v>
      </c>
      <c r="C1632" s="1099">
        <v>1.0263129727542706</v>
      </c>
      <c r="D1632" s="1099">
        <v>0.96087747952785263</v>
      </c>
      <c r="E1632" s="1099">
        <v>1.0114185565683458</v>
      </c>
      <c r="F1632" s="1099">
        <v>1.0281757429514951</v>
      </c>
      <c r="G1632" s="1099">
        <v>0.99934669139577892</v>
      </c>
      <c r="H1632" s="1099">
        <v>0.97011039295598611</v>
      </c>
      <c r="I1632" s="1099">
        <v>0.96139696970617639</v>
      </c>
      <c r="K1632">
        <v>1.7610120922818353</v>
      </c>
      <c r="L1632">
        <v>0</v>
      </c>
      <c r="M1632">
        <v>1.3057191703601846E-3</v>
      </c>
      <c r="N1632">
        <v>0.12431882150132517</v>
      </c>
      <c r="O1632">
        <v>0.13017145657264428</v>
      </c>
      <c r="P1632">
        <v>1.8866596292698452E-2</v>
      </c>
      <c r="Q1632">
        <v>9.0040927559707665E-4</v>
      </c>
      <c r="R1632">
        <v>1.3022897501675683E-3</v>
      </c>
      <c r="S1632">
        <v>0.10198392733673835</v>
      </c>
      <c r="T1632">
        <v>1.0597589717733042</v>
      </c>
      <c r="U1632">
        <v>0</v>
      </c>
      <c r="V1632">
        <v>0.20969992208436544</v>
      </c>
      <c r="W1632">
        <v>8.1119111134876576E-2</v>
      </c>
      <c r="X1632">
        <v>3.0651902330223257E-2</v>
      </c>
      <c r="Y1632">
        <v>3.5444034002553551E-3</v>
      </c>
    </row>
    <row r="1633" spans="1:25" x14ac:dyDescent="0.25">
      <c r="A1633" s="1095"/>
      <c r="B1633" s="1454">
        <v>1383</v>
      </c>
      <c r="C1633" s="1099">
        <v>0.97257665570612784</v>
      </c>
      <c r="D1633" s="1099">
        <v>0.98448282027000766</v>
      </c>
      <c r="E1633" s="1099">
        <v>0.98589815828268035</v>
      </c>
      <c r="F1633" s="1099">
        <v>0.99781530677971686</v>
      </c>
      <c r="G1633" s="1099">
        <v>0.96127872791663715</v>
      </c>
      <c r="H1633" s="1099">
        <v>1.0011878979975093</v>
      </c>
      <c r="I1633" s="1099">
        <v>1.0099218401253136</v>
      </c>
      <c r="K1633">
        <v>1.7494691426452902</v>
      </c>
      <c r="L1633">
        <v>0</v>
      </c>
      <c r="M1633">
        <v>1.467384087064767E-3</v>
      </c>
      <c r="N1633">
        <v>0.12934948376470026</v>
      </c>
      <c r="O1633">
        <v>0.12943929809697152</v>
      </c>
      <c r="P1633">
        <v>1.8252487045181259E-2</v>
      </c>
      <c r="Q1633">
        <v>9.1638979968888703E-4</v>
      </c>
      <c r="R1633">
        <v>1.463605355737789E-3</v>
      </c>
      <c r="S1633">
        <v>0.11307632451048732</v>
      </c>
      <c r="T1633">
        <v>1.0292239404540282</v>
      </c>
      <c r="U1633">
        <v>0</v>
      </c>
      <c r="V1633">
        <v>0.21002522773152871</v>
      </c>
      <c r="W1633">
        <v>8.5693023737167417E-2</v>
      </c>
      <c r="X1633">
        <v>2.9513294935920684E-2</v>
      </c>
      <c r="Y1633">
        <v>3.9834513009424123E-3</v>
      </c>
    </row>
    <row r="1634" spans="1:25" x14ac:dyDescent="0.25">
      <c r="A1634" s="1095"/>
      <c r="B1634" s="1454">
        <v>1384</v>
      </c>
      <c r="C1634" s="1099">
        <v>1.0103632467472927</v>
      </c>
      <c r="D1634" s="1099">
        <v>1.0216395931818003</v>
      </c>
      <c r="E1634" s="1099">
        <v>1.0108599312605997</v>
      </c>
      <c r="F1634" s="1099">
        <v>0.97380532331373404</v>
      </c>
      <c r="G1634" s="1099">
        <v>1.0266589970569038</v>
      </c>
      <c r="H1634" s="1099">
        <v>1.0002425407266025</v>
      </c>
      <c r="I1634" s="1099">
        <v>1.0057314148106062</v>
      </c>
      <c r="K1634">
        <v>1.6995314356312097</v>
      </c>
      <c r="L1634">
        <v>0</v>
      </c>
      <c r="M1634">
        <v>1.3125741180344608E-3</v>
      </c>
      <c r="N1634">
        <v>0.12476514389861358</v>
      </c>
      <c r="O1634">
        <v>0.12405889594808069</v>
      </c>
      <c r="P1634">
        <v>1.8115695113580705E-2</v>
      </c>
      <c r="Q1634">
        <v>8.9194958493096419E-4</v>
      </c>
      <c r="R1634">
        <v>1.3091710141559653E-3</v>
      </c>
      <c r="S1634">
        <v>0.10599964148903371</v>
      </c>
      <c r="T1634">
        <v>1.0037344072454046</v>
      </c>
      <c r="U1634">
        <v>0</v>
      </c>
      <c r="V1634">
        <v>0.20766012024854635</v>
      </c>
      <c r="W1634">
        <v>8.1437137946477625E-2</v>
      </c>
      <c r="X1634">
        <v>2.9308715327992951E-2</v>
      </c>
      <c r="Y1634">
        <v>3.563131932423707E-3</v>
      </c>
    </row>
    <row r="1635" spans="1:25" x14ac:dyDescent="0.25">
      <c r="A1635" s="1095"/>
      <c r="B1635" s="1454">
        <v>1385</v>
      </c>
      <c r="C1635" s="1099">
        <v>0.97602446132905252</v>
      </c>
      <c r="D1635" s="1099">
        <v>0.9978305077008538</v>
      </c>
      <c r="E1635" s="1099">
        <v>0.99820775039274201</v>
      </c>
      <c r="F1635" s="1099">
        <v>1.0275746134688937</v>
      </c>
      <c r="G1635" s="1099">
        <v>1.0242101216684916</v>
      </c>
      <c r="H1635" s="1099">
        <v>1.00028626858053</v>
      </c>
      <c r="I1635" s="1099">
        <v>1.0078415362594477</v>
      </c>
      <c r="K1635">
        <v>1.7850575669699815</v>
      </c>
      <c r="L1635">
        <v>0</v>
      </c>
      <c r="M1635">
        <v>1.4169799615279944E-3</v>
      </c>
      <c r="N1635">
        <v>0.12964173333958873</v>
      </c>
      <c r="O1635">
        <v>0.13095298258090296</v>
      </c>
      <c r="P1635">
        <v>1.8869462401830284E-2</v>
      </c>
      <c r="Q1635">
        <v>9.199627321344147E-4</v>
      </c>
      <c r="R1635">
        <v>1.4133291094083416E-3</v>
      </c>
      <c r="S1635">
        <v>0.11168074267438434</v>
      </c>
      <c r="T1635">
        <v>1.0595409804825608</v>
      </c>
      <c r="U1635">
        <v>0</v>
      </c>
      <c r="V1635">
        <v>0.21394875519845016</v>
      </c>
      <c r="W1635">
        <v>8.5256638391937659E-2</v>
      </c>
      <c r="X1635">
        <v>3.0403344088319021E-2</v>
      </c>
      <c r="Y1635">
        <v>3.846615931993804E-3</v>
      </c>
    </row>
    <row r="1636" spans="1:25" x14ac:dyDescent="0.25">
      <c r="A1636" s="1095"/>
      <c r="B1636" s="1454">
        <v>1386</v>
      </c>
      <c r="C1636" s="1099">
        <v>1.0091128092414088</v>
      </c>
      <c r="D1636" s="1099">
        <v>0.99709016799502082</v>
      </c>
      <c r="E1636" s="1099">
        <v>1.0245697445425317</v>
      </c>
      <c r="F1636" s="1099">
        <v>1.0171165056206219</v>
      </c>
      <c r="G1636" s="1099">
        <v>0.9931992296111426</v>
      </c>
      <c r="H1636" s="1099">
        <v>1.0087319206378433</v>
      </c>
      <c r="I1636" s="1099">
        <v>0.98061551529228685</v>
      </c>
      <c r="K1636">
        <v>1.7599169283447156</v>
      </c>
      <c r="L1636">
        <v>0</v>
      </c>
      <c r="M1636">
        <v>1.3114357919935156E-3</v>
      </c>
      <c r="N1636">
        <v>0.12992728864860018</v>
      </c>
      <c r="O1636">
        <v>0.12855385816146536</v>
      </c>
      <c r="P1636">
        <v>1.8932736330061036E-2</v>
      </c>
      <c r="Q1636">
        <v>9.1457399664238756E-4</v>
      </c>
      <c r="R1636">
        <v>1.3080918851797511E-3</v>
      </c>
      <c r="S1636">
        <v>0.10589691708794642</v>
      </c>
      <c r="T1636">
        <v>1.0479695261694988</v>
      </c>
      <c r="U1636">
        <v>0</v>
      </c>
      <c r="V1636">
        <v>0.20915841292208959</v>
      </c>
      <c r="W1636">
        <v>8.4127862833353426E-2</v>
      </c>
      <c r="X1636">
        <v>3.0878901202787211E-2</v>
      </c>
      <c r="Y1636">
        <v>3.5601948990852234E-3</v>
      </c>
    </row>
    <row r="1637" spans="1:25" x14ac:dyDescent="0.25">
      <c r="A1637" s="1095"/>
      <c r="B1637" s="1454">
        <v>1387</v>
      </c>
      <c r="C1637" s="1099">
        <v>0.980193636484604</v>
      </c>
      <c r="D1637" s="1099">
        <v>1.0033597749383356</v>
      </c>
      <c r="E1637" s="1099">
        <v>1.0360486542579224</v>
      </c>
      <c r="F1637" s="1099">
        <v>1.0247350504557919</v>
      </c>
      <c r="G1637" s="1099">
        <v>0.98714823958780673</v>
      </c>
      <c r="H1637" s="1099">
        <v>1.0177995226507122</v>
      </c>
      <c r="I1637" s="1099">
        <v>1.0213027130189016</v>
      </c>
      <c r="K1637">
        <v>1.7897476003618591</v>
      </c>
      <c r="L1637">
        <v>0</v>
      </c>
      <c r="M1637">
        <v>1.3228381599490766E-3</v>
      </c>
      <c r="N1637">
        <v>0.13567339695336453</v>
      </c>
      <c r="O1637">
        <v>0.13040718019631939</v>
      </c>
      <c r="P1637">
        <v>1.9339061608113484E-2</v>
      </c>
      <c r="Q1637">
        <v>9.5026352419063298E-4</v>
      </c>
      <c r="R1637">
        <v>1.3194853840754037E-3</v>
      </c>
      <c r="S1637">
        <v>0.11365749569208275</v>
      </c>
      <c r="T1637">
        <v>1.0554800569024239</v>
      </c>
      <c r="U1637">
        <v>0</v>
      </c>
      <c r="V1637">
        <v>0.21157919439057371</v>
      </c>
      <c r="W1637">
        <v>8.7265195556354078E-2</v>
      </c>
      <c r="X1637">
        <v>3.1807904067097895E-2</v>
      </c>
      <c r="Y1637">
        <v>3.5912042472132882E-3</v>
      </c>
    </row>
    <row r="1638" spans="1:25" x14ac:dyDescent="0.25">
      <c r="A1638" s="1095"/>
      <c r="B1638" s="1454">
        <v>1388</v>
      </c>
      <c r="C1638" s="1099">
        <v>0.98535184880287208</v>
      </c>
      <c r="D1638" s="1099">
        <v>1.0010526128057866</v>
      </c>
      <c r="E1638" s="1099">
        <v>1.0308842008752046</v>
      </c>
      <c r="F1638" s="1099">
        <v>0.97902802230056929</v>
      </c>
      <c r="G1638" s="1099">
        <v>1.0419880070575056</v>
      </c>
      <c r="H1638" s="1099">
        <v>1.018925755427706</v>
      </c>
      <c r="I1638" s="1099">
        <v>1.0237236263560052</v>
      </c>
      <c r="K1638">
        <v>1.73460887770019</v>
      </c>
      <c r="L1638">
        <v>0</v>
      </c>
      <c r="M1638">
        <v>1.328707258461521E-3</v>
      </c>
      <c r="N1638">
        <v>0.13417000001147736</v>
      </c>
      <c r="O1638">
        <v>0.12672964074370938</v>
      </c>
      <c r="P1638">
        <v>1.8605164470664282E-2</v>
      </c>
      <c r="Q1638">
        <v>9.411957932345369E-4</v>
      </c>
      <c r="R1638">
        <v>1.3253328233852669E-3</v>
      </c>
      <c r="S1638">
        <v>0.113301590208827</v>
      </c>
      <c r="T1638">
        <v>1.0085469803577076</v>
      </c>
      <c r="U1638">
        <v>0</v>
      </c>
      <c r="V1638">
        <v>0.21144290689526038</v>
      </c>
      <c r="W1638">
        <v>8.6556601904845071E-2</v>
      </c>
      <c r="X1638">
        <v>3.0711052700132583E-2</v>
      </c>
      <c r="Y1638">
        <v>3.6071190494068863E-3</v>
      </c>
    </row>
    <row r="1639" spans="1:25" x14ac:dyDescent="0.25">
      <c r="A1639" s="1095"/>
      <c r="B1639" s="1454">
        <v>1389</v>
      </c>
      <c r="C1639" s="1099">
        <v>0.98330304813453862</v>
      </c>
      <c r="D1639" s="1099">
        <v>0.98611814812313892</v>
      </c>
      <c r="E1639" s="1099">
        <v>0.97315915677653198</v>
      </c>
      <c r="F1639" s="1099">
        <v>1.0215628921911435</v>
      </c>
      <c r="G1639" s="1099">
        <v>0.99879865670145018</v>
      </c>
      <c r="H1639" s="1099">
        <v>1.0284105973276665</v>
      </c>
      <c r="I1639" s="1099">
        <v>0.98718880288751443</v>
      </c>
      <c r="K1639">
        <v>1.7777932264065712</v>
      </c>
      <c r="L1639">
        <v>0</v>
      </c>
      <c r="M1639">
        <v>1.5337656808723148E-3</v>
      </c>
      <c r="N1639">
        <v>0.13009858244931152</v>
      </c>
      <c r="O1639">
        <v>0.1305511957141284</v>
      </c>
      <c r="P1639">
        <v>1.8413066543157421E-2</v>
      </c>
      <c r="Q1639">
        <v>8.9377701790219817E-4</v>
      </c>
      <c r="R1639">
        <v>1.5299309645128807E-3</v>
      </c>
      <c r="S1639">
        <v>0.11133001161594211</v>
      </c>
      <c r="T1639">
        <v>1.0541138474532064</v>
      </c>
      <c r="U1639">
        <v>0</v>
      </c>
      <c r="V1639">
        <v>0.21205280080915989</v>
      </c>
      <c r="W1639">
        <v>8.6855082634348948E-2</v>
      </c>
      <c r="X1639">
        <v>2.9324729141975422E-2</v>
      </c>
      <c r="Y1639">
        <v>4.1639677437971534E-3</v>
      </c>
    </row>
    <row r="1640" spans="1:25" x14ac:dyDescent="0.25">
      <c r="A1640" s="1095"/>
      <c r="B1640" s="1454">
        <v>1390</v>
      </c>
      <c r="C1640" s="1099">
        <v>1.0076691351489873</v>
      </c>
      <c r="D1640" s="1099">
        <v>1.0311640814884373</v>
      </c>
      <c r="E1640" s="1099">
        <v>1.0106022052381207</v>
      </c>
      <c r="F1640" s="1099">
        <v>0.98769609074591114</v>
      </c>
      <c r="G1640" s="1099">
        <v>0.98867766515606237</v>
      </c>
      <c r="H1640" s="1099">
        <v>1.0181974186779867</v>
      </c>
      <c r="I1640" s="1099">
        <v>1.0182953583350667</v>
      </c>
      <c r="K1640">
        <v>1.7195527425252948</v>
      </c>
      <c r="L1640">
        <v>0</v>
      </c>
      <c r="M1640">
        <v>1.3344463263287496E-3</v>
      </c>
      <c r="N1640">
        <v>0.12675109380457966</v>
      </c>
      <c r="O1640">
        <v>0.12483007947249926</v>
      </c>
      <c r="P1640">
        <v>1.832494742276343E-2</v>
      </c>
      <c r="Q1640">
        <v>8.9078414562022783E-4</v>
      </c>
      <c r="R1640">
        <v>1.3310449449957574E-3</v>
      </c>
      <c r="S1640">
        <v>0.10830894327432521</v>
      </c>
      <c r="T1640">
        <v>1.0180595816559419</v>
      </c>
      <c r="U1640">
        <v>0</v>
      </c>
      <c r="V1640">
        <v>0.20649772762043206</v>
      </c>
      <c r="W1640">
        <v>8.2745981180236142E-2</v>
      </c>
      <c r="X1640">
        <v>2.9524339768799705E-2</v>
      </c>
      <c r="Y1640">
        <v>3.6226655614302588E-3</v>
      </c>
    </row>
    <row r="1641" spans="1:25" x14ac:dyDescent="0.25">
      <c r="A1641" s="1095"/>
      <c r="B1641" s="1454">
        <v>1391</v>
      </c>
      <c r="C1641" s="1099">
        <v>1.0371757939781143</v>
      </c>
      <c r="D1641" s="1099">
        <v>0.96864041747817087</v>
      </c>
      <c r="E1641" s="1099">
        <v>0.97668090588792433</v>
      </c>
      <c r="F1641" s="1099">
        <v>0.98879434171055913</v>
      </c>
      <c r="G1641" s="1099">
        <v>0.99177543311516347</v>
      </c>
      <c r="H1641" s="1099">
        <v>1.0376078532560984</v>
      </c>
      <c r="I1641" s="1099">
        <v>0.99566311898852544</v>
      </c>
      <c r="K1641">
        <v>1.7226074117340768</v>
      </c>
      <c r="L1641">
        <v>0</v>
      </c>
      <c r="M1641">
        <v>1.4743082482470888E-3</v>
      </c>
      <c r="N1641">
        <v>0.12639977537596367</v>
      </c>
      <c r="O1641">
        <v>0.12612996737672688</v>
      </c>
      <c r="P1641">
        <v>1.7888309878773927E-2</v>
      </c>
      <c r="Q1641">
        <v>8.5659969353650718E-4</v>
      </c>
      <c r="R1641">
        <v>1.470673161738319E-3</v>
      </c>
      <c r="S1641">
        <v>0.10838687219403691</v>
      </c>
      <c r="T1641">
        <v>1.0201950378403943</v>
      </c>
      <c r="U1641">
        <v>0</v>
      </c>
      <c r="V1641">
        <v>0.20606509186665301</v>
      </c>
      <c r="W1641">
        <v>8.4205743254560775E-2</v>
      </c>
      <c r="X1641">
        <v>2.8480961800961775E-2</v>
      </c>
      <c r="Y1641">
        <v>4.0026875389742329E-3</v>
      </c>
    </row>
    <row r="1642" spans="1:25" x14ac:dyDescent="0.25">
      <c r="A1642" s="1095"/>
      <c r="B1642" s="1454">
        <v>1392</v>
      </c>
      <c r="C1642" s="1099">
        <v>1.0202881370893975</v>
      </c>
      <c r="D1642" s="1099">
        <v>0.98954472715720632</v>
      </c>
      <c r="E1642" s="1099">
        <v>0.99923334685206933</v>
      </c>
      <c r="F1642" s="1099">
        <v>1.0234856115802831</v>
      </c>
      <c r="G1642" s="1099">
        <v>1.0296114246386667</v>
      </c>
      <c r="H1642" s="1099">
        <v>0.96837870525979119</v>
      </c>
      <c r="I1642" s="1099">
        <v>1.002635947174541</v>
      </c>
      <c r="K1642">
        <v>1.7532007346361842</v>
      </c>
      <c r="L1642">
        <v>0</v>
      </c>
      <c r="M1642">
        <v>1.3203010911838524E-3</v>
      </c>
      <c r="N1642">
        <v>0.12116260546756352</v>
      </c>
      <c r="O1642">
        <v>0.12871017791134196</v>
      </c>
      <c r="P1642">
        <v>1.8685642331989171E-2</v>
      </c>
      <c r="Q1642">
        <v>8.8393179966226589E-4</v>
      </c>
      <c r="R1642">
        <v>1.3168044029554099E-3</v>
      </c>
      <c r="S1642">
        <v>0.10485198522440196</v>
      </c>
      <c r="T1642">
        <v>1.05529353179705</v>
      </c>
      <c r="U1642">
        <v>0</v>
      </c>
      <c r="V1642">
        <v>0.21048497279112818</v>
      </c>
      <c r="W1642">
        <v>7.9631882774902657E-2</v>
      </c>
      <c r="X1642">
        <v>2.9915593725980995E-2</v>
      </c>
      <c r="Y1642">
        <v>3.5839075003898549E-3</v>
      </c>
    </row>
    <row r="1643" spans="1:25" x14ac:dyDescent="0.25">
      <c r="A1643" s="1095"/>
      <c r="B1643" s="1454">
        <v>1393</v>
      </c>
      <c r="C1643" s="1099">
        <v>0.97627627786034565</v>
      </c>
      <c r="D1643" s="1099">
        <v>1.0186744374038927</v>
      </c>
      <c r="E1643" s="1099">
        <v>0.95382128756384421</v>
      </c>
      <c r="F1643" s="1099">
        <v>1.0115191801718515</v>
      </c>
      <c r="G1643" s="1099">
        <v>0.99557655621743091</v>
      </c>
      <c r="H1643" s="1099">
        <v>0.97680951421744389</v>
      </c>
      <c r="I1643" s="1099">
        <v>0.99493538621722211</v>
      </c>
      <c r="K1643">
        <v>1.7423933643634435</v>
      </c>
      <c r="L1643">
        <v>0</v>
      </c>
      <c r="M1643">
        <v>1.4959134625212934E-3</v>
      </c>
      <c r="N1643">
        <v>0.11964991907636198</v>
      </c>
      <c r="O1643">
        <v>0.12857725403282885</v>
      </c>
      <c r="P1643">
        <v>1.7940352609459097E-2</v>
      </c>
      <c r="Q1643">
        <v>8.706064526931769E-4</v>
      </c>
      <c r="R1643">
        <v>1.491945889395682E-3</v>
      </c>
      <c r="S1643">
        <v>0.10700150171965628</v>
      </c>
      <c r="T1643">
        <v>1.0443529448626412</v>
      </c>
      <c r="U1643">
        <v>0</v>
      </c>
      <c r="V1643">
        <v>0.21094410549000764</v>
      </c>
      <c r="W1643">
        <v>8.0830108150268962E-2</v>
      </c>
      <c r="X1643">
        <v>2.8169954651546342E-2</v>
      </c>
      <c r="Y1643">
        <v>4.0605848911047853E-3</v>
      </c>
    </row>
    <row r="1644" spans="1:25" x14ac:dyDescent="0.25">
      <c r="A1644" s="1095"/>
      <c r="B1644" s="1454">
        <v>1394</v>
      </c>
      <c r="C1644" s="1099">
        <v>1.0059668480763848</v>
      </c>
      <c r="D1644" s="1099">
        <v>1.0101783619309286</v>
      </c>
      <c r="E1644" s="1099">
        <v>0.97511851538786876</v>
      </c>
      <c r="F1644" s="1099">
        <v>0.98703948187654267</v>
      </c>
      <c r="G1644" s="1099">
        <v>1.0228488259114739</v>
      </c>
      <c r="H1644" s="1099">
        <v>1.0111366110282034</v>
      </c>
      <c r="I1644" s="1099">
        <v>0.97604748890302018</v>
      </c>
      <c r="K1644">
        <v>1.7141688429421327</v>
      </c>
      <c r="L1644">
        <v>0</v>
      </c>
      <c r="M1644">
        <v>1.4458186262329227E-3</v>
      </c>
      <c r="N1644">
        <v>0.12336111147450063</v>
      </c>
      <c r="O1644">
        <v>0.12564675612557791</v>
      </c>
      <c r="P1644">
        <v>1.7831031970112165E-2</v>
      </c>
      <c r="Q1644">
        <v>8.6704132287258591E-4</v>
      </c>
      <c r="R1644">
        <v>1.4421212689998074E-3</v>
      </c>
      <c r="S1644">
        <v>0.10477000554377837</v>
      </c>
      <c r="T1644">
        <v>1.0184314026891399</v>
      </c>
      <c r="U1644">
        <v>0</v>
      </c>
      <c r="V1644">
        <v>0.2087580830750862</v>
      </c>
      <c r="W1644">
        <v>8.2259248250644554E-2</v>
      </c>
      <c r="X1644">
        <v>2.832288114858399E-2</v>
      </c>
      <c r="Y1644">
        <v>3.9249786990689147E-3</v>
      </c>
    </row>
    <row r="1645" spans="1:25" x14ac:dyDescent="0.25">
      <c r="A1645" s="1095"/>
      <c r="B1645" s="1454">
        <v>1395</v>
      </c>
      <c r="C1645" s="1099">
        <v>0.98591664911994237</v>
      </c>
      <c r="D1645" s="1099">
        <v>0.97222737574278528</v>
      </c>
      <c r="E1645" s="1099">
        <v>0.98160027375736081</v>
      </c>
      <c r="F1645" s="1099">
        <v>0.97807845511283564</v>
      </c>
      <c r="G1645" s="1099">
        <v>1.0094326045939848</v>
      </c>
      <c r="H1645" s="1099">
        <v>1.0194658949791793</v>
      </c>
      <c r="I1645" s="1099">
        <v>1.0046046635969264</v>
      </c>
      <c r="K1645">
        <v>1.7289895340860524</v>
      </c>
      <c r="L1645">
        <v>0</v>
      </c>
      <c r="M1645">
        <v>1.4971223490975356E-3</v>
      </c>
      <c r="N1645">
        <v>0.1302729268812739</v>
      </c>
      <c r="O1645">
        <v>0.12775261472233315</v>
      </c>
      <c r="P1645">
        <v>1.7927560055969797E-2</v>
      </c>
      <c r="Q1645">
        <v>9.0445693759798459E-4</v>
      </c>
      <c r="R1645">
        <v>1.493342558872659E-3</v>
      </c>
      <c r="S1645">
        <v>0.11308340028854877</v>
      </c>
      <c r="T1645">
        <v>1.0089928238911745</v>
      </c>
      <c r="U1645">
        <v>0</v>
      </c>
      <c r="V1645">
        <v>0.21050097033295662</v>
      </c>
      <c r="W1645">
        <v>8.6528397540178936E-2</v>
      </c>
      <c r="X1645">
        <v>2.8965777061233253E-2</v>
      </c>
      <c r="Y1645">
        <v>4.0643861650091484E-3</v>
      </c>
    </row>
    <row r="1646" spans="1:25" x14ac:dyDescent="0.25">
      <c r="A1646" s="1095"/>
      <c r="B1646" s="1454">
        <v>1396</v>
      </c>
      <c r="C1646" s="1099">
        <v>0.96521443947190833</v>
      </c>
      <c r="D1646" s="1099">
        <v>1.0368351499963793</v>
      </c>
      <c r="E1646" s="1099">
        <v>0.99082765069167167</v>
      </c>
      <c r="F1646" s="1099">
        <v>1.0156010927455519</v>
      </c>
      <c r="G1646" s="1099">
        <v>1.0070915556440987</v>
      </c>
      <c r="H1646" s="1099">
        <v>0.98934751127036191</v>
      </c>
      <c r="I1646" s="1099">
        <v>0.96813813043530961</v>
      </c>
      <c r="K1646">
        <v>1.755005149229341</v>
      </c>
      <c r="L1646">
        <v>0</v>
      </c>
      <c r="M1646">
        <v>1.4042205876438603E-3</v>
      </c>
      <c r="N1646">
        <v>0.12563375005287317</v>
      </c>
      <c r="O1646">
        <v>0.12881187096423846</v>
      </c>
      <c r="P1646">
        <v>1.8488530761425887E-2</v>
      </c>
      <c r="Q1646">
        <v>9.091030635071805E-4</v>
      </c>
      <c r="R1646">
        <v>1.4005290039743983E-3</v>
      </c>
      <c r="S1646">
        <v>0.1050512807762114</v>
      </c>
      <c r="T1646">
        <v>1.047419015144899</v>
      </c>
      <c r="U1646">
        <v>0</v>
      </c>
      <c r="V1646">
        <v>0.21226831132053897</v>
      </c>
      <c r="W1646">
        <v>8.2985636138597316E-2</v>
      </c>
      <c r="X1646">
        <v>2.9629564326162761E-2</v>
      </c>
      <c r="Y1646">
        <v>3.8117782645562329E-3</v>
      </c>
    </row>
    <row r="1647" spans="1:25" x14ac:dyDescent="0.25">
      <c r="A1647" s="1095"/>
      <c r="B1647" s="1454">
        <v>1397</v>
      </c>
      <c r="C1647" s="1099">
        <v>0.96528371066068053</v>
      </c>
      <c r="D1647" s="1099">
        <v>1.0323377883326237</v>
      </c>
      <c r="E1647" s="1099">
        <v>0.97555630664284532</v>
      </c>
      <c r="F1647" s="1099">
        <v>0.98506312846751798</v>
      </c>
      <c r="G1647" s="1099">
        <v>1.0119883052118446</v>
      </c>
      <c r="H1647" s="1099">
        <v>0.99173867938623583</v>
      </c>
      <c r="I1647" s="1099">
        <v>0.98108296192822786</v>
      </c>
      <c r="K1647">
        <v>1.7187391263468386</v>
      </c>
      <c r="L1647">
        <v>0</v>
      </c>
      <c r="M1647">
        <v>1.452590327035895E-3</v>
      </c>
      <c r="N1647">
        <v>0.12409451046321431</v>
      </c>
      <c r="O1647">
        <v>0.12662658694264198</v>
      </c>
      <c r="P1647">
        <v>1.7865177195734088E-2</v>
      </c>
      <c r="Q1647">
        <v>8.9618717846515314E-4</v>
      </c>
      <c r="R1647">
        <v>1.4487738931408937E-3</v>
      </c>
      <c r="S1647">
        <v>0.10669342744758815</v>
      </c>
      <c r="T1647">
        <v>1.0163790556723986</v>
      </c>
      <c r="U1647">
        <v>0</v>
      </c>
      <c r="V1647">
        <v>0.21098974899296141</v>
      </c>
      <c r="W1647">
        <v>8.2726338427602603E-2</v>
      </c>
      <c r="X1647">
        <v>2.852882551118183E-2</v>
      </c>
      <c r="Y1647">
        <v>3.943084948943994E-3</v>
      </c>
    </row>
    <row r="1648" spans="1:25" x14ac:dyDescent="0.25">
      <c r="A1648" s="1095"/>
      <c r="B1648" s="1454">
        <v>1398</v>
      </c>
      <c r="C1648" s="1099">
        <v>1.0060212957255321</v>
      </c>
      <c r="D1648" s="1099">
        <v>0.98213067773256557</v>
      </c>
      <c r="E1648" s="1099">
        <v>1.0195463684022472</v>
      </c>
      <c r="F1648" s="1099">
        <v>1.0288216158875214</v>
      </c>
      <c r="G1648" s="1099">
        <v>1.0048433271687234</v>
      </c>
      <c r="H1648" s="1099">
        <v>1.0057143119322767</v>
      </c>
      <c r="I1648" s="1099">
        <v>1.0172247419397658</v>
      </c>
      <c r="K1648">
        <v>1.7827061388579919</v>
      </c>
      <c r="L1648">
        <v>0</v>
      </c>
      <c r="M1648">
        <v>1.3381907719448923E-3</v>
      </c>
      <c r="N1648">
        <v>0.13058448242999954</v>
      </c>
      <c r="O1648">
        <v>0.13028221452868866</v>
      </c>
      <c r="P1648">
        <v>1.9129617613885003E-2</v>
      </c>
      <c r="Q1648">
        <v>9.1820971515197368E-4</v>
      </c>
      <c r="R1648">
        <v>1.3347807795919121E-3</v>
      </c>
      <c r="S1648">
        <v>0.11105184820574665</v>
      </c>
      <c r="T1648">
        <v>1.0601799494317792</v>
      </c>
      <c r="U1648">
        <v>0</v>
      </c>
      <c r="V1648">
        <v>0.21103534632354776</v>
      </c>
      <c r="W1648">
        <v>8.4801855842520354E-2</v>
      </c>
      <c r="X1648">
        <v>3.109319148733887E-2</v>
      </c>
      <c r="Y1648">
        <v>3.6328332716834477E-3</v>
      </c>
    </row>
    <row r="1649" spans="1:25" x14ac:dyDescent="0.25">
      <c r="A1649" s="1095"/>
      <c r="B1649" s="1454">
        <v>1399</v>
      </c>
      <c r="C1649" s="1099">
        <v>1.0088890613925114</v>
      </c>
      <c r="D1649" s="1099">
        <v>1.0162568928639837</v>
      </c>
      <c r="E1649" s="1099">
        <v>0.99252438858387138</v>
      </c>
      <c r="F1649" s="1099">
        <v>1.0028613983145531</v>
      </c>
      <c r="G1649" s="1099">
        <v>0.97703934651884361</v>
      </c>
      <c r="H1649" s="1099">
        <v>0.97386857574431318</v>
      </c>
      <c r="I1649" s="1099">
        <v>1.0153004226957707</v>
      </c>
      <c r="K1649">
        <v>1.7250090012535819</v>
      </c>
      <c r="L1649">
        <v>0</v>
      </c>
      <c r="M1649">
        <v>1.3367884714846272E-3</v>
      </c>
      <c r="N1649">
        <v>0.12021272543890064</v>
      </c>
      <c r="O1649">
        <v>0.12649247599503144</v>
      </c>
      <c r="P1649">
        <v>1.8271989419653471E-2</v>
      </c>
      <c r="Q1649">
        <v>8.7830105723930266E-4</v>
      </c>
      <c r="R1649">
        <v>1.3332407537557855E-3</v>
      </c>
      <c r="S1649">
        <v>0.10581073756766872</v>
      </c>
      <c r="T1649">
        <v>1.0342291917083923</v>
      </c>
      <c r="U1649">
        <v>0</v>
      </c>
      <c r="V1649">
        <v>0.20699588912266459</v>
      </c>
      <c r="W1649">
        <v>7.9324290110821039E-2</v>
      </c>
      <c r="X1649">
        <v>2.916830672191071E-2</v>
      </c>
      <c r="Y1649">
        <v>3.628641829026892E-3</v>
      </c>
    </row>
    <row r="1650" spans="1:25" x14ac:dyDescent="0.25">
      <c r="A1650" s="1095"/>
      <c r="B1650" s="1454">
        <v>1400</v>
      </c>
      <c r="C1650" s="1099">
        <v>1.0197345732223606</v>
      </c>
      <c r="D1650" s="1099">
        <v>0.95292628367590315</v>
      </c>
      <c r="E1650" s="1099">
        <v>1.0253713229705552</v>
      </c>
      <c r="F1650" s="1099">
        <v>0.96977532297692093</v>
      </c>
      <c r="G1650" s="1099">
        <v>0.98195992546462862</v>
      </c>
      <c r="H1650" s="1099">
        <v>1.0099343172387336</v>
      </c>
      <c r="I1650" s="1099">
        <v>1.0069419327125688</v>
      </c>
      <c r="K1650">
        <v>1.7131297548784215</v>
      </c>
      <c r="L1650">
        <v>0</v>
      </c>
      <c r="M1650">
        <v>1.3277897533355023E-3</v>
      </c>
      <c r="N1650">
        <v>0.13186804715283648</v>
      </c>
      <c r="O1650">
        <v>0.12646316374205654</v>
      </c>
      <c r="P1650">
        <v>1.8294436691276512E-2</v>
      </c>
      <c r="Q1650">
        <v>9.2235404248142854E-4</v>
      </c>
      <c r="R1650">
        <v>1.3244257847715877E-3</v>
      </c>
      <c r="S1650">
        <v>0.110509494373076</v>
      </c>
      <c r="T1650">
        <v>0.99916977219247749</v>
      </c>
      <c r="U1650">
        <v>0</v>
      </c>
      <c r="V1650">
        <v>0.2066153568458956</v>
      </c>
      <c r="W1650">
        <v>8.5344626122026188E-2</v>
      </c>
      <c r="X1650">
        <v>3.0341217295553263E-2</v>
      </c>
      <c r="Y1650">
        <v>3.6046503893056498E-3</v>
      </c>
    </row>
    <row r="1651" spans="1:25" x14ac:dyDescent="0.25">
      <c r="A1651" s="1095"/>
      <c r="B1651" s="1454">
        <v>1401</v>
      </c>
      <c r="C1651" s="1099">
        <v>1.0316453254244544</v>
      </c>
      <c r="D1651" s="1099">
        <v>1.0178538447856482</v>
      </c>
      <c r="E1651" s="1099">
        <v>1.004050233550795</v>
      </c>
      <c r="F1651" s="1099">
        <v>0.99419763776451342</v>
      </c>
      <c r="G1651" s="1099">
        <v>0.99586197346949845</v>
      </c>
      <c r="H1651" s="1099">
        <v>1.0289251154685193</v>
      </c>
      <c r="I1651" s="1099">
        <v>1.0053863013458944</v>
      </c>
      <c r="K1651">
        <v>1.7214117785600127</v>
      </c>
      <c r="L1651">
        <v>0</v>
      </c>
      <c r="M1651">
        <v>1.3487693148013693E-3</v>
      </c>
      <c r="N1651">
        <v>0.12560676455903397</v>
      </c>
      <c r="O1651">
        <v>0.12468534876512549</v>
      </c>
      <c r="P1651">
        <v>1.8288979428193668E-2</v>
      </c>
      <c r="Q1651">
        <v>8.6871681782458416E-4</v>
      </c>
      <c r="R1651">
        <v>1.3453839233474861E-3</v>
      </c>
      <c r="S1651">
        <v>0.10617342545342318</v>
      </c>
      <c r="T1651">
        <v>1.0249532188311088</v>
      </c>
      <c r="U1651">
        <v>0</v>
      </c>
      <c r="V1651">
        <v>0.20560059342533157</v>
      </c>
      <c r="W1651">
        <v>8.2317027542377019E-2</v>
      </c>
      <c r="X1651">
        <v>2.9259397595388113E-2</v>
      </c>
      <c r="Y1651">
        <v>3.661691533660721E-3</v>
      </c>
    </row>
    <row r="1652" spans="1:25" x14ac:dyDescent="0.25">
      <c r="A1652" s="1095"/>
      <c r="B1652" s="1454">
        <v>1402</v>
      </c>
      <c r="C1652" s="1099">
        <v>0.9881581818166848</v>
      </c>
      <c r="D1652" s="1099">
        <v>1.0072116797914716</v>
      </c>
      <c r="E1652" s="1099">
        <v>0.99132763682046321</v>
      </c>
      <c r="F1652" s="1099">
        <v>0.95746958084139377</v>
      </c>
      <c r="G1652" s="1099">
        <v>1.020435874175273</v>
      </c>
      <c r="H1652" s="1099">
        <v>1.0215205956442592</v>
      </c>
      <c r="I1652" s="1099">
        <v>1.0145918086241519</v>
      </c>
      <c r="K1652">
        <v>1.6967812115832703</v>
      </c>
      <c r="L1652">
        <v>0</v>
      </c>
      <c r="M1652">
        <v>1.4344352921193796E-3</v>
      </c>
      <c r="N1652">
        <v>0.12854255277876042</v>
      </c>
      <c r="O1652">
        <v>0.12448665921690534</v>
      </c>
      <c r="P1652">
        <v>1.7722776744477815E-2</v>
      </c>
      <c r="Q1652">
        <v>8.9881901411292191E-4</v>
      </c>
      <c r="R1652">
        <v>1.4307911454443448E-3</v>
      </c>
      <c r="S1652">
        <v>0.11153763984794499</v>
      </c>
      <c r="T1652">
        <v>0.98745193398905073</v>
      </c>
      <c r="U1652">
        <v>0</v>
      </c>
      <c r="V1652">
        <v>0.20872345323332378</v>
      </c>
      <c r="W1652">
        <v>8.4881599496807209E-2</v>
      </c>
      <c r="X1652">
        <v>2.8645279570837002E-2</v>
      </c>
      <c r="Y1652">
        <v>3.8941418377251729E-3</v>
      </c>
    </row>
    <row r="1653" spans="1:25" x14ac:dyDescent="0.25">
      <c r="A1653" s="1095"/>
      <c r="B1653" s="1454">
        <v>1403</v>
      </c>
      <c r="C1653" s="1099">
        <v>0.96893643267781171</v>
      </c>
      <c r="D1653" s="1099">
        <v>1.0165530303727115</v>
      </c>
      <c r="E1653" s="1099">
        <v>1.0049769548754963</v>
      </c>
      <c r="F1653" s="1099">
        <v>1.0268888339922762</v>
      </c>
      <c r="G1653" s="1099">
        <v>0.98954752147345715</v>
      </c>
      <c r="H1653" s="1099">
        <v>1.0195391066744768</v>
      </c>
      <c r="I1653" s="1099">
        <v>1.0058819428494654</v>
      </c>
      <c r="K1653">
        <v>1.7871756415611113</v>
      </c>
      <c r="L1653">
        <v>0</v>
      </c>
      <c r="M1653">
        <v>1.4179745156579168E-3</v>
      </c>
      <c r="N1653">
        <v>0.13241797612836831</v>
      </c>
      <c r="O1653">
        <v>0.13043924206836716</v>
      </c>
      <c r="P1653">
        <v>1.8939054650148415E-2</v>
      </c>
      <c r="Q1653">
        <v>9.263002726982827E-4</v>
      </c>
      <c r="R1653">
        <v>1.4143751104067827E-3</v>
      </c>
      <c r="S1653">
        <v>0.11234441053210464</v>
      </c>
      <c r="T1653">
        <v>1.0586275581634585</v>
      </c>
      <c r="U1653">
        <v>0</v>
      </c>
      <c r="V1653">
        <v>0.21231467777056606</v>
      </c>
      <c r="W1653">
        <v>8.6733174257612913E-2</v>
      </c>
      <c r="X1653">
        <v>3.0587384321141182E-2</v>
      </c>
      <c r="Y1653">
        <v>3.8494628018974257E-3</v>
      </c>
    </row>
    <row r="1654" spans="1:25" x14ac:dyDescent="0.25">
      <c r="A1654" s="1095"/>
      <c r="B1654" s="1454">
        <v>1404</v>
      </c>
      <c r="C1654" s="1099">
        <v>0.96816356032306239</v>
      </c>
      <c r="D1654" s="1099">
        <v>1.0085108296183036</v>
      </c>
      <c r="E1654" s="1099">
        <v>1.0142317216926477</v>
      </c>
      <c r="F1654" s="1099">
        <v>0.98811513291988773</v>
      </c>
      <c r="G1654" s="1099">
        <v>0.99649476656903935</v>
      </c>
      <c r="H1654" s="1099">
        <v>1.0126105631563509</v>
      </c>
      <c r="I1654" s="1099">
        <v>1.0201207918636863</v>
      </c>
      <c r="K1654">
        <v>1.7441790541509796</v>
      </c>
      <c r="L1654">
        <v>0</v>
      </c>
      <c r="M1654">
        <v>1.3843352877369679E-3</v>
      </c>
      <c r="N1654">
        <v>0.13293663471239284</v>
      </c>
      <c r="O1654">
        <v>0.12792785806611634</v>
      </c>
      <c r="P1654">
        <v>1.8516366520289582E-2</v>
      </c>
      <c r="Q1654">
        <v>9.3891034264711364E-4</v>
      </c>
      <c r="R1654">
        <v>1.3807903591095095E-3</v>
      </c>
      <c r="S1654">
        <v>0.11384109152246881</v>
      </c>
      <c r="T1654">
        <v>1.0183862165996358</v>
      </c>
      <c r="U1654">
        <v>0</v>
      </c>
      <c r="V1654">
        <v>0.21095618468276517</v>
      </c>
      <c r="W1654">
        <v>8.6598854664424699E-2</v>
      </c>
      <c r="X1654">
        <v>3.03224257887891E-2</v>
      </c>
      <c r="Y1654">
        <v>3.7580561800765362E-3</v>
      </c>
    </row>
    <row r="1655" spans="1:25" x14ac:dyDescent="0.25">
      <c r="A1655" s="1095"/>
      <c r="B1655" s="1454">
        <v>1405</v>
      </c>
      <c r="C1655" s="1099">
        <v>1.0231158016831217</v>
      </c>
      <c r="D1655" s="1099">
        <v>1.0139141155414917</v>
      </c>
      <c r="E1655" s="1099">
        <v>0.9596351027056863</v>
      </c>
      <c r="F1655" s="1099">
        <v>1.0245925198761989</v>
      </c>
      <c r="G1655" s="1099">
        <v>1.0185091702597242</v>
      </c>
      <c r="H1655" s="1099">
        <v>1.0459204922722301</v>
      </c>
      <c r="I1655" s="1099">
        <v>1.022487589300658</v>
      </c>
      <c r="K1655">
        <v>1.7630548433308642</v>
      </c>
      <c r="L1655">
        <v>0</v>
      </c>
      <c r="M1655">
        <v>1.5217593777156146E-3</v>
      </c>
      <c r="N1655">
        <v>0.12390448076908404</v>
      </c>
      <c r="O1655">
        <v>0.12736144699057056</v>
      </c>
      <c r="P1655">
        <v>1.8215519857608702E-2</v>
      </c>
      <c r="Q1655">
        <v>8.3745749173916697E-4</v>
      </c>
      <c r="R1655">
        <v>1.5180115009557822E-3</v>
      </c>
      <c r="S1655">
        <v>0.1103748693090235</v>
      </c>
      <c r="T1655">
        <v>1.0576658493192455</v>
      </c>
      <c r="U1655">
        <v>0</v>
      </c>
      <c r="V1655">
        <v>0.20892784183682564</v>
      </c>
      <c r="W1655">
        <v>8.3405504510271511E-2</v>
      </c>
      <c r="X1655">
        <v>2.8234094230011345E-2</v>
      </c>
      <c r="Y1655">
        <v>4.1315268932448374E-3</v>
      </c>
    </row>
    <row r="1656" spans="1:25" x14ac:dyDescent="0.25">
      <c r="A1656" s="1095"/>
      <c r="B1656" s="1454">
        <v>1406</v>
      </c>
      <c r="C1656" s="1099">
        <v>1.0075659542528013</v>
      </c>
      <c r="D1656" s="1099">
        <v>0.9761830983947104</v>
      </c>
      <c r="E1656" s="1099">
        <v>1.0110662136776369</v>
      </c>
      <c r="F1656" s="1099">
        <v>0.97474365305224697</v>
      </c>
      <c r="G1656" s="1099">
        <v>1.0034283367207739</v>
      </c>
      <c r="H1656" s="1099">
        <v>1.0154388277150828</v>
      </c>
      <c r="I1656" s="1099">
        <v>0.98028172558658999</v>
      </c>
      <c r="K1656">
        <v>1.714945753787277</v>
      </c>
      <c r="L1656">
        <v>0</v>
      </c>
      <c r="M1656">
        <v>1.3716109046445254E-3</v>
      </c>
      <c r="N1656">
        <v>0.13046588656474606</v>
      </c>
      <c r="O1656">
        <v>0.12631471778720779</v>
      </c>
      <c r="P1656">
        <v>1.8160427734703239E-2</v>
      </c>
      <c r="Q1656">
        <v>9.1105224015094631E-4</v>
      </c>
      <c r="R1656">
        <v>1.3681371456152665E-3</v>
      </c>
      <c r="S1656">
        <v>0.10758993337269027</v>
      </c>
      <c r="T1656">
        <v>1.004695663981547</v>
      </c>
      <c r="U1656">
        <v>0</v>
      </c>
      <c r="V1656">
        <v>0.20815946739244612</v>
      </c>
      <c r="W1656">
        <v>8.5147796358399808E-2</v>
      </c>
      <c r="X1656">
        <v>2.9780663810339714E-2</v>
      </c>
      <c r="Y1656">
        <v>3.7236183040759152E-3</v>
      </c>
    </row>
    <row r="1657" spans="1:25" x14ac:dyDescent="0.25">
      <c r="A1657" s="1095"/>
      <c r="B1657" s="1454">
        <v>1407</v>
      </c>
      <c r="C1657" s="1099">
        <v>1.0087067864095576</v>
      </c>
      <c r="D1657" s="1099">
        <v>1.0133909729705071</v>
      </c>
      <c r="E1657" s="1099">
        <v>0.99671218812352502</v>
      </c>
      <c r="F1657" s="1099">
        <v>1.0013438863251092</v>
      </c>
      <c r="G1657" s="1099">
        <v>1.0353347074317472</v>
      </c>
      <c r="H1657" s="1099">
        <v>0.96950192847204542</v>
      </c>
      <c r="I1657" s="1099">
        <v>1.0010445089358411</v>
      </c>
      <c r="K1657">
        <v>1.724828332808275</v>
      </c>
      <c r="L1657">
        <v>0</v>
      </c>
      <c r="M1657">
        <v>1.3215398957717309E-3</v>
      </c>
      <c r="N1657">
        <v>0.12035392321638405</v>
      </c>
      <c r="O1657">
        <v>0.12652969523051413</v>
      </c>
      <c r="P1657">
        <v>1.8323620565959899E-2</v>
      </c>
      <c r="Q1657">
        <v>8.8329050215539204E-4</v>
      </c>
      <c r="R1657">
        <v>1.3180182257534058E-3</v>
      </c>
      <c r="S1657">
        <v>0.10422304546264302</v>
      </c>
      <c r="T1657">
        <v>1.0325388846434207</v>
      </c>
      <c r="U1657">
        <v>0</v>
      </c>
      <c r="V1657">
        <v>0.20984590084435373</v>
      </c>
      <c r="W1657">
        <v>7.9219197444857531E-2</v>
      </c>
      <c r="X1657">
        <v>2.9327085442095547E-2</v>
      </c>
      <c r="Y1657">
        <v>3.5872111259094212E-3</v>
      </c>
    </row>
    <row r="1658" spans="1:25" x14ac:dyDescent="0.25">
      <c r="A1658" s="1095"/>
      <c r="B1658" s="1454">
        <v>1408</v>
      </c>
      <c r="C1658" s="1099">
        <v>1.0071159923823811</v>
      </c>
      <c r="D1658" s="1099">
        <v>1.0113043798639483</v>
      </c>
      <c r="E1658" s="1099">
        <v>0.99521702433228476</v>
      </c>
      <c r="F1658" s="1099">
        <v>0.96787704390467211</v>
      </c>
      <c r="G1658" s="1099">
        <v>1.0023724389920605</v>
      </c>
      <c r="H1658" s="1099">
        <v>0.99262663547342889</v>
      </c>
      <c r="I1658" s="1099">
        <v>1.0219095844884831</v>
      </c>
      <c r="K1658">
        <v>1.6922416928256654</v>
      </c>
      <c r="L1658">
        <v>0</v>
      </c>
      <c r="M1658">
        <v>1.3569011737042725E-3</v>
      </c>
      <c r="N1658">
        <v>0.1230239915828817</v>
      </c>
      <c r="O1658">
        <v>0.1241600109384596</v>
      </c>
      <c r="P1658">
        <v>1.7844759484687854E-2</v>
      </c>
      <c r="Q1658">
        <v>8.8404094112919541E-4</v>
      </c>
      <c r="R1658">
        <v>1.3533600731858897E-3</v>
      </c>
      <c r="S1658">
        <v>0.1081130306674878</v>
      </c>
      <c r="T1658">
        <v>0.99807263802648849</v>
      </c>
      <c r="U1658">
        <v>0</v>
      </c>
      <c r="V1658">
        <v>0.20669423266628348</v>
      </c>
      <c r="W1658">
        <v>8.1048907562743008E-2</v>
      </c>
      <c r="X1658">
        <v>2.8720222071837252E-2</v>
      </c>
      <c r="Y1658">
        <v>3.683399984183767E-3</v>
      </c>
    </row>
    <row r="1659" spans="1:25" x14ac:dyDescent="0.25">
      <c r="A1659" s="1095"/>
      <c r="B1659" s="1454">
        <v>1409</v>
      </c>
      <c r="C1659" s="1099">
        <v>0.96502569524522819</v>
      </c>
      <c r="D1659" s="1099">
        <v>1.0056595971154092</v>
      </c>
      <c r="E1659" s="1099">
        <v>0.98772437738002306</v>
      </c>
      <c r="F1659" s="1099">
        <v>0.96459109231146034</v>
      </c>
      <c r="G1659" s="1099">
        <v>0.96947500078131987</v>
      </c>
      <c r="H1659" s="1099">
        <v>1.0049351339661459</v>
      </c>
      <c r="I1659" s="1099">
        <v>0.96707831399054989</v>
      </c>
      <c r="K1659">
        <v>1.7033537560923404</v>
      </c>
      <c r="L1659">
        <v>0</v>
      </c>
      <c r="M1659">
        <v>1.4550875416177624E-3</v>
      </c>
      <c r="N1659">
        <v>0.12897457867230452</v>
      </c>
      <c r="O1659">
        <v>0.12629270940214196</v>
      </c>
      <c r="P1659">
        <v>1.7723220706178777E-2</v>
      </c>
      <c r="Q1659">
        <v>9.1747910501403481E-4</v>
      </c>
      <c r="R1659">
        <v>1.4513257731456515E-3</v>
      </c>
      <c r="S1659">
        <v>0.10771127942875704</v>
      </c>
      <c r="T1659">
        <v>0.99490085569159414</v>
      </c>
      <c r="U1659">
        <v>0</v>
      </c>
      <c r="V1659">
        <v>0.20868939575120035</v>
      </c>
      <c r="W1659">
        <v>8.5350989385073323E-2</v>
      </c>
      <c r="X1659">
        <v>2.884697939345619E-2</v>
      </c>
      <c r="Y1659">
        <v>3.9500303250899265E-3</v>
      </c>
    </row>
    <row r="1660" spans="1:25" x14ac:dyDescent="0.25">
      <c r="A1660" s="1095"/>
      <c r="B1660" s="1454">
        <v>1410</v>
      </c>
      <c r="C1660" s="1099">
        <v>1.0271879817380756</v>
      </c>
      <c r="D1660" s="1099">
        <v>1.018032955400759</v>
      </c>
      <c r="E1660" s="1099">
        <v>0.99075604996338018</v>
      </c>
      <c r="F1660" s="1099">
        <v>1.0000188630052049</v>
      </c>
      <c r="G1660" s="1099">
        <v>1.0035193364783803</v>
      </c>
      <c r="H1660" s="1099">
        <v>1.0077402522487875</v>
      </c>
      <c r="I1660" s="1099">
        <v>1.0049126365333723</v>
      </c>
      <c r="K1660">
        <v>1.7225614322630673</v>
      </c>
      <c r="L1660">
        <v>0</v>
      </c>
      <c r="M1660">
        <v>1.3638588574870175E-3</v>
      </c>
      <c r="N1660">
        <v>0.12200435522125055</v>
      </c>
      <c r="O1660">
        <v>0.12527662736953293</v>
      </c>
      <c r="P1660">
        <v>1.8193815285511238E-2</v>
      </c>
      <c r="Q1660">
        <v>8.6046607624045031E-4</v>
      </c>
      <c r="R1660">
        <v>1.3603639944831135E-3</v>
      </c>
      <c r="S1660">
        <v>0.1051233323658141</v>
      </c>
      <c r="T1660">
        <v>1.0313507554967056</v>
      </c>
      <c r="U1660">
        <v>0</v>
      </c>
      <c r="V1660">
        <v>0.20658269816883806</v>
      </c>
      <c r="W1660">
        <v>8.0591744174036528E-2</v>
      </c>
      <c r="X1660">
        <v>2.8878670619028542E-2</v>
      </c>
      <c r="Y1660">
        <v>3.7024623491127757E-3</v>
      </c>
    </row>
    <row r="1661" spans="1:25" x14ac:dyDescent="0.25">
      <c r="A1661" s="1095"/>
      <c r="B1661" s="1454">
        <v>1411</v>
      </c>
      <c r="C1661" s="1099">
        <v>0.97424092671913443</v>
      </c>
      <c r="D1661" s="1099">
        <v>1.0352264082266278</v>
      </c>
      <c r="E1661" s="1099">
        <v>0.98632738743228798</v>
      </c>
      <c r="F1661" s="1099">
        <v>0.98680791718635086</v>
      </c>
      <c r="G1661" s="1099">
        <v>0.97717656647707585</v>
      </c>
      <c r="H1661" s="1099">
        <v>0.98222527645416358</v>
      </c>
      <c r="I1661" s="1099">
        <v>1.0378756921839758</v>
      </c>
      <c r="K1661">
        <v>1.7196293166754089</v>
      </c>
      <c r="L1661">
        <v>0</v>
      </c>
      <c r="M1661">
        <v>1.3930370792680717E-3</v>
      </c>
      <c r="N1661">
        <v>0.12294588688443804</v>
      </c>
      <c r="O1661">
        <v>0.12620658620888478</v>
      </c>
      <c r="P1661">
        <v>1.8057526564648763E-2</v>
      </c>
      <c r="Q1661">
        <v>8.97018806486144E-4</v>
      </c>
      <c r="R1661">
        <v>1.3893431653475559E-3</v>
      </c>
      <c r="S1661">
        <v>0.11103431228664165</v>
      </c>
      <c r="T1661">
        <v>1.017857300089748</v>
      </c>
      <c r="U1661">
        <v>0</v>
      </c>
      <c r="V1661">
        <v>0.2085556663826276</v>
      </c>
      <c r="W1661">
        <v>8.1429685177502556E-2</v>
      </c>
      <c r="X1661">
        <v>2.8867694089125876E-2</v>
      </c>
      <c r="Y1661">
        <v>3.7813340992246805E-3</v>
      </c>
    </row>
    <row r="1662" spans="1:25" x14ac:dyDescent="0.25">
      <c r="A1662" s="1095"/>
      <c r="B1662" s="1454">
        <v>1412</v>
      </c>
      <c r="C1662" s="1099">
        <v>1.0277024894155464</v>
      </c>
      <c r="D1662" s="1099">
        <v>1.0167640446459099</v>
      </c>
      <c r="E1662" s="1099">
        <v>1.0113440231801616</v>
      </c>
      <c r="F1662" s="1099">
        <v>1.0034103945768673</v>
      </c>
      <c r="G1662" s="1099">
        <v>1.0387325903070794</v>
      </c>
      <c r="H1662" s="1099">
        <v>1.0174185065217314</v>
      </c>
      <c r="I1662" s="1099">
        <v>0.99672045124280395</v>
      </c>
      <c r="K1662">
        <v>1.7338247710292547</v>
      </c>
      <c r="L1662">
        <v>0</v>
      </c>
      <c r="M1662">
        <v>1.3201202445420452E-3</v>
      </c>
      <c r="N1662">
        <v>0.1256729973524949</v>
      </c>
      <c r="O1662">
        <v>0.12564275291197061</v>
      </c>
      <c r="P1662">
        <v>1.8539729895437507E-2</v>
      </c>
      <c r="Q1662">
        <v>8.7901876404859389E-4</v>
      </c>
      <c r="R1662">
        <v>1.3167715193723873E-3</v>
      </c>
      <c r="S1662">
        <v>0.10500233235441268</v>
      </c>
      <c r="T1662">
        <v>1.0342350859362455</v>
      </c>
      <c r="U1662">
        <v>0</v>
      </c>
      <c r="V1662">
        <v>0.20851525020642991</v>
      </c>
      <c r="W1662">
        <v>8.2006322867961765E-2</v>
      </c>
      <c r="X1662">
        <v>2.9750811463304529E-2</v>
      </c>
      <c r="Y1662">
        <v>3.583818002116938E-3</v>
      </c>
    </row>
    <row r="1663" spans="1:25" x14ac:dyDescent="0.25">
      <c r="A1663" s="1095"/>
      <c r="B1663" s="1454">
        <v>1413</v>
      </c>
      <c r="C1663" s="1099">
        <v>0.97247970766551872</v>
      </c>
      <c r="D1663" s="1099">
        <v>0.99202610954342729</v>
      </c>
      <c r="E1663" s="1099">
        <v>0.98771752400767587</v>
      </c>
      <c r="F1663" s="1099">
        <v>0.98301174126653501</v>
      </c>
      <c r="G1663" s="1099">
        <v>1.0327738426513864</v>
      </c>
      <c r="H1663" s="1099">
        <v>0.989762923009329</v>
      </c>
      <c r="I1663" s="1099">
        <v>0.96055985008502209</v>
      </c>
      <c r="K1663">
        <v>1.7241933433153707</v>
      </c>
      <c r="L1663">
        <v>0</v>
      </c>
      <c r="M1663">
        <v>1.4369362360561082E-3</v>
      </c>
      <c r="N1663">
        <v>0.12735963348832072</v>
      </c>
      <c r="O1663">
        <v>0.1279499351711583</v>
      </c>
      <c r="P1663">
        <v>1.8010354613422607E-2</v>
      </c>
      <c r="Q1663">
        <v>9.1542457135302356E-4</v>
      </c>
      <c r="R1663">
        <v>1.4331828113041793E-3</v>
      </c>
      <c r="S1663">
        <v>0.10617622606393944</v>
      </c>
      <c r="T1663">
        <v>1.0139005283095266</v>
      </c>
      <c r="U1663">
        <v>0</v>
      </c>
      <c r="V1663">
        <v>0.21247798929935557</v>
      </c>
      <c r="W1663">
        <v>8.4282620244511108E-2</v>
      </c>
      <c r="X1663">
        <v>2.922373381475226E-2</v>
      </c>
      <c r="Y1663">
        <v>3.9006511637832034E-3</v>
      </c>
    </row>
    <row r="1664" spans="1:25" x14ac:dyDescent="0.25">
      <c r="A1664" s="1095"/>
      <c r="B1664" s="1454">
        <v>1414</v>
      </c>
      <c r="C1664" s="1099">
        <v>1.0218966682842137</v>
      </c>
      <c r="D1664" s="1099">
        <v>1.0396880527071908</v>
      </c>
      <c r="E1664" s="1099">
        <v>1.0281159927083781</v>
      </c>
      <c r="F1664" s="1099">
        <v>1.0149509597209725</v>
      </c>
      <c r="G1664" s="1099">
        <v>1.0127652484513843</v>
      </c>
      <c r="H1664" s="1099">
        <v>1.023340291466021</v>
      </c>
      <c r="I1664" s="1099">
        <v>0.99780862602670828</v>
      </c>
      <c r="K1664">
        <v>1.7475208194776961</v>
      </c>
      <c r="L1664">
        <v>0</v>
      </c>
      <c r="M1664">
        <v>1.273233476315647E-3</v>
      </c>
      <c r="N1664">
        <v>0.12750092431174151</v>
      </c>
      <c r="O1664">
        <v>0.12583869271118853</v>
      </c>
      <c r="P1664">
        <v>1.8912615746281409E-2</v>
      </c>
      <c r="Q1664">
        <v>8.9137153965667011E-4</v>
      </c>
      <c r="R1664">
        <v>1.2700100931018815E-3</v>
      </c>
      <c r="S1664">
        <v>0.10472055868898007</v>
      </c>
      <c r="T1664">
        <v>1.0456341060224101</v>
      </c>
      <c r="U1664">
        <v>0</v>
      </c>
      <c r="V1664">
        <v>0.20770859089290608</v>
      </c>
      <c r="W1664">
        <v>8.2386536115187231E-2</v>
      </c>
      <c r="X1664">
        <v>3.0474098017850396E-2</v>
      </c>
      <c r="Y1664">
        <v>3.4565488147086472E-3</v>
      </c>
    </row>
    <row r="1665" spans="1:25" x14ac:dyDescent="0.25">
      <c r="A1665" s="1095"/>
      <c r="B1665" s="1454">
        <v>1415</v>
      </c>
      <c r="C1665" s="1099">
        <v>1.0085552704063836</v>
      </c>
      <c r="D1665" s="1099">
        <v>1.009702183325226</v>
      </c>
      <c r="E1665" s="1099">
        <v>0.96430116205342764</v>
      </c>
      <c r="F1665" s="1099">
        <v>0.98203663192263968</v>
      </c>
      <c r="G1665" s="1099">
        <v>1.0272875437769289</v>
      </c>
      <c r="H1665" s="1099">
        <v>1.0090193092246982</v>
      </c>
      <c r="I1665" s="1099">
        <v>0.99837496209679566</v>
      </c>
      <c r="K1665">
        <v>1.7073249632664613</v>
      </c>
      <c r="L1665">
        <v>0</v>
      </c>
      <c r="M1665">
        <v>1.4716664674264907E-3</v>
      </c>
      <c r="N1665">
        <v>0.12151959098525285</v>
      </c>
      <c r="O1665">
        <v>0.12511834642296729</v>
      </c>
      <c r="P1665">
        <v>1.7642096762183722E-2</v>
      </c>
      <c r="Q1665">
        <v>8.551755323646798E-4</v>
      </c>
      <c r="R1665">
        <v>1.4678946080461917E-3</v>
      </c>
      <c r="S1665">
        <v>0.10674329599646282</v>
      </c>
      <c r="T1665">
        <v>1.0135948490274918</v>
      </c>
      <c r="U1665">
        <v>0</v>
      </c>
      <c r="V1665">
        <v>0.2084825751427237</v>
      </c>
      <c r="W1665">
        <v>8.1566671435002736E-2</v>
      </c>
      <c r="X1665">
        <v>2.7811008589616742E-2</v>
      </c>
      <c r="Y1665">
        <v>3.9951252317742391E-3</v>
      </c>
    </row>
    <row r="1666" spans="1:25" x14ac:dyDescent="0.25">
      <c r="A1666" s="1095"/>
      <c r="B1666" s="1454">
        <v>1416</v>
      </c>
      <c r="C1666" s="1099">
        <v>1.0024335221452936</v>
      </c>
      <c r="D1666" s="1099">
        <v>0.97493330646730192</v>
      </c>
      <c r="E1666" s="1099">
        <v>1.0366720272137941</v>
      </c>
      <c r="F1666" s="1099">
        <v>1.0340324188918959</v>
      </c>
      <c r="G1666" s="1099">
        <v>0.9972170874394084</v>
      </c>
      <c r="H1666" s="1099">
        <v>1.0088975487758374</v>
      </c>
      <c r="I1666" s="1099">
        <v>1.0234905319117784</v>
      </c>
      <c r="K1666">
        <v>1.7971723840883489</v>
      </c>
      <c r="L1666">
        <v>0</v>
      </c>
      <c r="M1666">
        <v>1.3058616081461541E-3</v>
      </c>
      <c r="N1666">
        <v>0.13418381605184532</v>
      </c>
      <c r="O1666">
        <v>0.13127984338304854</v>
      </c>
      <c r="P1666">
        <v>1.9470469254754361E-2</v>
      </c>
      <c r="Q1666">
        <v>9.4052079278744607E-4</v>
      </c>
      <c r="R1666">
        <v>1.3025496193115221E-3</v>
      </c>
      <c r="S1666">
        <v>0.11292060146440198</v>
      </c>
      <c r="T1666">
        <v>1.0650379051139169</v>
      </c>
      <c r="U1666">
        <v>0</v>
      </c>
      <c r="V1666">
        <v>0.21151591678416826</v>
      </c>
      <c r="W1666">
        <v>8.6276026886157237E-2</v>
      </c>
      <c r="X1666">
        <v>3.2005485667701818E-2</v>
      </c>
      <c r="Y1666">
        <v>3.5451106783993555E-3</v>
      </c>
    </row>
    <row r="1667" spans="1:25" x14ac:dyDescent="0.25">
      <c r="A1667" s="1095"/>
      <c r="B1667" s="1454">
        <v>1417</v>
      </c>
      <c r="C1667" s="1099">
        <v>1.0033561202952479</v>
      </c>
      <c r="D1667" s="1099">
        <v>0.9893944517165314</v>
      </c>
      <c r="E1667" s="1099">
        <v>1.027028394890461</v>
      </c>
      <c r="F1667" s="1099">
        <v>0.9813537868233122</v>
      </c>
      <c r="G1667" s="1099">
        <v>1.005018780188317</v>
      </c>
      <c r="H1667" s="1099">
        <v>0.97723991222870543</v>
      </c>
      <c r="I1667" s="1099">
        <v>0.96244122662462772</v>
      </c>
      <c r="K1667">
        <v>1.7110701982772902</v>
      </c>
      <c r="L1667">
        <v>0</v>
      </c>
      <c r="M1667">
        <v>1.272497567215079E-3</v>
      </c>
      <c r="N1667">
        <v>0.12699656539107335</v>
      </c>
      <c r="O1667">
        <v>0.12649638312656467</v>
      </c>
      <c r="P1667">
        <v>1.8400130245389987E-2</v>
      </c>
      <c r="Q1667">
        <v>9.2499943598655754E-4</v>
      </c>
      <c r="R1667">
        <v>1.2691412643446322E-3</v>
      </c>
      <c r="S1667">
        <v>0.10267004232314131</v>
      </c>
      <c r="T1667">
        <v>1.011052107610265</v>
      </c>
      <c r="U1667">
        <v>0</v>
      </c>
      <c r="V1667">
        <v>0.2085835018213433</v>
      </c>
      <c r="W1667">
        <v>8.2112559509597768E-2</v>
      </c>
      <c r="X1667">
        <v>3.0383080967557371E-2</v>
      </c>
      <c r="Y1667">
        <v>3.4541841492407382E-3</v>
      </c>
    </row>
    <row r="1668" spans="1:25" x14ac:dyDescent="0.25">
      <c r="A1668" s="1095"/>
      <c r="B1668" s="1454">
        <v>1418</v>
      </c>
      <c r="C1668" s="1099">
        <v>0.97604229639182172</v>
      </c>
      <c r="D1668" s="1099">
        <v>0.97458811362255526</v>
      </c>
      <c r="E1668" s="1099">
        <v>1.0262847020506567</v>
      </c>
      <c r="F1668" s="1099">
        <v>1.0139987320532744</v>
      </c>
      <c r="G1668" s="1099">
        <v>0.99171963210963154</v>
      </c>
      <c r="H1668" s="1099">
        <v>1.0354498935432004</v>
      </c>
      <c r="I1668" s="1099">
        <v>1.0079523861958779</v>
      </c>
      <c r="K1668">
        <v>1.7894338441041691</v>
      </c>
      <c r="L1668">
        <v>0</v>
      </c>
      <c r="M1668">
        <v>1.4012855622581373E-3</v>
      </c>
      <c r="N1668">
        <v>0.13955839898059397</v>
      </c>
      <c r="O1668">
        <v>0.13113457166008402</v>
      </c>
      <c r="P1668">
        <v>1.909588516339291E-2</v>
      </c>
      <c r="Q1668">
        <v>9.5591024027551175E-4</v>
      </c>
      <c r="R1668">
        <v>1.3978090830027716E-3</v>
      </c>
      <c r="S1668">
        <v>0.11586800386176299</v>
      </c>
      <c r="T1668">
        <v>1.04470679530053</v>
      </c>
      <c r="U1668">
        <v>0</v>
      </c>
      <c r="V1668">
        <v>0.21247113357620426</v>
      </c>
      <c r="W1668">
        <v>9.027376759355199E-2</v>
      </c>
      <c r="X1668">
        <v>3.1568478670735978E-2</v>
      </c>
      <c r="Y1668">
        <v>3.8043755362931714E-3</v>
      </c>
    </row>
    <row r="1669" spans="1:25" x14ac:dyDescent="0.25">
      <c r="A1669" s="1095"/>
      <c r="B1669" s="1454">
        <v>1419</v>
      </c>
      <c r="C1669" s="1099">
        <v>1.0170659887226015</v>
      </c>
      <c r="D1669" s="1099">
        <v>0.98003744045515617</v>
      </c>
      <c r="E1669" s="1099">
        <v>1.0178564660129863</v>
      </c>
      <c r="F1669" s="1099">
        <v>0.97915538620186304</v>
      </c>
      <c r="G1669" s="1099">
        <v>1.0345540598437906</v>
      </c>
      <c r="H1669" s="1099">
        <v>1.0118231833790083</v>
      </c>
      <c r="I1669" s="1099">
        <v>1.0088045311265541</v>
      </c>
      <c r="K1669">
        <v>1.7198557599252076</v>
      </c>
      <c r="L1669">
        <v>0</v>
      </c>
      <c r="M1669">
        <v>1.3335072435691096E-3</v>
      </c>
      <c r="N1669">
        <v>0.1294666819816804</v>
      </c>
      <c r="O1669">
        <v>0.1260243863575562</v>
      </c>
      <c r="P1669">
        <v>1.8346612415510791E-2</v>
      </c>
      <c r="Q1669">
        <v>9.0743842973449603E-4</v>
      </c>
      <c r="R1669">
        <v>1.3301195133162268E-3</v>
      </c>
      <c r="S1669">
        <v>0.10926447086070705</v>
      </c>
      <c r="T1669">
        <v>1.009048170457939</v>
      </c>
      <c r="U1669">
        <v>0</v>
      </c>
      <c r="V1669">
        <v>0.20901590723323302</v>
      </c>
      <c r="W1669">
        <v>8.415920428012337E-2</v>
      </c>
      <c r="X1669">
        <v>3.0006128797508001E-2</v>
      </c>
      <c r="Y1669">
        <v>3.6201468414670465E-3</v>
      </c>
    </row>
    <row r="1670" spans="1:25" x14ac:dyDescent="0.25">
      <c r="A1670" s="1095"/>
      <c r="B1670" s="1454">
        <v>1420</v>
      </c>
      <c r="C1670" s="1099">
        <v>1.0006968220392098</v>
      </c>
      <c r="D1670" s="1099">
        <v>1.0001011422515638</v>
      </c>
      <c r="E1670" s="1099">
        <v>1.0028602270195999</v>
      </c>
      <c r="F1670" s="1099">
        <v>1.0053904336833703</v>
      </c>
      <c r="G1670" s="1099">
        <v>1.0110786981921893</v>
      </c>
      <c r="H1670" s="1099">
        <v>1.0077577117478507</v>
      </c>
      <c r="I1670" s="1099">
        <v>0.99109846531624091</v>
      </c>
      <c r="K1670">
        <v>1.7465289891868543</v>
      </c>
      <c r="L1670">
        <v>0</v>
      </c>
      <c r="M1670">
        <v>1.3774011637202443E-3</v>
      </c>
      <c r="N1670">
        <v>0.127806773544272</v>
      </c>
      <c r="O1670">
        <v>0.12787853965700424</v>
      </c>
      <c r="P1670">
        <v>1.8508942179984705E-2</v>
      </c>
      <c r="Q1670">
        <v>9.0079895395696612E-4</v>
      </c>
      <c r="R1670">
        <v>1.3738777309475897E-3</v>
      </c>
      <c r="S1670">
        <v>0.107505335180901</v>
      </c>
      <c r="T1670">
        <v>1.0365277077277906</v>
      </c>
      <c r="U1670">
        <v>0</v>
      </c>
      <c r="V1670">
        <v>0.2099678367872031</v>
      </c>
      <c r="W1670">
        <v>8.3817914552343636E-2</v>
      </c>
      <c r="X1670">
        <v>2.9879421751201406E-2</v>
      </c>
      <c r="Y1670">
        <v>3.7392422849670524E-3</v>
      </c>
    </row>
    <row r="1671" spans="1:25" x14ac:dyDescent="0.25">
      <c r="A1671" s="1095"/>
      <c r="B1671" s="1454">
        <v>1421</v>
      </c>
      <c r="C1671" s="1099">
        <v>1.0000946391389236</v>
      </c>
      <c r="D1671" s="1099">
        <v>1.0027342090447509</v>
      </c>
      <c r="E1671" s="1099">
        <v>0.95402372694026871</v>
      </c>
      <c r="F1671" s="1099">
        <v>0.97123677427844313</v>
      </c>
      <c r="G1671" s="1099">
        <v>1.0466985944039933</v>
      </c>
      <c r="H1671" s="1099">
        <v>1.0179106041388275</v>
      </c>
      <c r="I1671" s="1099">
        <v>0.9891573234217288</v>
      </c>
      <c r="K1671">
        <v>1.700408395177986</v>
      </c>
      <c r="L1671">
        <v>0</v>
      </c>
      <c r="M1671">
        <v>1.5329025535052994E-3</v>
      </c>
      <c r="N1671">
        <v>0.12269735906919023</v>
      </c>
      <c r="O1671">
        <v>0.12498905996084626</v>
      </c>
      <c r="P1671">
        <v>1.73871253530101E-2</v>
      </c>
      <c r="Q1671">
        <v>8.5543454322249267E-4</v>
      </c>
      <c r="R1671">
        <v>1.5290065855034967E-3</v>
      </c>
      <c r="S1671">
        <v>0.10758620053025784</v>
      </c>
      <c r="T1671">
        <v>1.0027568618376121</v>
      </c>
      <c r="U1671">
        <v>0</v>
      </c>
      <c r="V1671">
        <v>0.20973286453514645</v>
      </c>
      <c r="W1671">
        <v>8.2878478012765378E-2</v>
      </c>
      <c r="X1671">
        <v>2.7367455415080989E-2</v>
      </c>
      <c r="Y1671">
        <v>4.1614518888550712E-3</v>
      </c>
    </row>
    <row r="1672" spans="1:25" x14ac:dyDescent="0.25">
      <c r="A1672" s="1095"/>
      <c r="B1672" s="1454">
        <v>1422</v>
      </c>
      <c r="C1672" s="1099">
        <v>0.986789977730958</v>
      </c>
      <c r="D1672" s="1099">
        <v>0.99513949925000666</v>
      </c>
      <c r="E1672" s="1099">
        <v>0.99055407882876056</v>
      </c>
      <c r="F1672" s="1099">
        <v>0.9981802596806858</v>
      </c>
      <c r="G1672" s="1099">
        <v>0.95914649270294394</v>
      </c>
      <c r="H1672" s="1099">
        <v>0.97383847881393959</v>
      </c>
      <c r="I1672" s="1099">
        <v>0.98381009503447769</v>
      </c>
      <c r="K1672">
        <v>1.7301706188851851</v>
      </c>
      <c r="L1672">
        <v>0</v>
      </c>
      <c r="M1672">
        <v>1.3862373021969799E-3</v>
      </c>
      <c r="N1672">
        <v>0.12391972580350052</v>
      </c>
      <c r="O1672">
        <v>0.12823157651369335</v>
      </c>
      <c r="P1672">
        <v>1.8202183542236881E-2</v>
      </c>
      <c r="Q1672">
        <v>9.0368839186296876E-4</v>
      </c>
      <c r="R1672">
        <v>1.3825645790926087E-3</v>
      </c>
      <c r="S1672">
        <v>0.10603695069533901</v>
      </c>
      <c r="T1672">
        <v>1.0294605955360201</v>
      </c>
      <c r="U1672">
        <v>0</v>
      </c>
      <c r="V1672">
        <v>0.20837945075899447</v>
      </c>
      <c r="W1672">
        <v>8.186686954578401E-2</v>
      </c>
      <c r="X1672">
        <v>2.9410365798857131E-2</v>
      </c>
      <c r="Y1672">
        <v>3.7628850219990724E-3</v>
      </c>
    </row>
    <row r="1673" spans="1:25" x14ac:dyDescent="0.25">
      <c r="A1673" s="1095"/>
      <c r="B1673" s="1454">
        <v>1423</v>
      </c>
      <c r="C1673" s="1099">
        <v>0.96988914038031881</v>
      </c>
      <c r="D1673" s="1099">
        <v>0.98676273743009479</v>
      </c>
      <c r="E1673" s="1099">
        <v>0.99126970827170058</v>
      </c>
      <c r="F1673" s="1099">
        <v>0.98602591483262103</v>
      </c>
      <c r="G1673" s="1099">
        <v>1.0006110148850991</v>
      </c>
      <c r="H1673" s="1099">
        <v>0.99727731668088848</v>
      </c>
      <c r="I1673" s="1099">
        <v>1.0203766569797563</v>
      </c>
      <c r="K1673">
        <v>1.7385971030260379</v>
      </c>
      <c r="L1673">
        <v>0</v>
      </c>
      <c r="M1673">
        <v>1.4456236088616326E-3</v>
      </c>
      <c r="N1673">
        <v>0.12951607450406377</v>
      </c>
      <c r="O1673">
        <v>0.12857923135905489</v>
      </c>
      <c r="P1673">
        <v>1.8192214083605673E-2</v>
      </c>
      <c r="Q1673">
        <v>9.2323790094115614E-4</v>
      </c>
      <c r="R1673">
        <v>1.4418797838402317E-3</v>
      </c>
      <c r="S1673">
        <v>0.11402435268963299</v>
      </c>
      <c r="T1673">
        <v>1.0169041983009657</v>
      </c>
      <c r="U1673">
        <v>0</v>
      </c>
      <c r="V1673">
        <v>0.21148309799965878</v>
      </c>
      <c r="W1673">
        <v>8.5527418331222599E-2</v>
      </c>
      <c r="X1673">
        <v>2.952670022584232E-2</v>
      </c>
      <c r="Y1673">
        <v>3.9243214560701128E-3</v>
      </c>
    </row>
    <row r="1674" spans="1:25" x14ac:dyDescent="0.25">
      <c r="A1674" s="1095"/>
      <c r="B1674" s="1454">
        <v>1424</v>
      </c>
      <c r="C1674" s="1099">
        <v>0.9898346860346936</v>
      </c>
      <c r="D1674" s="1099">
        <v>0.97184276455196084</v>
      </c>
      <c r="E1674" s="1099">
        <v>0.99220407472409944</v>
      </c>
      <c r="F1674" s="1099">
        <v>0.99268912522833364</v>
      </c>
      <c r="G1674" s="1099">
        <v>0.98205099683651309</v>
      </c>
      <c r="H1674" s="1099">
        <v>1.0038882950246146</v>
      </c>
      <c r="I1674" s="1099">
        <v>0.9731208182122919</v>
      </c>
      <c r="K1674">
        <v>1.7375890878531157</v>
      </c>
      <c r="L1674">
        <v>0</v>
      </c>
      <c r="M1674">
        <v>1.4392955902886211E-3</v>
      </c>
      <c r="N1674">
        <v>0.12931782728381927</v>
      </c>
      <c r="O1674">
        <v>0.12874311232948898</v>
      </c>
      <c r="P1674">
        <v>1.8193785440982241E-2</v>
      </c>
      <c r="Q1674">
        <v>9.1105024845185084E-4</v>
      </c>
      <c r="R1674">
        <v>1.435611917746326E-3</v>
      </c>
      <c r="S1674">
        <v>0.10818487883138933</v>
      </c>
      <c r="T1674">
        <v>1.0237482719464515</v>
      </c>
      <c r="U1674">
        <v>0</v>
      </c>
      <c r="V1674">
        <v>0.20965640764503837</v>
      </c>
      <c r="W1674">
        <v>8.5348782435438988E-2</v>
      </c>
      <c r="X1674">
        <v>2.9581392973831229E-2</v>
      </c>
      <c r="Y1674">
        <v>3.9072623907640035E-3</v>
      </c>
    </row>
    <row r="1675" spans="1:25" x14ac:dyDescent="0.25">
      <c r="A1675" s="1095"/>
      <c r="B1675" s="1454">
        <v>1425</v>
      </c>
      <c r="C1675" s="1099">
        <v>0.98452946292754429</v>
      </c>
      <c r="D1675" s="1099">
        <v>1.0221111703884906</v>
      </c>
      <c r="E1675" s="1099">
        <v>1.01561909810155</v>
      </c>
      <c r="F1675" s="1099">
        <v>1.0307591118300941</v>
      </c>
      <c r="G1675" s="1099">
        <v>0.96968678534119868</v>
      </c>
      <c r="H1675" s="1099">
        <v>0.98890671490297111</v>
      </c>
      <c r="I1675" s="1099">
        <v>0.96335265973635709</v>
      </c>
      <c r="K1675">
        <v>1.7703142756452599</v>
      </c>
      <c r="L1675">
        <v>0</v>
      </c>
      <c r="M1675">
        <v>1.3218709614359412E-3</v>
      </c>
      <c r="N1675">
        <v>0.12746383473455264</v>
      </c>
      <c r="O1675">
        <v>0.12968073316428422</v>
      </c>
      <c r="P1675">
        <v>1.8987061501031435E-2</v>
      </c>
      <c r="Q1675">
        <v>9.1968029029882532E-4</v>
      </c>
      <c r="R1675">
        <v>1.3184135761099636E-3</v>
      </c>
      <c r="S1675">
        <v>0.10359289170095909</v>
      </c>
      <c r="T1675">
        <v>1.0622947241595511</v>
      </c>
      <c r="U1675">
        <v>0</v>
      </c>
      <c r="V1675">
        <v>0.21004503679460523</v>
      </c>
      <c r="W1675">
        <v>8.2966071361081958E-2</v>
      </c>
      <c r="X1675">
        <v>3.077941218496744E-2</v>
      </c>
      <c r="Y1675">
        <v>3.588287139252762E-3</v>
      </c>
    </row>
    <row r="1676" spans="1:25" x14ac:dyDescent="0.25">
      <c r="A1676" s="1095"/>
      <c r="B1676" s="1454">
        <v>1426</v>
      </c>
      <c r="C1676" s="1099">
        <v>1.0310135242961482</v>
      </c>
      <c r="D1676" s="1099">
        <v>0.97666926668259235</v>
      </c>
      <c r="E1676" s="1099">
        <v>1.0100396033436014</v>
      </c>
      <c r="F1676" s="1099">
        <v>1.0028030875556169</v>
      </c>
      <c r="G1676" s="1099">
        <v>0.9790382794413045</v>
      </c>
      <c r="H1676" s="1099">
        <v>0.99594374080187564</v>
      </c>
      <c r="I1676" s="1099">
        <v>0.97165001283765229</v>
      </c>
      <c r="K1676">
        <v>1.7308753114559536</v>
      </c>
      <c r="L1676">
        <v>0</v>
      </c>
      <c r="M1676">
        <v>1.3229914941506409E-3</v>
      </c>
      <c r="N1676">
        <v>0.12544704518267369</v>
      </c>
      <c r="O1676">
        <v>0.1272558956198156</v>
      </c>
      <c r="P1676">
        <v>1.8461309112288334E-2</v>
      </c>
      <c r="Q1676">
        <v>8.8921388298426917E-4</v>
      </c>
      <c r="R1676">
        <v>1.3195901650711783E-3</v>
      </c>
      <c r="S1676">
        <v>0.10318056844133228</v>
      </c>
      <c r="T1676">
        <v>1.0336475920395336</v>
      </c>
      <c r="U1676">
        <v>0</v>
      </c>
      <c r="V1676">
        <v>0.20651912095631558</v>
      </c>
      <c r="W1676">
        <v>8.1921835172641622E-2</v>
      </c>
      <c r="X1676">
        <v>2.9964642950901788E-2</v>
      </c>
      <c r="Y1676">
        <v>3.5914894265427419E-3</v>
      </c>
    </row>
    <row r="1677" spans="1:25" x14ac:dyDescent="0.25">
      <c r="A1677" s="1095"/>
      <c r="B1677" s="1454">
        <v>1427</v>
      </c>
      <c r="C1677" s="1099">
        <v>0.9997382299254467</v>
      </c>
      <c r="D1677" s="1099">
        <v>0.98811147660004217</v>
      </c>
      <c r="E1677" s="1099">
        <v>1.0250385895023502</v>
      </c>
      <c r="F1677" s="1099">
        <v>1.0041732259700715</v>
      </c>
      <c r="G1677" s="1099">
        <v>1.0223669646201585</v>
      </c>
      <c r="H1677" s="1099">
        <v>0.97823953320989454</v>
      </c>
      <c r="I1677" s="1099">
        <v>0.98831565069588245</v>
      </c>
      <c r="K1677">
        <v>1.7444556638829851</v>
      </c>
      <c r="L1677">
        <v>0</v>
      </c>
      <c r="M1677">
        <v>1.2869088278325048E-3</v>
      </c>
      <c r="N1677">
        <v>0.12766750890696418</v>
      </c>
      <c r="O1677">
        <v>0.12848079020428568</v>
      </c>
      <c r="P1677">
        <v>1.8781320477104652E-2</v>
      </c>
      <c r="Q1677">
        <v>9.2694083194588763E-4</v>
      </c>
      <c r="R1677">
        <v>1.2835246356518236E-3</v>
      </c>
      <c r="S1677">
        <v>0.10607972040390878</v>
      </c>
      <c r="T1677">
        <v>1.034619978230835</v>
      </c>
      <c r="U1677">
        <v>0</v>
      </c>
      <c r="V1677">
        <v>0.21095935616512471</v>
      </c>
      <c r="W1677">
        <v>8.2642070121666356E-2</v>
      </c>
      <c r="X1677">
        <v>3.0808031788867433E-2</v>
      </c>
      <c r="Y1677">
        <v>3.4933309444618366E-3</v>
      </c>
    </row>
    <row r="1678" spans="1:25" x14ac:dyDescent="0.25">
      <c r="A1678" s="1095"/>
      <c r="B1678" s="1454">
        <v>1428</v>
      </c>
      <c r="C1678" s="1099">
        <v>1.0379011596058703</v>
      </c>
      <c r="D1678" s="1099">
        <v>0.95863066038997946</v>
      </c>
      <c r="E1678" s="1099">
        <v>0.98224646312885588</v>
      </c>
      <c r="F1678" s="1099">
        <v>0.96866569010414705</v>
      </c>
      <c r="G1678" s="1099">
        <v>1.0032939489712904</v>
      </c>
      <c r="H1678" s="1099">
        <v>1.0172887364938221</v>
      </c>
      <c r="I1678" s="1099">
        <v>1.0133734032049324</v>
      </c>
      <c r="K1678">
        <v>1.6984460263691572</v>
      </c>
      <c r="L1678">
        <v>0</v>
      </c>
      <c r="M1678">
        <v>1.4341175208611985E-3</v>
      </c>
      <c r="N1678">
        <v>0.12503600756337765</v>
      </c>
      <c r="O1678">
        <v>0.12503948755120076</v>
      </c>
      <c r="P1678">
        <v>1.7692988809665824E-2</v>
      </c>
      <c r="Q1678">
        <v>8.645945584614997E-4</v>
      </c>
      <c r="R1678">
        <v>1.4305115846555512E-3</v>
      </c>
      <c r="S1678">
        <v>0.1094070481710987</v>
      </c>
      <c r="T1678">
        <v>0.99926360235633527</v>
      </c>
      <c r="U1678">
        <v>0</v>
      </c>
      <c r="V1678">
        <v>0.20582878955094264</v>
      </c>
      <c r="W1678">
        <v>8.3017641584875942E-2</v>
      </c>
      <c r="X1678">
        <v>2.8406091193987543E-2</v>
      </c>
      <c r="Y1678">
        <v>3.8933809654152656E-3</v>
      </c>
    </row>
    <row r="1679" spans="1:25" x14ac:dyDescent="0.25">
      <c r="A1679" s="1095"/>
      <c r="B1679" s="1454">
        <v>1429</v>
      </c>
      <c r="C1679" s="1099">
        <v>1.0005706128254697</v>
      </c>
      <c r="D1679" s="1099">
        <v>1.0001145456058096</v>
      </c>
      <c r="E1679" s="1099">
        <v>1.0022281107309021</v>
      </c>
      <c r="F1679" s="1099">
        <v>1.0063526871007635</v>
      </c>
      <c r="G1679" s="1099">
        <v>1.0157355685725278</v>
      </c>
      <c r="H1679" s="1099">
        <v>1.0218669342462308</v>
      </c>
      <c r="I1679" s="1099">
        <v>1.0265762084089365</v>
      </c>
      <c r="K1679">
        <v>1.7558455203558938</v>
      </c>
      <c r="L1679">
        <v>0</v>
      </c>
      <c r="M1679">
        <v>1.398776876044008E-3</v>
      </c>
      <c r="N1679">
        <v>0.12954721319007689</v>
      </c>
      <c r="O1679">
        <v>0.12794955862996013</v>
      </c>
      <c r="P1679">
        <v>1.8584545516179607E-2</v>
      </c>
      <c r="Q1679">
        <v>9.0031830315210758E-4</v>
      </c>
      <c r="R1679">
        <v>1.3952483923783826E-3</v>
      </c>
      <c r="S1679">
        <v>0.1123824174290087</v>
      </c>
      <c r="T1679">
        <v>1.0375386245545977</v>
      </c>
      <c r="U1679">
        <v>0</v>
      </c>
      <c r="V1679">
        <v>0.21024810884559156</v>
      </c>
      <c r="W1679">
        <v>8.4991186034094446E-2</v>
      </c>
      <c r="X1679">
        <v>2.9909670156350349E-2</v>
      </c>
      <c r="Y1679">
        <v>3.7974061805450244E-3</v>
      </c>
    </row>
    <row r="1680" spans="1:25" x14ac:dyDescent="0.25">
      <c r="A1680" s="1095"/>
      <c r="B1680" s="1454">
        <v>1430</v>
      </c>
      <c r="C1680" s="1099">
        <v>0.9992847352666856</v>
      </c>
      <c r="D1680" s="1099">
        <v>0.98183899455067636</v>
      </c>
      <c r="E1680" s="1099">
        <v>0.97978295066127741</v>
      </c>
      <c r="F1680" s="1099">
        <v>1.0289982377107851</v>
      </c>
      <c r="G1680" s="1099">
        <v>0.97160694426906646</v>
      </c>
      <c r="H1680" s="1099">
        <v>1.0139865968548829</v>
      </c>
      <c r="I1680" s="1099">
        <v>0.98641826467284144</v>
      </c>
      <c r="K1680">
        <v>1.776342349726812</v>
      </c>
      <c r="L1680">
        <v>0</v>
      </c>
      <c r="M1680">
        <v>1.4745296862523375E-3</v>
      </c>
      <c r="N1680">
        <v>0.12760297190353986</v>
      </c>
      <c r="O1680">
        <v>0.13049952159463596</v>
      </c>
      <c r="P1680">
        <v>1.8545000043218341E-2</v>
      </c>
      <c r="Q1680">
        <v>8.8716231202265342E-4</v>
      </c>
      <c r="R1680">
        <v>1.4708011200447969E-3</v>
      </c>
      <c r="S1680">
        <v>0.10890496493606157</v>
      </c>
      <c r="T1680">
        <v>1.0615787082532528</v>
      </c>
      <c r="U1680">
        <v>0</v>
      </c>
      <c r="V1680">
        <v>0.20990106975941936</v>
      </c>
      <c r="W1680">
        <v>8.484799575649439E-2</v>
      </c>
      <c r="X1680">
        <v>2.9575647935069463E-2</v>
      </c>
      <c r="Y1680">
        <v>4.0030357993030216E-3</v>
      </c>
    </row>
    <row r="1681" spans="1:25" x14ac:dyDescent="0.25">
      <c r="A1681" s="1095"/>
      <c r="B1681" s="1454">
        <v>1431</v>
      </c>
      <c r="C1681" s="1099">
        <v>1.0139933873609539</v>
      </c>
      <c r="D1681" s="1099">
        <v>0.98010325881318838</v>
      </c>
      <c r="E1681" s="1099">
        <v>0.97971212469637792</v>
      </c>
      <c r="F1681" s="1099">
        <v>0.98225172290340623</v>
      </c>
      <c r="G1681" s="1099">
        <v>0.99933305206202883</v>
      </c>
      <c r="H1681" s="1099">
        <v>0.99640381073706041</v>
      </c>
      <c r="I1681" s="1099">
        <v>0.9977974104359485</v>
      </c>
      <c r="K1681">
        <v>1.7110000194237089</v>
      </c>
      <c r="L1681">
        <v>0</v>
      </c>
      <c r="M1681">
        <v>1.4255669849424549E-3</v>
      </c>
      <c r="N1681">
        <v>0.12333307907492755</v>
      </c>
      <c r="O1681">
        <v>0.12625936165678123</v>
      </c>
      <c r="P1681">
        <v>1.7843386323663779E-2</v>
      </c>
      <c r="Q1681">
        <v>8.748474968592316E-4</v>
      </c>
      <c r="R1681">
        <v>1.4218893639638699E-3</v>
      </c>
      <c r="S1681">
        <v>0.10725808624020627</v>
      </c>
      <c r="T1681">
        <v>1.0133542005000049</v>
      </c>
      <c r="U1681">
        <v>0</v>
      </c>
      <c r="V1681">
        <v>0.20761515751075946</v>
      </c>
      <c r="W1681">
        <v>8.2012292068715492E-2</v>
      </c>
      <c r="X1681">
        <v>2.8583372049763026E-2</v>
      </c>
      <c r="Y1681">
        <v>3.8699141230067961E-3</v>
      </c>
    </row>
    <row r="1682" spans="1:25" x14ac:dyDescent="0.25">
      <c r="A1682" s="1095"/>
      <c r="B1682" s="1454">
        <v>1432</v>
      </c>
      <c r="C1682" s="1099">
        <v>1.0169191759191365</v>
      </c>
      <c r="D1682" s="1099">
        <v>1.0206295510412957</v>
      </c>
      <c r="E1682" s="1099">
        <v>1.0004481990518539</v>
      </c>
      <c r="F1682" s="1099">
        <v>1.012805613634207</v>
      </c>
      <c r="G1682" s="1099">
        <v>1.0063485332466424</v>
      </c>
      <c r="H1682" s="1099">
        <v>1.0334869345194184</v>
      </c>
      <c r="I1682" s="1099">
        <v>1.0482603528344083</v>
      </c>
      <c r="K1682">
        <v>1.7554793549211558</v>
      </c>
      <c r="L1682">
        <v>0</v>
      </c>
      <c r="M1682">
        <v>1.3829946561284097E-3</v>
      </c>
      <c r="N1682">
        <v>0.12740166399972583</v>
      </c>
      <c r="O1682">
        <v>0.12666519740267365</v>
      </c>
      <c r="P1682">
        <v>1.8624030255379613E-2</v>
      </c>
      <c r="Q1682">
        <v>8.770596731071808E-4</v>
      </c>
      <c r="R1682">
        <v>1.3795382414291089E-3</v>
      </c>
      <c r="S1682">
        <v>0.11246292523789132</v>
      </c>
      <c r="T1682">
        <v>1.0442450384001103</v>
      </c>
      <c r="U1682">
        <v>0</v>
      </c>
      <c r="V1682">
        <v>0.20816157785507824</v>
      </c>
      <c r="W1682">
        <v>8.367194462230472E-2</v>
      </c>
      <c r="X1682">
        <v>2.9618725561071209E-2</v>
      </c>
      <c r="Y1682">
        <v>3.7546483285109686E-3</v>
      </c>
    </row>
    <row r="1683" spans="1:25" x14ac:dyDescent="0.25">
      <c r="A1683" s="1095"/>
      <c r="B1683" s="1454">
        <v>1433</v>
      </c>
      <c r="C1683" s="1099">
        <v>1.0084695058813953</v>
      </c>
      <c r="D1683" s="1099">
        <v>0.98196866217773726</v>
      </c>
      <c r="E1683" s="1099">
        <v>0.9628703933331404</v>
      </c>
      <c r="F1683" s="1099">
        <v>1.0175034979704742</v>
      </c>
      <c r="G1683" s="1099">
        <v>0.95420925937790724</v>
      </c>
      <c r="H1683" s="1099">
        <v>1.0222303773031653</v>
      </c>
      <c r="I1683" s="1099">
        <v>0.95965234804487565</v>
      </c>
      <c r="K1683">
        <v>1.7537189624267302</v>
      </c>
      <c r="L1683">
        <v>0</v>
      </c>
      <c r="M1683">
        <v>1.5248798856424464E-3</v>
      </c>
      <c r="N1683">
        <v>0.12537581353608163</v>
      </c>
      <c r="O1683">
        <v>0.12907295190632403</v>
      </c>
      <c r="P1683">
        <v>1.8080706385294919E-2</v>
      </c>
      <c r="Q1683">
        <v>8.6352226206059721E-4</v>
      </c>
      <c r="R1683">
        <v>1.5210541746385699E-3</v>
      </c>
      <c r="S1683">
        <v>0.1054880215035869</v>
      </c>
      <c r="T1683">
        <v>1.0502463222762923</v>
      </c>
      <c r="U1683">
        <v>0</v>
      </c>
      <c r="V1683">
        <v>0.20763212781387957</v>
      </c>
      <c r="W1683">
        <v>8.4228744487164053E-2</v>
      </c>
      <c r="X1683">
        <v>2.8594769919056674E-2</v>
      </c>
      <c r="Y1683">
        <v>4.1398080479922751E-3</v>
      </c>
    </row>
    <row r="1684" spans="1:25" x14ac:dyDescent="0.25">
      <c r="A1684" s="1095"/>
      <c r="B1684" s="1454">
        <v>1434</v>
      </c>
      <c r="C1684" s="1099">
        <v>0.98816197040394793</v>
      </c>
      <c r="D1684" s="1099">
        <v>1.0390385035564802</v>
      </c>
      <c r="E1684" s="1099">
        <v>1.0018648171386269</v>
      </c>
      <c r="F1684" s="1099">
        <v>1.0128646766063907</v>
      </c>
      <c r="G1684" s="1099">
        <v>1.0401818149583579</v>
      </c>
      <c r="H1684" s="1099">
        <v>1.0301913720352358</v>
      </c>
      <c r="I1684" s="1099">
        <v>1.0179977367458528</v>
      </c>
      <c r="K1684">
        <v>1.7611859088611412</v>
      </c>
      <c r="L1684">
        <v>0</v>
      </c>
      <c r="M1684">
        <v>1.396498994808118E-3</v>
      </c>
      <c r="N1684">
        <v>0.12919452314458757</v>
      </c>
      <c r="O1684">
        <v>0.12733300877585346</v>
      </c>
      <c r="P1684">
        <v>1.8668849683423375E-2</v>
      </c>
      <c r="Q1684">
        <v>8.9746913665417194E-4</v>
      </c>
      <c r="R1684">
        <v>1.3929777003764592E-3</v>
      </c>
      <c r="S1684">
        <v>0.11076428942736195</v>
      </c>
      <c r="T1684">
        <v>1.0442633307151401</v>
      </c>
      <c r="U1684">
        <v>0</v>
      </c>
      <c r="V1684">
        <v>0.21168234543548606</v>
      </c>
      <c r="W1684">
        <v>8.4778072921368575E-2</v>
      </c>
      <c r="X1684">
        <v>2.9816314810245641E-2</v>
      </c>
      <c r="Y1684">
        <v>3.7912261054492049E-3</v>
      </c>
    </row>
    <row r="1685" spans="1:25" x14ac:dyDescent="0.25">
      <c r="A1685" s="1095"/>
      <c r="B1685" s="1454">
        <v>1435</v>
      </c>
      <c r="C1685" s="1099">
        <v>1.0053704466451345</v>
      </c>
      <c r="D1685" s="1099">
        <v>0.98700658772239458</v>
      </c>
      <c r="E1685" s="1099">
        <v>1.004054427997793</v>
      </c>
      <c r="F1685" s="1099">
        <v>0.97996146597959211</v>
      </c>
      <c r="G1685" s="1099">
        <v>0.96202890670359409</v>
      </c>
      <c r="H1685" s="1099">
        <v>1.0007726466115154</v>
      </c>
      <c r="I1685" s="1099">
        <v>0.97746389448209536</v>
      </c>
      <c r="K1685">
        <v>1.7114244645111796</v>
      </c>
      <c r="L1685">
        <v>0</v>
      </c>
      <c r="M1685">
        <v>1.3661546514592473E-3</v>
      </c>
      <c r="N1685">
        <v>0.12721921907361311</v>
      </c>
      <c r="O1685">
        <v>0.12630133800707019</v>
      </c>
      <c r="P1685">
        <v>1.8092146905379684E-2</v>
      </c>
      <c r="Q1685">
        <v>9.0246540307390994E-4</v>
      </c>
      <c r="R1685">
        <v>1.3626377875698319E-3</v>
      </c>
      <c r="S1685">
        <v>0.10579200148040743</v>
      </c>
      <c r="T1685">
        <v>1.0102765282733355</v>
      </c>
      <c r="U1685">
        <v>0</v>
      </c>
      <c r="V1685">
        <v>0.20626603794313131</v>
      </c>
      <c r="W1685">
        <v>8.3373550569666777E-2</v>
      </c>
      <c r="X1685">
        <v>2.949604285505222E-2</v>
      </c>
      <c r="Y1685">
        <v>3.7086508643391332E-3</v>
      </c>
    </row>
    <row r="1686" spans="1:25" x14ac:dyDescent="0.25">
      <c r="A1686" s="1095"/>
      <c r="B1686" s="1454">
        <v>1436</v>
      </c>
      <c r="C1686" s="1099">
        <v>0.98648608065838861</v>
      </c>
      <c r="D1686" s="1099">
        <v>0.98994124512811321</v>
      </c>
      <c r="E1686" s="1099">
        <v>0.98632582267453717</v>
      </c>
      <c r="F1686" s="1099">
        <v>0.9796920004529388</v>
      </c>
      <c r="G1686" s="1099">
        <v>1.0426189976935571</v>
      </c>
      <c r="H1686" s="1099">
        <v>1.0001052918786892</v>
      </c>
      <c r="I1686" s="1099">
        <v>1.0085753987741048</v>
      </c>
      <c r="K1686">
        <v>1.7229072165030319</v>
      </c>
      <c r="L1686">
        <v>0</v>
      </c>
      <c r="M1686">
        <v>1.4385732541033079E-3</v>
      </c>
      <c r="N1686">
        <v>0.12697310606431103</v>
      </c>
      <c r="O1686">
        <v>0.12704659326421075</v>
      </c>
      <c r="P1686">
        <v>1.7997200515466966E-2</v>
      </c>
      <c r="Q1686">
        <v>9.0187555544214075E-4</v>
      </c>
      <c r="R1686">
        <v>1.43485932204395E-3</v>
      </c>
      <c r="S1686">
        <v>0.11084764378001184</v>
      </c>
      <c r="T1686">
        <v>1.0105175310411096</v>
      </c>
      <c r="U1686">
        <v>0</v>
      </c>
      <c r="V1686">
        <v>0.21161352604430686</v>
      </c>
      <c r="W1686">
        <v>8.4097077462586475E-2</v>
      </c>
      <c r="X1686">
        <v>2.9011162634291654E-2</v>
      </c>
      <c r="Y1686">
        <v>3.9052140733552426E-3</v>
      </c>
    </row>
    <row r="1687" spans="1:25" x14ac:dyDescent="0.25">
      <c r="A1687" s="1095"/>
      <c r="B1687" s="1454">
        <v>1437</v>
      </c>
      <c r="C1687" s="1099">
        <v>1.0086721655148674</v>
      </c>
      <c r="D1687" s="1099">
        <v>0.97916765718218257</v>
      </c>
      <c r="E1687" s="1099">
        <v>0.97883968163638169</v>
      </c>
      <c r="F1687" s="1099">
        <v>0.98666294982452252</v>
      </c>
      <c r="G1687" s="1099">
        <v>0.98610505911290547</v>
      </c>
      <c r="H1687" s="1099">
        <v>0.99468920524187099</v>
      </c>
      <c r="I1687" s="1099">
        <v>1.0296444668997173</v>
      </c>
      <c r="K1687">
        <v>1.7211895770148029</v>
      </c>
      <c r="L1687">
        <v>0</v>
      </c>
      <c r="M1687">
        <v>1.4339419806527879E-3</v>
      </c>
      <c r="N1687">
        <v>0.1237300710333733</v>
      </c>
      <c r="O1687">
        <v>0.12691018489713363</v>
      </c>
      <c r="P1687">
        <v>1.7946789972577142E-2</v>
      </c>
      <c r="Q1687">
        <v>8.7899444992563117E-4</v>
      </c>
      <c r="R1687">
        <v>1.4302368685625486E-3</v>
      </c>
      <c r="S1687">
        <v>0.11120235786009557</v>
      </c>
      <c r="T1687">
        <v>1.0179312282035757</v>
      </c>
      <c r="U1687">
        <v>0</v>
      </c>
      <c r="V1687">
        <v>0.20767590868815991</v>
      </c>
      <c r="W1687">
        <v>8.2319657769472254E-2</v>
      </c>
      <c r="X1687">
        <v>2.870545597380867E-2</v>
      </c>
      <c r="Y1687">
        <v>3.8926332787702481E-3</v>
      </c>
    </row>
    <row r="1688" spans="1:25" x14ac:dyDescent="0.25">
      <c r="A1688" s="1095"/>
      <c r="B1688" s="1454">
        <v>1438</v>
      </c>
      <c r="C1688" s="1099">
        <v>0.99847277672085688</v>
      </c>
      <c r="D1688" s="1099">
        <v>1.0007211464765242</v>
      </c>
      <c r="E1688" s="1099">
        <v>0.96325274304861419</v>
      </c>
      <c r="F1688" s="1099">
        <v>1.0017699866063552</v>
      </c>
      <c r="G1688" s="1099">
        <v>1.0007806570748905</v>
      </c>
      <c r="H1688" s="1099">
        <v>1.0151183878406158</v>
      </c>
      <c r="I1688" s="1099">
        <v>0.98784276989105402</v>
      </c>
      <c r="K1688">
        <v>1.7372746425272578</v>
      </c>
      <c r="L1688">
        <v>0</v>
      </c>
      <c r="M1688">
        <v>1.5079828449648593E-3</v>
      </c>
      <c r="N1688">
        <v>0.12412622790996837</v>
      </c>
      <c r="O1688">
        <v>0.12752670349407191</v>
      </c>
      <c r="P1688">
        <v>1.7923145683722271E-2</v>
      </c>
      <c r="Q1688">
        <v>8.6594339474296768E-4</v>
      </c>
      <c r="R1688">
        <v>1.5041509808411506E-3</v>
      </c>
      <c r="S1688">
        <v>0.10775477701495242</v>
      </c>
      <c r="T1688">
        <v>1.0339947038676118</v>
      </c>
      <c r="U1688">
        <v>0</v>
      </c>
      <c r="V1688">
        <v>0.20933365136388457</v>
      </c>
      <c r="W1688">
        <v>8.3369749581210545E-2</v>
      </c>
      <c r="X1688">
        <v>2.8289768954602799E-2</v>
      </c>
      <c r="Y1688">
        <v>4.0938031266120386E-3</v>
      </c>
    </row>
    <row r="1689" spans="1:25" x14ac:dyDescent="0.25">
      <c r="A1689" s="1095"/>
      <c r="B1689" s="1454">
        <v>1439</v>
      </c>
      <c r="C1689" s="1099">
        <v>1.0040365557542485</v>
      </c>
      <c r="D1689" s="1099">
        <v>1.0288240064410421</v>
      </c>
      <c r="E1689" s="1099">
        <v>1.0191871289421337</v>
      </c>
      <c r="F1689" s="1099">
        <v>1.0230207053837115</v>
      </c>
      <c r="G1689" s="1099">
        <v>1.0075767263895963</v>
      </c>
      <c r="H1689" s="1099">
        <v>1.0115237397236765</v>
      </c>
      <c r="I1689" s="1099">
        <v>1.0109145982451648</v>
      </c>
      <c r="K1689">
        <v>1.764413981470925</v>
      </c>
      <c r="L1689">
        <v>0</v>
      </c>
      <c r="M1689">
        <v>1.3121614172381189E-3</v>
      </c>
      <c r="N1689">
        <v>0.1279045248870038</v>
      </c>
      <c r="O1689">
        <v>0.12778950773990655</v>
      </c>
      <c r="P1689">
        <v>1.8977559122284493E-2</v>
      </c>
      <c r="Q1689">
        <v>9.0275666922380647E-4</v>
      </c>
      <c r="R1689">
        <v>1.308805069778817E-3</v>
      </c>
      <c r="S1689">
        <v>0.1078022845592489</v>
      </c>
      <c r="T1689">
        <v>1.0542129417559001</v>
      </c>
      <c r="U1689">
        <v>0</v>
      </c>
      <c r="V1689">
        <v>0.20962699179357033</v>
      </c>
      <c r="W1689">
        <v>8.3078953310342485E-2</v>
      </c>
      <c r="X1689">
        <v>3.0559682028438312E-2</v>
      </c>
      <c r="Y1689">
        <v>3.5621359524626406E-3</v>
      </c>
    </row>
    <row r="1690" spans="1:25" x14ac:dyDescent="0.25">
      <c r="A1690" s="1095"/>
      <c r="B1690" s="1454">
        <v>1440</v>
      </c>
      <c r="C1690" s="1099">
        <v>1.0019173984098402</v>
      </c>
      <c r="D1690" s="1099">
        <v>1.0421828345882325</v>
      </c>
      <c r="E1690" s="1099">
        <v>1.0317687123145145</v>
      </c>
      <c r="F1690" s="1099">
        <v>1.024352435210991</v>
      </c>
      <c r="G1690" s="1099">
        <v>0.98605728986321117</v>
      </c>
      <c r="H1690" s="1099">
        <v>1.0068105151668363</v>
      </c>
      <c r="I1690" s="1099">
        <v>1.0160193761756939</v>
      </c>
      <c r="K1690">
        <v>1.763689278740598</v>
      </c>
      <c r="L1690">
        <v>0</v>
      </c>
      <c r="M1690">
        <v>1.2651778876855415E-3</v>
      </c>
      <c r="N1690">
        <v>0.12809128983663989</v>
      </c>
      <c r="O1690">
        <v>0.12745198401130362</v>
      </c>
      <c r="P1690">
        <v>1.9144845512443824E-2</v>
      </c>
      <c r="Q1690">
        <v>9.1166714316719306E-4</v>
      </c>
      <c r="R1690">
        <v>1.2619182819616802E-3</v>
      </c>
      <c r="S1690">
        <v>0.10740214878971459</v>
      </c>
      <c r="T1690">
        <v>1.0552118892457361</v>
      </c>
      <c r="U1690">
        <v>0</v>
      </c>
      <c r="V1690">
        <v>0.20848179380692033</v>
      </c>
      <c r="W1690">
        <v>8.2592692886323676E-2</v>
      </c>
      <c r="X1690">
        <v>3.09697015418205E-2</v>
      </c>
      <c r="Y1690">
        <v>3.4345255722498451E-3</v>
      </c>
    </row>
    <row r="1691" spans="1:25" x14ac:dyDescent="0.25">
      <c r="A1691" s="1095"/>
      <c r="B1691" s="1454">
        <v>1441</v>
      </c>
      <c r="C1691" s="1099">
        <v>0.9944273470370556</v>
      </c>
      <c r="D1691" s="1099">
        <v>0.99765923808334145</v>
      </c>
      <c r="E1691" s="1099">
        <v>0.97544192400421958</v>
      </c>
      <c r="F1691" s="1099">
        <v>0.9900888439371095</v>
      </c>
      <c r="G1691" s="1099">
        <v>1.0187589794847423</v>
      </c>
      <c r="H1691" s="1099">
        <v>1.0022900584386483</v>
      </c>
      <c r="I1691" s="1099">
        <v>0.98106828903402121</v>
      </c>
      <c r="K1691">
        <v>1.7243420421999445</v>
      </c>
      <c r="L1691">
        <v>0</v>
      </c>
      <c r="M1691">
        <v>1.458481418153965E-3</v>
      </c>
      <c r="N1691">
        <v>0.12456111827932699</v>
      </c>
      <c r="O1691">
        <v>0.12703937599012813</v>
      </c>
      <c r="P1691">
        <v>1.7920736744788991E-2</v>
      </c>
      <c r="Q1691">
        <v>8.8178823537290139E-4</v>
      </c>
      <c r="R1691">
        <v>1.4547249635394161E-3</v>
      </c>
      <c r="S1691">
        <v>0.10669644555474209</v>
      </c>
      <c r="T1691">
        <v>1.0215679919740639</v>
      </c>
      <c r="U1691">
        <v>0</v>
      </c>
      <c r="V1691">
        <v>0.21006458826975954</v>
      </c>
      <c r="W1691">
        <v>8.3043153606317088E-2</v>
      </c>
      <c r="X1691">
        <v>2.8611318199260789E-2</v>
      </c>
      <c r="Y1691">
        <v>3.9592818007989422E-3</v>
      </c>
    </row>
    <row r="1692" spans="1:25" x14ac:dyDescent="0.25">
      <c r="A1692" s="1095"/>
      <c r="B1692" s="1454">
        <v>1442</v>
      </c>
      <c r="C1692" s="1099">
        <v>0.97785785077089427</v>
      </c>
      <c r="D1692" s="1099">
        <v>1.0203375441597928</v>
      </c>
      <c r="E1692" s="1099">
        <v>0.98679128170723795</v>
      </c>
      <c r="F1692" s="1099">
        <v>1.0344483149450256</v>
      </c>
      <c r="G1692" s="1099">
        <v>1.0325909894261072</v>
      </c>
      <c r="H1692" s="1099">
        <v>1.0128059904026805</v>
      </c>
      <c r="I1692" s="1099">
        <v>0.99868906401292279</v>
      </c>
      <c r="K1692">
        <v>1.7871894796011498</v>
      </c>
      <c r="L1692">
        <v>0</v>
      </c>
      <c r="M1692">
        <v>1.4481954021862162E-3</v>
      </c>
      <c r="N1692">
        <v>0.12800604823311221</v>
      </c>
      <c r="O1692">
        <v>0.13027978803821549</v>
      </c>
      <c r="P1692">
        <v>1.8782707568107723E-2</v>
      </c>
      <c r="Q1692">
        <v>8.9933017790463769E-4</v>
      </c>
      <c r="R1692">
        <v>1.4444973164185438E-3</v>
      </c>
      <c r="S1692">
        <v>0.1098611656527714</v>
      </c>
      <c r="T1692">
        <v>1.0669822199438996</v>
      </c>
      <c r="U1692">
        <v>0</v>
      </c>
      <c r="V1692">
        <v>0.21383312666384852</v>
      </c>
      <c r="W1692">
        <v>8.4757516348643022E-2</v>
      </c>
      <c r="X1692">
        <v>2.9859829543537397E-2</v>
      </c>
      <c r="Y1692">
        <v>3.9314455168788943E-3</v>
      </c>
    </row>
    <row r="1693" spans="1:25" x14ac:dyDescent="0.25">
      <c r="A1693" s="1095"/>
      <c r="B1693" s="1454">
        <v>1443</v>
      </c>
      <c r="C1693" s="1099">
        <v>1.017523107986815</v>
      </c>
      <c r="D1693" s="1099">
        <v>0.97770848482472905</v>
      </c>
      <c r="E1693" s="1099">
        <v>0.95433585996472015</v>
      </c>
      <c r="F1693" s="1099">
        <v>0.99806207321280427</v>
      </c>
      <c r="G1693" s="1099">
        <v>1.0286775833662973</v>
      </c>
      <c r="H1693" s="1099">
        <v>0.96436068139180364</v>
      </c>
      <c r="I1693" s="1099">
        <v>0.9938183715884148</v>
      </c>
      <c r="K1693">
        <v>1.7172471299510494</v>
      </c>
      <c r="L1693">
        <v>0</v>
      </c>
      <c r="M1693">
        <v>1.4534126268992943E-3</v>
      </c>
      <c r="N1693">
        <v>0.11643112198925178</v>
      </c>
      <c r="O1693">
        <v>0.12729843597526147</v>
      </c>
      <c r="P1693">
        <v>1.7712990505155124E-2</v>
      </c>
      <c r="Q1693">
        <v>8.4960727508794423E-4</v>
      </c>
      <c r="R1693">
        <v>1.4495469669373738E-3</v>
      </c>
      <c r="S1693">
        <v>0.1044776617893164</v>
      </c>
      <c r="T1693">
        <v>1.0304430488762386</v>
      </c>
      <c r="U1693">
        <v>0</v>
      </c>
      <c r="V1693">
        <v>0.209574892545803</v>
      </c>
      <c r="W1693">
        <v>7.8630689667445991E-2</v>
      </c>
      <c r="X1693">
        <v>2.7887357986477432E-2</v>
      </c>
      <c r="Y1693">
        <v>3.9451890009743031E-3</v>
      </c>
    </row>
    <row r="1694" spans="1:25" x14ac:dyDescent="0.25">
      <c r="A1694" s="1095"/>
      <c r="B1694" s="1454">
        <v>1444</v>
      </c>
      <c r="C1694" s="1099">
        <v>1.0151160972349147</v>
      </c>
      <c r="D1694" s="1099">
        <v>0.97808606851617008</v>
      </c>
      <c r="E1694" s="1099">
        <v>0.9971511599657783</v>
      </c>
      <c r="F1694" s="1099">
        <v>1.0109884649087848</v>
      </c>
      <c r="G1694" s="1099">
        <v>0.99891606727643956</v>
      </c>
      <c r="H1694" s="1099">
        <v>0.99264850565396712</v>
      </c>
      <c r="I1694" s="1099">
        <v>0.98332891462967464</v>
      </c>
      <c r="K1694">
        <v>1.7464008228572092</v>
      </c>
      <c r="L1694">
        <v>0</v>
      </c>
      <c r="M1694">
        <v>1.3735884310766124E-3</v>
      </c>
      <c r="N1694">
        <v>0.1252705243810851</v>
      </c>
      <c r="O1694">
        <v>0.12856188035118324</v>
      </c>
      <c r="P1694">
        <v>1.847468805048421E-2</v>
      </c>
      <c r="Q1694">
        <v>8.9065755278345746E-4</v>
      </c>
      <c r="R1694">
        <v>1.3700422361189123E-3</v>
      </c>
      <c r="S1694">
        <v>0.10567222535708942</v>
      </c>
      <c r="T1694">
        <v>1.0424706888384552</v>
      </c>
      <c r="U1694">
        <v>0</v>
      </c>
      <c r="V1694">
        <v>0.20912200117991406</v>
      </c>
      <c r="W1694">
        <v>8.2433833997358805E-2</v>
      </c>
      <c r="X1694">
        <v>2.9779066011399437E-2</v>
      </c>
      <c r="Y1694">
        <v>3.7288033324139234E-3</v>
      </c>
    </row>
    <row r="1695" spans="1:25" x14ac:dyDescent="0.25">
      <c r="A1695" s="1095"/>
      <c r="B1695" s="1454">
        <v>1445</v>
      </c>
      <c r="C1695" s="1099">
        <v>0.96091084588275122</v>
      </c>
      <c r="D1695" s="1099">
        <v>1.0085911503826326</v>
      </c>
      <c r="E1695" s="1099">
        <v>1.0153493631994708</v>
      </c>
      <c r="F1695" s="1099">
        <v>1.0383340668762255</v>
      </c>
      <c r="G1695" s="1099">
        <v>0.97451457794340912</v>
      </c>
      <c r="H1695" s="1099">
        <v>1.0438834510879116</v>
      </c>
      <c r="I1695" s="1099">
        <v>1.0254772866579192</v>
      </c>
      <c r="K1695">
        <v>1.8180416748009947</v>
      </c>
      <c r="L1695">
        <v>0</v>
      </c>
      <c r="M1695">
        <v>1.4397859507414609E-3</v>
      </c>
      <c r="N1695">
        <v>0.13874060196634155</v>
      </c>
      <c r="O1695">
        <v>0.13216436259378728</v>
      </c>
      <c r="P1695">
        <v>1.9331873240215625E-2</v>
      </c>
      <c r="Q1695">
        <v>9.4705507048909235E-4</v>
      </c>
      <c r="R1695">
        <v>1.436222668934634E-3</v>
      </c>
      <c r="S1695">
        <v>0.11789783908720938</v>
      </c>
      <c r="T1695">
        <v>1.0701096285657108</v>
      </c>
      <c r="U1695">
        <v>0</v>
      </c>
      <c r="V1695">
        <v>0.21318395056841885</v>
      </c>
      <c r="W1695">
        <v>9.0320409868670501E-2</v>
      </c>
      <c r="X1695">
        <v>3.1440592467793828E-2</v>
      </c>
      <c r="Y1695">
        <v>3.9089246541645023E-3</v>
      </c>
    </row>
    <row r="1696" spans="1:25" x14ac:dyDescent="0.25">
      <c r="A1696" s="1095"/>
      <c r="B1696" s="1454">
        <v>1446</v>
      </c>
      <c r="C1696" s="1099">
        <v>0.98242781693640047</v>
      </c>
      <c r="D1696" s="1099">
        <v>1.0115629006714058</v>
      </c>
      <c r="E1696" s="1099">
        <v>1.0002125818765324</v>
      </c>
      <c r="F1696" s="1099">
        <v>1.0225144940649415</v>
      </c>
      <c r="G1696" s="1099">
        <v>1.0363442975127275</v>
      </c>
      <c r="H1696" s="1099">
        <v>0.97592934544948717</v>
      </c>
      <c r="I1696" s="1099">
        <v>0.98223474113812359</v>
      </c>
      <c r="K1696">
        <v>1.7631093969851703</v>
      </c>
      <c r="L1696">
        <v>0</v>
      </c>
      <c r="M1696">
        <v>1.3569554335962275E-3</v>
      </c>
      <c r="N1696">
        <v>0.12489543058228963</v>
      </c>
      <c r="O1696">
        <v>0.1295958917043224</v>
      </c>
      <c r="P1696">
        <v>1.8733083601546564E-2</v>
      </c>
      <c r="Q1696">
        <v>9.108753561412749E-4</v>
      </c>
      <c r="R1696">
        <v>1.3533631220298912E-3</v>
      </c>
      <c r="S1696">
        <v>0.10554508256988271</v>
      </c>
      <c r="T1696">
        <v>1.0542624605640953</v>
      </c>
      <c r="U1696">
        <v>0</v>
      </c>
      <c r="V1696">
        <v>0.21329753564570741</v>
      </c>
      <c r="W1696">
        <v>8.2037442640161398E-2</v>
      </c>
      <c r="X1696">
        <v>3.0151778350457077E-2</v>
      </c>
      <c r="Y1696">
        <v>3.6834082821320885E-3</v>
      </c>
    </row>
    <row r="1697" spans="1:25" x14ac:dyDescent="0.25">
      <c r="A1697" s="1095"/>
      <c r="B1697" s="1454">
        <v>1447</v>
      </c>
      <c r="C1697" s="1099">
        <v>1.0032329713931052</v>
      </c>
      <c r="D1697" s="1099">
        <v>1.0021635581480584</v>
      </c>
      <c r="E1697" s="1099">
        <v>1.0146846973501205</v>
      </c>
      <c r="F1697" s="1099">
        <v>1.005745152782213</v>
      </c>
      <c r="G1697" s="1099">
        <v>1.0026909079054791</v>
      </c>
      <c r="H1697" s="1099">
        <v>0.97171661975234136</v>
      </c>
      <c r="I1697" s="1099">
        <v>1.0076277456577434</v>
      </c>
      <c r="K1697">
        <v>1.7383430690128094</v>
      </c>
      <c r="L1697">
        <v>0</v>
      </c>
      <c r="M1697">
        <v>1.2913769417767413E-3</v>
      </c>
      <c r="N1697">
        <v>0.1241680403238844</v>
      </c>
      <c r="O1697">
        <v>0.12772428212921824</v>
      </c>
      <c r="P1697">
        <v>1.8647787120109182E-2</v>
      </c>
      <c r="Q1697">
        <v>9.0880403382709676E-4</v>
      </c>
      <c r="R1697">
        <v>1.2879505088046451E-3</v>
      </c>
      <c r="S1697">
        <v>0.10639216520294091</v>
      </c>
      <c r="T1697">
        <v>1.0365429879272214</v>
      </c>
      <c r="U1697">
        <v>0</v>
      </c>
      <c r="V1697">
        <v>0.20933690158440196</v>
      </c>
      <c r="W1697">
        <v>8.0865206021074207E-2</v>
      </c>
      <c r="X1697">
        <v>3.0254944390906723E-2</v>
      </c>
      <c r="Y1697">
        <v>3.5053767121951229E-3</v>
      </c>
    </row>
    <row r="1698" spans="1:25" x14ac:dyDescent="0.25">
      <c r="A1698" s="1095"/>
      <c r="B1698" s="1454">
        <v>1448</v>
      </c>
      <c r="C1698" s="1099">
        <v>0.97996510315295671</v>
      </c>
      <c r="D1698" s="1099">
        <v>0.9561583118328727</v>
      </c>
      <c r="E1698" s="1099">
        <v>1.0173446735764651</v>
      </c>
      <c r="F1698" s="1099">
        <v>0.96878577006293709</v>
      </c>
      <c r="G1698" s="1099">
        <v>0.97967913705065701</v>
      </c>
      <c r="H1698" s="1099">
        <v>0.98176500077675977</v>
      </c>
      <c r="I1698" s="1099">
        <v>1.026189430539397</v>
      </c>
      <c r="K1698">
        <v>1.7214157074583334</v>
      </c>
      <c r="L1698">
        <v>0</v>
      </c>
      <c r="M1698">
        <v>1.3581277015821626E-3</v>
      </c>
      <c r="N1698">
        <v>0.13164341364001395</v>
      </c>
      <c r="O1698">
        <v>0.12824865756266554</v>
      </c>
      <c r="P1698">
        <v>1.8274791202604144E-2</v>
      </c>
      <c r="Q1698">
        <v>9.5063222032472957E-4</v>
      </c>
      <c r="R1698">
        <v>1.3545730684305425E-3</v>
      </c>
      <c r="S1698">
        <v>0.11455215242092168</v>
      </c>
      <c r="T1698">
        <v>0.99837645884112025</v>
      </c>
      <c r="U1698">
        <v>0</v>
      </c>
      <c r="V1698">
        <v>0.20969661482641849</v>
      </c>
      <c r="W1698">
        <v>8.5599853760470954E-2</v>
      </c>
      <c r="X1698">
        <v>3.0389986259570078E-2</v>
      </c>
      <c r="Y1698">
        <v>3.6867013573759384E-3</v>
      </c>
    </row>
    <row r="1699" spans="1:25" x14ac:dyDescent="0.25">
      <c r="A1699" s="1095"/>
      <c r="B1699" s="1454">
        <v>1449</v>
      </c>
      <c r="C1699" s="1099">
        <v>1.0166618591165129</v>
      </c>
      <c r="D1699" s="1099">
        <v>0.96840114512001552</v>
      </c>
      <c r="E1699" s="1099">
        <v>1.0190187488998081</v>
      </c>
      <c r="F1699" s="1099">
        <v>1.0051581402263772</v>
      </c>
      <c r="G1699" s="1099">
        <v>0.98997536649747631</v>
      </c>
      <c r="H1699" s="1099">
        <v>1.000499034400538</v>
      </c>
      <c r="I1699" s="1099">
        <v>0.997211399465883</v>
      </c>
      <c r="K1699">
        <v>1.7485526881510782</v>
      </c>
      <c r="L1699">
        <v>0</v>
      </c>
      <c r="M1699">
        <v>1.3282391876702753E-3</v>
      </c>
      <c r="N1699">
        <v>0.1294060080539258</v>
      </c>
      <c r="O1699">
        <v>0.12858350198788043</v>
      </c>
      <c r="P1699">
        <v>1.8712540860602839E-2</v>
      </c>
      <c r="Q1699">
        <v>9.132358790422449E-4</v>
      </c>
      <c r="R1699">
        <v>1.3248421031108611E-3</v>
      </c>
      <c r="S1699">
        <v>0.10822306051038906</v>
      </c>
      <c r="T1699">
        <v>1.0358106764395461</v>
      </c>
      <c r="U1699">
        <v>0</v>
      </c>
      <c r="V1699">
        <v>0.20861859586187967</v>
      </c>
      <c r="W1699">
        <v>8.406251144384988E-2</v>
      </c>
      <c r="X1699">
        <v>3.0620170727936991E-2</v>
      </c>
      <c r="Y1699">
        <v>3.6057834705858494E-3</v>
      </c>
    </row>
    <row r="1700" spans="1:25" x14ac:dyDescent="0.25">
      <c r="A1700" s="1095"/>
      <c r="B1700" s="1454">
        <v>1450</v>
      </c>
      <c r="C1700" s="1099">
        <v>1.0155432279085548</v>
      </c>
      <c r="D1700" s="1099">
        <v>1.0474462474286235</v>
      </c>
      <c r="E1700" s="1099">
        <v>0.99609192439425054</v>
      </c>
      <c r="F1700" s="1099">
        <v>0.99062630585492117</v>
      </c>
      <c r="G1700" s="1099">
        <v>0.95578836040777149</v>
      </c>
      <c r="H1700" s="1099">
        <v>1.0348504975714508</v>
      </c>
      <c r="I1700" s="1099">
        <v>0.99399083969980784</v>
      </c>
      <c r="K1700">
        <v>1.7131965583083675</v>
      </c>
      <c r="L1700">
        <v>0</v>
      </c>
      <c r="M1700">
        <v>1.3753141265386028E-3</v>
      </c>
      <c r="N1700">
        <v>0.12503564205605391</v>
      </c>
      <c r="O1700">
        <v>0.12389140779798102</v>
      </c>
      <c r="P1700">
        <v>1.8095390573569056E-2</v>
      </c>
      <c r="Q1700">
        <v>8.6526348357548338E-4</v>
      </c>
      <c r="R1700">
        <v>1.3718576647452911E-3</v>
      </c>
      <c r="S1700">
        <v>0.105035704893658</v>
      </c>
      <c r="T1700">
        <v>1.0215057494986177</v>
      </c>
      <c r="U1700">
        <v>0</v>
      </c>
      <c r="V1700">
        <v>0.20391163260271022</v>
      </c>
      <c r="W1700">
        <v>8.2331224335380079E-2</v>
      </c>
      <c r="X1700">
        <v>2.8794255197936203E-2</v>
      </c>
      <c r="Y1700">
        <v>3.7337443306790391E-3</v>
      </c>
    </row>
    <row r="1701" spans="1:25" x14ac:dyDescent="0.25">
      <c r="A1701" s="1095"/>
      <c r="B1701" s="1454">
        <v>1451</v>
      </c>
      <c r="C1701" s="1099">
        <v>0.97275049067244534</v>
      </c>
      <c r="D1701" s="1099">
        <v>1.0089584212772305</v>
      </c>
      <c r="E1701" s="1099">
        <v>1.0073032040825687</v>
      </c>
      <c r="F1701" s="1099">
        <v>1.0354049304203601</v>
      </c>
      <c r="G1701" s="1099">
        <v>0.98649046499733228</v>
      </c>
      <c r="H1701" s="1099">
        <v>1.0062077376261871</v>
      </c>
      <c r="I1701" s="1099">
        <v>1.0134129023594791</v>
      </c>
      <c r="K1701">
        <v>1.7950800562600646</v>
      </c>
      <c r="L1701">
        <v>0</v>
      </c>
      <c r="M1701">
        <v>1.3948078652910333E-3</v>
      </c>
      <c r="N1701">
        <v>0.13116920671081705</v>
      </c>
      <c r="O1701">
        <v>0.13123792938799789</v>
      </c>
      <c r="P1701">
        <v>1.9094301700482777E-2</v>
      </c>
      <c r="Q1701">
        <v>9.2766755923312917E-4</v>
      </c>
      <c r="R1701">
        <v>1.3912291292442012E-3</v>
      </c>
      <c r="S1701">
        <v>0.11237922955768995</v>
      </c>
      <c r="T1701">
        <v>1.0673357062814941</v>
      </c>
      <c r="U1701">
        <v>0</v>
      </c>
      <c r="V1701">
        <v>0.21250708445297636</v>
      </c>
      <c r="W1701">
        <v>8.5797105299203369E-2</v>
      </c>
      <c r="X1701">
        <v>3.0848936974972475E-2</v>
      </c>
      <c r="Y1701">
        <v>3.7864670712435176E-3</v>
      </c>
    </row>
    <row r="1702" spans="1:25" x14ac:dyDescent="0.25">
      <c r="A1702" s="1095"/>
      <c r="B1702" s="1454">
        <v>1452</v>
      </c>
      <c r="C1702" s="1099">
        <v>0.96751972489990568</v>
      </c>
      <c r="D1702" s="1099">
        <v>1.0000331693311255</v>
      </c>
      <c r="E1702" s="1099">
        <v>0.98721651756950857</v>
      </c>
      <c r="F1702" s="1099">
        <v>0.98660130230865573</v>
      </c>
      <c r="G1702" s="1099">
        <v>0.97748923220768125</v>
      </c>
      <c r="H1702" s="1099">
        <v>1.0131199945306379</v>
      </c>
      <c r="I1702" s="1099">
        <v>0.98810959067353743</v>
      </c>
      <c r="K1702">
        <v>1.7357310481655301</v>
      </c>
      <c r="L1702">
        <v>0</v>
      </c>
      <c r="M1702">
        <v>1.4728122921107778E-3</v>
      </c>
      <c r="N1702">
        <v>0.13034914064945646</v>
      </c>
      <c r="O1702">
        <v>0.12812167297470245</v>
      </c>
      <c r="P1702">
        <v>1.8086559636450995E-2</v>
      </c>
      <c r="Q1702">
        <v>9.1668401464616771E-4</v>
      </c>
      <c r="R1702">
        <v>1.4690478349054556E-3</v>
      </c>
      <c r="S1702">
        <v>0.11089034069237776</v>
      </c>
      <c r="T1702">
        <v>1.0176177612282129</v>
      </c>
      <c r="U1702">
        <v>0</v>
      </c>
      <c r="V1702">
        <v>0.21018997634006742</v>
      </c>
      <c r="W1702">
        <v>8.6286928179220582E-2</v>
      </c>
      <c r="X1702">
        <v>2.9277484972475204E-2</v>
      </c>
      <c r="Y1702">
        <v>3.9982639351240261E-3</v>
      </c>
    </row>
    <row r="1703" spans="1:25" x14ac:dyDescent="0.25">
      <c r="A1703" s="1095"/>
      <c r="B1703" s="1454">
        <v>1453</v>
      </c>
      <c r="C1703" s="1099">
        <v>0.97508965954661353</v>
      </c>
      <c r="D1703" s="1099">
        <v>0.98057695670788758</v>
      </c>
      <c r="E1703" s="1099">
        <v>0.97559443863937112</v>
      </c>
      <c r="F1703" s="1099">
        <v>0.98630091015223365</v>
      </c>
      <c r="G1703" s="1099">
        <v>1.0066296153773766</v>
      </c>
      <c r="H1703" s="1099">
        <v>1.017435589955376</v>
      </c>
      <c r="I1703" s="1099">
        <v>0.98744965623425951</v>
      </c>
      <c r="K1703">
        <v>1.7379019040273676</v>
      </c>
      <c r="L1703">
        <v>0</v>
      </c>
      <c r="M1703">
        <v>1.5216648251355851E-3</v>
      </c>
      <c r="N1703">
        <v>0.13002266743463642</v>
      </c>
      <c r="O1703">
        <v>0.12854953796924476</v>
      </c>
      <c r="P1703">
        <v>1.7955366851361652E-2</v>
      </c>
      <c r="Q1703">
        <v>9.0565461617584471E-4</v>
      </c>
      <c r="R1703">
        <v>1.5178085322769556E-3</v>
      </c>
      <c r="S1703">
        <v>0.11162655319959934</v>
      </c>
      <c r="T1703">
        <v>1.01765504195373</v>
      </c>
      <c r="U1703">
        <v>0</v>
      </c>
      <c r="V1703">
        <v>0.21147408036890444</v>
      </c>
      <c r="W1703">
        <v>8.6676280989398849E-2</v>
      </c>
      <c r="X1703">
        <v>2.8909602457765252E-2</v>
      </c>
      <c r="Y1703">
        <v>4.1309744794096786E-3</v>
      </c>
    </row>
    <row r="1704" spans="1:25" x14ac:dyDescent="0.25">
      <c r="A1704" s="1095"/>
      <c r="B1704" s="1454">
        <v>1454</v>
      </c>
      <c r="C1704" s="1099">
        <v>0.9932090462113492</v>
      </c>
      <c r="D1704" s="1099">
        <v>1.0040828994391131</v>
      </c>
      <c r="E1704" s="1099">
        <v>0.99659068558100838</v>
      </c>
      <c r="F1704" s="1099">
        <v>1.0072567887735784</v>
      </c>
      <c r="G1704" s="1099">
        <v>1.0404556517408798</v>
      </c>
      <c r="H1704" s="1099">
        <v>0.97093803057588468</v>
      </c>
      <c r="I1704" s="1099">
        <v>0.99618380455422739</v>
      </c>
      <c r="K1704">
        <v>1.7414312394775344</v>
      </c>
      <c r="L1704">
        <v>0</v>
      </c>
      <c r="M1704">
        <v>1.3507873256209414E-3</v>
      </c>
      <c r="N1704">
        <v>0.12297316290857954</v>
      </c>
      <c r="O1704">
        <v>0.12819790104976969</v>
      </c>
      <c r="P1704">
        <v>1.8458039519233808E-2</v>
      </c>
      <c r="Q1704">
        <v>9.0027670626034652E-4</v>
      </c>
      <c r="R1704">
        <v>1.3471965743715388E-3</v>
      </c>
      <c r="S1704">
        <v>0.10598678026143363</v>
      </c>
      <c r="T1704">
        <v>1.0386396428327866</v>
      </c>
      <c r="U1704">
        <v>0</v>
      </c>
      <c r="V1704">
        <v>0.21198228317630544</v>
      </c>
      <c r="W1704">
        <v>8.0949090833802417E-2</v>
      </c>
      <c r="X1704">
        <v>2.968102796840465E-2</v>
      </c>
      <c r="Y1704">
        <v>3.6666249722079425E-3</v>
      </c>
    </row>
    <row r="1705" spans="1:25" x14ac:dyDescent="0.25">
      <c r="A1705" s="1095"/>
      <c r="B1705" s="1454">
        <v>1455</v>
      </c>
      <c r="C1705" s="1099">
        <v>1.004127346186285</v>
      </c>
      <c r="D1705" s="1099">
        <v>0.99724333653159125</v>
      </c>
      <c r="E1705" s="1099">
        <v>0.99320428946959671</v>
      </c>
      <c r="F1705" s="1099">
        <v>0.98000420339872885</v>
      </c>
      <c r="G1705" s="1099">
        <v>1.0110943130414918</v>
      </c>
      <c r="H1705" s="1099">
        <v>0.95360472810004848</v>
      </c>
      <c r="I1705" s="1099">
        <v>0.98351531760171884</v>
      </c>
      <c r="K1705">
        <v>1.697057506495238</v>
      </c>
      <c r="L1705">
        <v>0</v>
      </c>
      <c r="M1705">
        <v>1.3248550498694992E-3</v>
      </c>
      <c r="N1705">
        <v>0.11937833548052088</v>
      </c>
      <c r="O1705">
        <v>0.12585934839639618</v>
      </c>
      <c r="P1705">
        <v>1.7937433689521842E-2</v>
      </c>
      <c r="Q1705">
        <v>8.8978745954906467E-4</v>
      </c>
      <c r="R1705">
        <v>1.3212685335828535E-3</v>
      </c>
      <c r="S1705">
        <v>0.1026489878130203</v>
      </c>
      <c r="T1705">
        <v>1.0106371138714016</v>
      </c>
      <c r="U1705">
        <v>0</v>
      </c>
      <c r="V1705">
        <v>0.20840877581069725</v>
      </c>
      <c r="W1705">
        <v>7.8741698961832987E-2</v>
      </c>
      <c r="X1705">
        <v>2.8963554136225804E-2</v>
      </c>
      <c r="Y1705">
        <v>3.5960573923574908E-3</v>
      </c>
    </row>
    <row r="1706" spans="1:25" x14ac:dyDescent="0.25">
      <c r="A1706" s="1095"/>
      <c r="B1706" s="1454">
        <v>1456</v>
      </c>
      <c r="C1706" s="1099">
        <v>1.0118316296717522</v>
      </c>
      <c r="D1706" s="1099">
        <v>0.979531187155813</v>
      </c>
      <c r="E1706" s="1099">
        <v>1.0441049886271185</v>
      </c>
      <c r="F1706" s="1099">
        <v>0.99178876076651334</v>
      </c>
      <c r="G1706" s="1099">
        <v>0.97299264051612866</v>
      </c>
      <c r="H1706" s="1099">
        <v>0.97702156135731921</v>
      </c>
      <c r="I1706" s="1099">
        <v>0.98483428061792633</v>
      </c>
      <c r="K1706">
        <v>1.7265786815085158</v>
      </c>
      <c r="L1706">
        <v>0</v>
      </c>
      <c r="M1706">
        <v>1.2266301151747968E-3</v>
      </c>
      <c r="N1706">
        <v>0.12888435498157064</v>
      </c>
      <c r="O1706">
        <v>0.12738824535784435</v>
      </c>
      <c r="P1706">
        <v>1.8786246286988943E-2</v>
      </c>
      <c r="Q1706">
        <v>9.370751919798747E-4</v>
      </c>
      <c r="R1706">
        <v>1.2234054702519328E-3</v>
      </c>
      <c r="S1706">
        <v>0.1049504873432648</v>
      </c>
      <c r="T1706">
        <v>1.0213172294515891</v>
      </c>
      <c r="U1706">
        <v>0</v>
      </c>
      <c r="V1706">
        <v>0.2072244765256856</v>
      </c>
      <c r="W1706">
        <v>8.2514745290302921E-2</v>
      </c>
      <c r="X1706">
        <v>3.1249339329690332E-2</v>
      </c>
      <c r="Y1706">
        <v>3.3297063945208808E-3</v>
      </c>
    </row>
    <row r="1707" spans="1:25" x14ac:dyDescent="0.25">
      <c r="A1707" s="1095"/>
      <c r="B1707" s="1454">
        <v>1457</v>
      </c>
      <c r="C1707" s="1099">
        <v>1.0203632993216776</v>
      </c>
      <c r="D1707" s="1099">
        <v>1.0292704421383494</v>
      </c>
      <c r="E1707" s="1099">
        <v>1.0124160204658958</v>
      </c>
      <c r="F1707" s="1099">
        <v>0.9773181956305631</v>
      </c>
      <c r="G1707" s="1099">
        <v>0.98848077785478672</v>
      </c>
      <c r="H1707" s="1099">
        <v>1.0030433235038432</v>
      </c>
      <c r="I1707" s="1099">
        <v>0.99433046953030069</v>
      </c>
      <c r="K1707">
        <v>1.6954154225543585</v>
      </c>
      <c r="L1707">
        <v>0</v>
      </c>
      <c r="M1707">
        <v>1.2949000912847353E-3</v>
      </c>
      <c r="N1707">
        <v>0.12366548777128382</v>
      </c>
      <c r="O1707">
        <v>0.12350616721327118</v>
      </c>
      <c r="P1707">
        <v>1.8115104538467378E-2</v>
      </c>
      <c r="Q1707">
        <v>8.8199607690789229E-4</v>
      </c>
      <c r="R1707">
        <v>1.2915512013765324E-3</v>
      </c>
      <c r="S1707">
        <v>0.10355956342467067</v>
      </c>
      <c r="T1707">
        <v>1.0073105619710383</v>
      </c>
      <c r="U1707">
        <v>0</v>
      </c>
      <c r="V1707">
        <v>0.20497120076521824</v>
      </c>
      <c r="W1707">
        <v>8.0645428794716173E-2</v>
      </c>
      <c r="X1707">
        <v>2.9248084278281582E-2</v>
      </c>
      <c r="Y1707">
        <v>3.5151766104078133E-3</v>
      </c>
    </row>
    <row r="1708" spans="1:25" x14ac:dyDescent="0.25">
      <c r="A1708" s="1095"/>
      <c r="B1708" s="1454">
        <v>1458</v>
      </c>
      <c r="C1708" s="1099">
        <v>1.005839998917083</v>
      </c>
      <c r="D1708" s="1099">
        <v>0.99360304896016127</v>
      </c>
      <c r="E1708" s="1099">
        <v>0.97648927998532153</v>
      </c>
      <c r="F1708" s="1099">
        <v>1.0086201676409172</v>
      </c>
      <c r="G1708" s="1099">
        <v>0.96596377371817566</v>
      </c>
      <c r="H1708" s="1099">
        <v>1.0211819827915527</v>
      </c>
      <c r="I1708" s="1099">
        <v>1.0245159539858308</v>
      </c>
      <c r="K1708">
        <v>1.7506754815153176</v>
      </c>
      <c r="L1708">
        <v>0</v>
      </c>
      <c r="M1708">
        <v>1.4732365854589176E-3</v>
      </c>
      <c r="N1708">
        <v>0.12622784608863294</v>
      </c>
      <c r="O1708">
        <v>0.12805020109962612</v>
      </c>
      <c r="P1708">
        <v>1.8229065531440606E-2</v>
      </c>
      <c r="Q1708">
        <v>8.7416594142812425E-4</v>
      </c>
      <c r="R1708">
        <v>1.4695247383365001E-3</v>
      </c>
      <c r="S1708">
        <v>0.11197147704959716</v>
      </c>
      <c r="T1708">
        <v>1.040656344271168</v>
      </c>
      <c r="U1708">
        <v>0</v>
      </c>
      <c r="V1708">
        <v>0.20764188619088811</v>
      </c>
      <c r="W1708">
        <v>8.4100963383704555E-2</v>
      </c>
      <c r="X1708">
        <v>2.8927681896900093E-2</v>
      </c>
      <c r="Y1708">
        <v>3.9995619090521517E-3</v>
      </c>
    </row>
    <row r="1709" spans="1:25" x14ac:dyDescent="0.25">
      <c r="A1709" s="1095"/>
      <c r="B1709" s="1454">
        <v>1459</v>
      </c>
      <c r="C1709" s="1099">
        <v>0.99465882041785025</v>
      </c>
      <c r="D1709" s="1099">
        <v>0.97366580792602897</v>
      </c>
      <c r="E1709" s="1099">
        <v>0.98222587460140731</v>
      </c>
      <c r="F1709" s="1099">
        <v>0.9953676687792693</v>
      </c>
      <c r="G1709" s="1099">
        <v>1.0166534097377737</v>
      </c>
      <c r="H1709" s="1099">
        <v>0.99704365836087994</v>
      </c>
      <c r="I1709" s="1099">
        <v>1.0158527274973215</v>
      </c>
      <c r="K1709">
        <v>1.7409102402225374</v>
      </c>
      <c r="L1709">
        <v>0</v>
      </c>
      <c r="M1709">
        <v>1.4516125052794248E-3</v>
      </c>
      <c r="N1709">
        <v>0.12654562550318463</v>
      </c>
      <c r="O1709">
        <v>0.12857452791599891</v>
      </c>
      <c r="P1709">
        <v>1.8164840069656654E-2</v>
      </c>
      <c r="Q1709">
        <v>8.9656453619325633E-4</v>
      </c>
      <c r="R1709">
        <v>1.447872993099199E-3</v>
      </c>
      <c r="S1709">
        <v>0.11179287289484105</v>
      </c>
      <c r="T1709">
        <v>1.0268096549359977</v>
      </c>
      <c r="U1709">
        <v>0</v>
      </c>
      <c r="V1709">
        <v>0.21097460263580725</v>
      </c>
      <c r="W1709">
        <v>8.4020994906435317E-2</v>
      </c>
      <c r="X1709">
        <v>2.9193663340591362E-2</v>
      </c>
      <c r="Y1709">
        <v>3.9406329960121195E-3</v>
      </c>
    </row>
    <row r="1710" spans="1:25" x14ac:dyDescent="0.25">
      <c r="A1710" s="1095"/>
      <c r="B1710" s="1454">
        <v>1460</v>
      </c>
      <c r="C1710" s="1099">
        <v>1.0029848685944702</v>
      </c>
      <c r="D1710" s="1099">
        <v>0.95700811301668698</v>
      </c>
      <c r="E1710" s="1099">
        <v>1.0254151755246323</v>
      </c>
      <c r="F1710" s="1099">
        <v>1.0145753828692299</v>
      </c>
      <c r="G1710" s="1099">
        <v>1.0001952212227794</v>
      </c>
      <c r="H1710" s="1099">
        <v>1.008406449887111</v>
      </c>
      <c r="I1710" s="1099">
        <v>1.0077794310109212</v>
      </c>
      <c r="K1710">
        <v>1.7747993350781093</v>
      </c>
      <c r="L1710">
        <v>0</v>
      </c>
      <c r="M1710">
        <v>1.3479853811918605E-3</v>
      </c>
      <c r="N1710">
        <v>0.13389157332845369</v>
      </c>
      <c r="O1710">
        <v>0.13059473454073345</v>
      </c>
      <c r="P1710">
        <v>1.9023311118484806E-2</v>
      </c>
      <c r="Q1710">
        <v>9.3619727848455545E-4</v>
      </c>
      <c r="R1710">
        <v>1.3445713891231503E-3</v>
      </c>
      <c r="S1710">
        <v>0.11223489868426743</v>
      </c>
      <c r="T1710">
        <v>1.0453264586205917</v>
      </c>
      <c r="U1710">
        <v>0</v>
      </c>
      <c r="V1710">
        <v>0.2111358776912719</v>
      </c>
      <c r="W1710">
        <v>8.6652032747232086E-2</v>
      </c>
      <c r="X1710">
        <v>3.1348184977302788E-2</v>
      </c>
      <c r="Y1710">
        <v>3.6594800833539129E-3</v>
      </c>
    </row>
    <row r="1711" spans="1:25" x14ac:dyDescent="0.25">
      <c r="A1711" s="1095"/>
      <c r="B1711" s="1454">
        <v>1461</v>
      </c>
      <c r="C1711" s="1099">
        <v>1.0226695952043396</v>
      </c>
      <c r="D1711" s="1099">
        <v>0.99035542270829158</v>
      </c>
      <c r="E1711" s="1099">
        <v>1.0276410462841474</v>
      </c>
      <c r="F1711" s="1099">
        <v>0.96740935512654869</v>
      </c>
      <c r="G1711" s="1099">
        <v>0.99481157908319573</v>
      </c>
      <c r="H1711" s="1099">
        <v>0.98899034579659584</v>
      </c>
      <c r="I1711" s="1099">
        <v>0.98211344085236496</v>
      </c>
      <c r="K1711">
        <v>1.6904984298368866</v>
      </c>
      <c r="L1711">
        <v>0</v>
      </c>
      <c r="M1711">
        <v>1.2615885729612677E-3</v>
      </c>
      <c r="N1711">
        <v>0.12614465270569825</v>
      </c>
      <c r="O1711">
        <v>0.12441416214557605</v>
      </c>
      <c r="P1711">
        <v>1.8180692613175814E-2</v>
      </c>
      <c r="Q1711">
        <v>9.0774626986567144E-4</v>
      </c>
      <c r="R1711">
        <v>1.2583011313706031E-3</v>
      </c>
      <c r="S1711">
        <v>0.10354501092943089</v>
      </c>
      <c r="T1711">
        <v>0.9966685425067473</v>
      </c>
      <c r="U1711">
        <v>0</v>
      </c>
      <c r="V1711">
        <v>0.20573876481882206</v>
      </c>
      <c r="W1711">
        <v>8.1532674408212741E-2</v>
      </c>
      <c r="X1711">
        <v>2.9944790000213332E-2</v>
      </c>
      <c r="Y1711">
        <v>3.4246808807343052E-3</v>
      </c>
    </row>
    <row r="1712" spans="1:25" x14ac:dyDescent="0.25">
      <c r="A1712" s="1095"/>
      <c r="B1712" s="1454">
        <v>1462</v>
      </c>
      <c r="C1712" s="1099">
        <v>1.0369243895078057</v>
      </c>
      <c r="D1712" s="1099">
        <v>1.0171993147800911</v>
      </c>
      <c r="E1712" s="1099">
        <v>0.99665500578440613</v>
      </c>
      <c r="F1712" s="1099">
        <v>1.0061052445266743</v>
      </c>
      <c r="G1712" s="1099">
        <v>1.0248633997899059</v>
      </c>
      <c r="H1712" s="1099">
        <v>1.0143632580422628</v>
      </c>
      <c r="I1712" s="1099">
        <v>1.0017360957914379</v>
      </c>
      <c r="K1712">
        <v>1.7295602227184961</v>
      </c>
      <c r="L1712">
        <v>0</v>
      </c>
      <c r="M1712">
        <v>1.3457307286707401E-3</v>
      </c>
      <c r="N1712">
        <v>0.12255089653556149</v>
      </c>
      <c r="O1712">
        <v>0.12530719486509209</v>
      </c>
      <c r="P1712">
        <v>1.8355915604837944E-2</v>
      </c>
      <c r="Q1712">
        <v>8.5791450194083773E-4</v>
      </c>
      <c r="R1712">
        <v>1.342309623788532E-3</v>
      </c>
      <c r="S1712">
        <v>0.10439756758273966</v>
      </c>
      <c r="T1712">
        <v>1.0374502899799976</v>
      </c>
      <c r="U1712">
        <v>0</v>
      </c>
      <c r="V1712">
        <v>0.20719279452688852</v>
      </c>
      <c r="W1712">
        <v>8.0668034998800625E-2</v>
      </c>
      <c r="X1712">
        <v>2.9129710923816429E-2</v>
      </c>
      <c r="Y1712">
        <v>3.6533243037038237E-3</v>
      </c>
    </row>
    <row r="1713" spans="1:25" x14ac:dyDescent="0.25">
      <c r="A1713" s="1095"/>
      <c r="B1713" s="1454">
        <v>1463</v>
      </c>
      <c r="C1713" s="1099">
        <v>0.99727708464060438</v>
      </c>
      <c r="D1713" s="1099">
        <v>0.98450657549068665</v>
      </c>
      <c r="E1713" s="1099">
        <v>0.96632734974375578</v>
      </c>
      <c r="F1713" s="1099">
        <v>0.98070006605983973</v>
      </c>
      <c r="G1713" s="1099">
        <v>0.99960740813537352</v>
      </c>
      <c r="H1713" s="1099">
        <v>0.97638404312589866</v>
      </c>
      <c r="I1713" s="1099">
        <v>1.0075262704556553</v>
      </c>
      <c r="K1713">
        <v>1.7083588255773792</v>
      </c>
      <c r="L1713">
        <v>0</v>
      </c>
      <c r="M1713">
        <v>1.4540461577826817E-3</v>
      </c>
      <c r="N1713">
        <v>0.12079455386061386</v>
      </c>
      <c r="O1713">
        <v>0.12673680384101474</v>
      </c>
      <c r="P1713">
        <v>1.7674493216432136E-2</v>
      </c>
      <c r="Q1713">
        <v>8.7550462683629938E-4</v>
      </c>
      <c r="R1713">
        <v>1.4502089619847142E-3</v>
      </c>
      <c r="S1713">
        <v>0.1082583759401916</v>
      </c>
      <c r="T1713">
        <v>1.012154201003004</v>
      </c>
      <c r="U1713">
        <v>0</v>
      </c>
      <c r="V1713">
        <v>0.20877212266251363</v>
      </c>
      <c r="W1713">
        <v>8.0979711104865501E-2</v>
      </c>
      <c r="X1713">
        <v>2.8169905784437121E-2</v>
      </c>
      <c r="Y1713">
        <v>3.946990733266556E-3</v>
      </c>
    </row>
    <row r="1714" spans="1:25" x14ac:dyDescent="0.25">
      <c r="A1714" s="1095"/>
      <c r="B1714" s="1454">
        <v>1464</v>
      </c>
      <c r="C1714" s="1099">
        <v>0.97074680835014249</v>
      </c>
      <c r="D1714" s="1099">
        <v>1.0016170115689687</v>
      </c>
      <c r="E1714" s="1099">
        <v>1.0288782074091138</v>
      </c>
      <c r="F1714" s="1099">
        <v>1.0261406217451003</v>
      </c>
      <c r="G1714" s="1099">
        <v>0.98550596495631237</v>
      </c>
      <c r="H1714" s="1099">
        <v>0.96631315869154344</v>
      </c>
      <c r="I1714" s="1099">
        <v>0.9812904067188547</v>
      </c>
      <c r="K1714">
        <v>1.7752204718715838</v>
      </c>
      <c r="L1714">
        <v>0</v>
      </c>
      <c r="M1714">
        <v>1.2876796134353085E-3</v>
      </c>
      <c r="N1714">
        <v>0.12922622195815114</v>
      </c>
      <c r="O1714">
        <v>0.13108012957530274</v>
      </c>
      <c r="P1714">
        <v>1.9176874721939095E-2</v>
      </c>
      <c r="Q1714">
        <v>9.5318758632449208E-4</v>
      </c>
      <c r="R1714">
        <v>1.2842408376020872E-3</v>
      </c>
      <c r="S1714">
        <v>0.10669008998492754</v>
      </c>
      <c r="T1714">
        <v>1.0571394543053676</v>
      </c>
      <c r="U1714">
        <v>0</v>
      </c>
      <c r="V1714">
        <v>0.21244467451482948</v>
      </c>
      <c r="W1714">
        <v>8.3464381391135489E-2</v>
      </c>
      <c r="X1714">
        <v>3.1553616399362987E-2</v>
      </c>
      <c r="Y1714">
        <v>3.4952802100745427E-3</v>
      </c>
    </row>
    <row r="1715" spans="1:25" x14ac:dyDescent="0.25">
      <c r="A1715" s="1095"/>
      <c r="B1715" s="1454">
        <v>1465</v>
      </c>
      <c r="C1715" s="1099">
        <v>1.0302792309006814</v>
      </c>
      <c r="D1715" s="1099">
        <v>1.0030801451886304</v>
      </c>
      <c r="E1715" s="1099">
        <v>0.9922767272171642</v>
      </c>
      <c r="F1715" s="1099">
        <v>1.022465332966171</v>
      </c>
      <c r="G1715" s="1099">
        <v>1.0238507859678361</v>
      </c>
      <c r="H1715" s="1099">
        <v>1.0033701519475258</v>
      </c>
      <c r="I1715" s="1099">
        <v>1.0363950017963681</v>
      </c>
      <c r="K1715">
        <v>1.7559289825971516</v>
      </c>
      <c r="L1715">
        <v>0</v>
      </c>
      <c r="M1715">
        <v>1.3643350232415811E-3</v>
      </c>
      <c r="N1715">
        <v>0.12260949586744201</v>
      </c>
      <c r="O1715">
        <v>0.12747167123788988</v>
      </c>
      <c r="P1715">
        <v>1.8611197159702299E-2</v>
      </c>
      <c r="Q1715">
        <v>8.6434485722451985E-4</v>
      </c>
      <c r="R1715">
        <v>1.3608409860911771E-3</v>
      </c>
      <c r="S1715">
        <v>0.10892996911711249</v>
      </c>
      <c r="T1715">
        <v>1.0544538889252884</v>
      </c>
      <c r="U1715">
        <v>0</v>
      </c>
      <c r="V1715">
        <v>0.20891467304869196</v>
      </c>
      <c r="W1715">
        <v>8.0917819074138267E-2</v>
      </c>
      <c r="X1715">
        <v>2.9455656783780742E-2</v>
      </c>
      <c r="Y1715">
        <v>3.7037605630296823E-3</v>
      </c>
    </row>
    <row r="1716" spans="1:25" x14ac:dyDescent="0.25">
      <c r="A1716" s="1095"/>
      <c r="B1716" s="1454">
        <v>1466</v>
      </c>
      <c r="C1716" s="1099">
        <v>1.0358096528395393</v>
      </c>
      <c r="D1716" s="1099">
        <v>0.98071607136230754</v>
      </c>
      <c r="E1716" s="1099">
        <v>0.98850590629378754</v>
      </c>
      <c r="F1716" s="1099">
        <v>0.99517514315881184</v>
      </c>
      <c r="G1716" s="1099">
        <v>1.001650365692768</v>
      </c>
      <c r="H1716" s="1099">
        <v>1.0228830179026818</v>
      </c>
      <c r="I1716" s="1099">
        <v>1.0208012590806674</v>
      </c>
      <c r="K1716">
        <v>1.728705977583018</v>
      </c>
      <c r="L1716">
        <v>0</v>
      </c>
      <c r="M1716">
        <v>1.4104158886175833E-3</v>
      </c>
      <c r="N1716">
        <v>0.1253207756662803</v>
      </c>
      <c r="O1716">
        <v>0.12616483625411043</v>
      </c>
      <c r="P1716">
        <v>1.8155743382153762E-2</v>
      </c>
      <c r="Q1716">
        <v>8.6411657231761046E-4</v>
      </c>
      <c r="R1716">
        <v>1.4068815241688954E-3</v>
      </c>
      <c r="S1716">
        <v>0.10944613405923727</v>
      </c>
      <c r="T1716">
        <v>1.0264225347767235</v>
      </c>
      <c r="U1716">
        <v>0</v>
      </c>
      <c r="V1716">
        <v>0.20664763895603513</v>
      </c>
      <c r="W1716">
        <v>8.2894150133971833E-2</v>
      </c>
      <c r="X1716">
        <v>2.8964514416218452E-2</v>
      </c>
      <c r="Y1716">
        <v>3.8290677304179356E-3</v>
      </c>
    </row>
    <row r="1717" spans="1:25" x14ac:dyDescent="0.25">
      <c r="A1717" s="1095"/>
      <c r="B1717" s="1454">
        <v>1467</v>
      </c>
      <c r="C1717" s="1099">
        <v>0.99305675754022016</v>
      </c>
      <c r="D1717" s="1099">
        <v>0.97545494694795765</v>
      </c>
      <c r="E1717" s="1099">
        <v>0.98069279407498444</v>
      </c>
      <c r="F1717" s="1099">
        <v>0.98590696210111928</v>
      </c>
      <c r="G1717" s="1099">
        <v>0.95514787009138968</v>
      </c>
      <c r="H1717" s="1099">
        <v>0.97114280072418457</v>
      </c>
      <c r="I1717" s="1099">
        <v>1.0048130981327417</v>
      </c>
      <c r="K1717">
        <v>1.7175504024912343</v>
      </c>
      <c r="L1717">
        <v>0</v>
      </c>
      <c r="M1717">
        <v>1.4177280720722482E-3</v>
      </c>
      <c r="N1717">
        <v>0.12301090457596178</v>
      </c>
      <c r="O1717">
        <v>0.12783212495177743</v>
      </c>
      <c r="P1717">
        <v>1.7925838361659657E-2</v>
      </c>
      <c r="Q1717">
        <v>8.9591234647206416E-4</v>
      </c>
      <c r="R1717">
        <v>1.4139733899899342E-3</v>
      </c>
      <c r="S1717">
        <v>0.10870258155628572</v>
      </c>
      <c r="T1717">
        <v>1.0170958681969129</v>
      </c>
      <c r="U1717">
        <v>0</v>
      </c>
      <c r="V1717">
        <v>0.20757284717094196</v>
      </c>
      <c r="W1717">
        <v>8.1749642309044065E-2</v>
      </c>
      <c r="X1717">
        <v>2.8920068252910675E-2</v>
      </c>
      <c r="Y1717">
        <v>3.8483694513498619E-3</v>
      </c>
    </row>
    <row r="1718" spans="1:25" x14ac:dyDescent="0.25">
      <c r="A1718" s="1095"/>
      <c r="B1718" s="1454">
        <v>1468</v>
      </c>
      <c r="C1718" s="1099">
        <v>0.98975542676761752</v>
      </c>
      <c r="D1718" s="1099">
        <v>1.0087656151289901</v>
      </c>
      <c r="E1718" s="1099">
        <v>1.0049667659315009</v>
      </c>
      <c r="F1718" s="1099">
        <v>1.0321961395865376</v>
      </c>
      <c r="G1718" s="1099">
        <v>0.98261152968196408</v>
      </c>
      <c r="H1718" s="1099">
        <v>1.0034843981502217</v>
      </c>
      <c r="I1718" s="1099">
        <v>1.021403536261952</v>
      </c>
      <c r="K1718">
        <v>1.7827493693933909</v>
      </c>
      <c r="L1718">
        <v>0</v>
      </c>
      <c r="M1718">
        <v>1.3755144707319165E-3</v>
      </c>
      <c r="N1718">
        <v>0.12844485375709613</v>
      </c>
      <c r="O1718">
        <v>0.13008070928490895</v>
      </c>
      <c r="P1718">
        <v>1.8975700383218455E-2</v>
      </c>
      <c r="Q1718">
        <v>9.0960013908038327E-4</v>
      </c>
      <c r="R1718">
        <v>1.3719798466365633E-3</v>
      </c>
      <c r="S1718">
        <v>0.11121549910412391</v>
      </c>
      <c r="T1718">
        <v>1.0640992112023906</v>
      </c>
      <c r="U1718">
        <v>0</v>
      </c>
      <c r="V1718">
        <v>0.21066092368057407</v>
      </c>
      <c r="W1718">
        <v>8.4131304592003395E-2</v>
      </c>
      <c r="X1718">
        <v>3.0501025004580802E-2</v>
      </c>
      <c r="Y1718">
        <v>3.7340768695098324E-3</v>
      </c>
    </row>
    <row r="1719" spans="1:25" x14ac:dyDescent="0.25">
      <c r="A1719" s="1095"/>
      <c r="B1719" s="1454">
        <v>1469</v>
      </c>
      <c r="C1719" s="1099">
        <v>1.0198608320126363</v>
      </c>
      <c r="D1719" s="1099">
        <v>0.98489417161763115</v>
      </c>
      <c r="E1719" s="1099">
        <v>1.0233585594995478</v>
      </c>
      <c r="F1719" s="1099">
        <v>1.0043666650176954</v>
      </c>
      <c r="G1719" s="1099">
        <v>0.99723953885112959</v>
      </c>
      <c r="H1719" s="1099">
        <v>0.99925310215642127</v>
      </c>
      <c r="I1719" s="1099">
        <v>0.97798843107117428</v>
      </c>
      <c r="K1719">
        <v>1.7400951148831114</v>
      </c>
      <c r="L1719">
        <v>0</v>
      </c>
      <c r="M1719">
        <v>1.2977946952534574E-3</v>
      </c>
      <c r="N1719">
        <v>0.12810462130960598</v>
      </c>
      <c r="O1719">
        <v>0.12760331626630464</v>
      </c>
      <c r="P1719">
        <v>1.8703036790088445E-2</v>
      </c>
      <c r="Q1719">
        <v>9.0827451187178404E-4</v>
      </c>
      <c r="R1719">
        <v>1.2944613060618018E-3</v>
      </c>
      <c r="S1719">
        <v>0.10464030162750343</v>
      </c>
      <c r="T1719">
        <v>1.0348682319803946</v>
      </c>
      <c r="U1719">
        <v>0</v>
      </c>
      <c r="V1719">
        <v>0.2081703103168476</v>
      </c>
      <c r="W1719">
        <v>8.3006301737352975E-2</v>
      </c>
      <c r="X1719">
        <v>3.0570956776287503E-2</v>
      </c>
      <c r="Y1719">
        <v>3.5230969560453643E-3</v>
      </c>
    </row>
    <row r="1720" spans="1:25" x14ac:dyDescent="0.25">
      <c r="A1720" s="1095"/>
      <c r="B1720" s="1454">
        <v>1470</v>
      </c>
      <c r="C1720" s="1099">
        <v>1.020790188886237</v>
      </c>
      <c r="D1720" s="1099">
        <v>1.0042511771803688</v>
      </c>
      <c r="E1720" s="1099">
        <v>0.98738722000025569</v>
      </c>
      <c r="F1720" s="1099">
        <v>1.0182122222989496</v>
      </c>
      <c r="G1720" s="1099">
        <v>0.99250644573194891</v>
      </c>
      <c r="H1720" s="1099">
        <v>1.003876463676397</v>
      </c>
      <c r="I1720" s="1099">
        <v>1.0123049729361049</v>
      </c>
      <c r="K1720">
        <v>1.7497314472959042</v>
      </c>
      <c r="L1720">
        <v>0</v>
      </c>
      <c r="M1720">
        <v>1.3892724987385901E-3</v>
      </c>
      <c r="N1720">
        <v>0.12301818704627523</v>
      </c>
      <c r="O1720">
        <v>0.12756291447454435</v>
      </c>
      <c r="P1720">
        <v>1.8449303056453269E-2</v>
      </c>
      <c r="Q1720">
        <v>8.6753939875009898E-4</v>
      </c>
      <c r="R1720">
        <v>1.3857117522581826E-3</v>
      </c>
      <c r="S1720">
        <v>0.10726093651209366</v>
      </c>
      <c r="T1720">
        <v>1.0502172226188131</v>
      </c>
      <c r="U1720">
        <v>0</v>
      </c>
      <c r="V1720">
        <v>0.20790026338622719</v>
      </c>
      <c r="W1720">
        <v>8.1425728358778038E-2</v>
      </c>
      <c r="X1720">
        <v>2.9261462600561533E-2</v>
      </c>
      <c r="Y1720">
        <v>3.7714505898904082E-3</v>
      </c>
    </row>
    <row r="1721" spans="1:25" x14ac:dyDescent="0.25">
      <c r="A1721" s="1095"/>
      <c r="B1721" s="1454">
        <v>1471</v>
      </c>
      <c r="C1721" s="1099">
        <v>0.98480119810426736</v>
      </c>
      <c r="D1721" s="1099">
        <v>1.0169461823736803</v>
      </c>
      <c r="E1721" s="1099">
        <v>0.97676890718223486</v>
      </c>
      <c r="F1721" s="1099">
        <v>0.96063048163642639</v>
      </c>
      <c r="G1721" s="1099">
        <v>1.0329616858884676</v>
      </c>
      <c r="H1721" s="1099">
        <v>0.95874619702060526</v>
      </c>
      <c r="I1721" s="1099">
        <v>1.0033404686416398</v>
      </c>
      <c r="K1721">
        <v>1.6785605973092148</v>
      </c>
      <c r="L1721">
        <v>0</v>
      </c>
      <c r="M1721">
        <v>1.3843895969342147E-3</v>
      </c>
      <c r="N1721">
        <v>0.11869294065760212</v>
      </c>
      <c r="O1721">
        <v>0.12441617430283496</v>
      </c>
      <c r="P1721">
        <v>1.7508141593049018E-2</v>
      </c>
      <c r="Q1721">
        <v>8.8484598868931942E-4</v>
      </c>
      <c r="R1721">
        <v>1.3806356734583393E-3</v>
      </c>
      <c r="S1721">
        <v>0.10559704651859815</v>
      </c>
      <c r="T1721">
        <v>0.99113421899183518</v>
      </c>
      <c r="U1721">
        <v>0</v>
      </c>
      <c r="V1721">
        <v>0.20945964019260793</v>
      </c>
      <c r="W1721">
        <v>7.9067346471135516E-2</v>
      </c>
      <c r="X1721">
        <v>2.8046361339612181E-2</v>
      </c>
      <c r="Y1721">
        <v>3.7576351767261615E-3</v>
      </c>
    </row>
    <row r="1722" spans="1:25" x14ac:dyDescent="0.25">
      <c r="A1722" s="1095"/>
      <c r="B1722" s="1454">
        <v>1472</v>
      </c>
      <c r="C1722" s="1099">
        <v>1.0316360771965278</v>
      </c>
      <c r="D1722" s="1099">
        <v>1.0126050972230307</v>
      </c>
      <c r="E1722" s="1099">
        <v>0.99758482968179141</v>
      </c>
      <c r="F1722" s="1099">
        <v>1.0058793647305366</v>
      </c>
      <c r="G1722" s="1099">
        <v>0.98325895882979297</v>
      </c>
      <c r="H1722" s="1099">
        <v>1.0308651233327364</v>
      </c>
      <c r="I1722" s="1099">
        <v>1.0158426339765789</v>
      </c>
      <c r="K1722">
        <v>1.7369458905990507</v>
      </c>
      <c r="L1722">
        <v>0</v>
      </c>
      <c r="M1722">
        <v>1.3750984893657154E-3</v>
      </c>
      <c r="N1722">
        <v>0.12558293234449286</v>
      </c>
      <c r="O1722">
        <v>0.12576062394055806</v>
      </c>
      <c r="P1722">
        <v>1.8391649678388654E-2</v>
      </c>
      <c r="Q1722">
        <v>8.6470959928455077E-4</v>
      </c>
      <c r="R1722">
        <v>1.3716602502962976E-3</v>
      </c>
      <c r="S1722">
        <v>0.10781234411867725</v>
      </c>
      <c r="T1722">
        <v>1.0371894894176388</v>
      </c>
      <c r="U1722">
        <v>0</v>
      </c>
      <c r="V1722">
        <v>0.20572430369673372</v>
      </c>
      <c r="W1722">
        <v>8.2618071142177868E-2</v>
      </c>
      <c r="X1722">
        <v>2.9271997866543147E-2</v>
      </c>
      <c r="Y1722">
        <v>3.7332070336265361E-3</v>
      </c>
    </row>
    <row r="1723" spans="1:25" x14ac:dyDescent="0.25">
      <c r="A1723" s="1095"/>
      <c r="B1723" s="1454">
        <v>1473</v>
      </c>
      <c r="C1723" s="1099">
        <v>1.0286218982879154</v>
      </c>
      <c r="D1723" s="1099">
        <v>1.0250999896458173</v>
      </c>
      <c r="E1723" s="1099">
        <v>1.0071469203635088</v>
      </c>
      <c r="F1723" s="1099">
        <v>0.95615882279859488</v>
      </c>
      <c r="G1723" s="1099">
        <v>1.0224591326304506</v>
      </c>
      <c r="H1723" s="1099">
        <v>0.96940325494227098</v>
      </c>
      <c r="I1723" s="1099">
        <v>1.0197014413883838</v>
      </c>
      <c r="K1723">
        <v>1.6614674722145049</v>
      </c>
      <c r="L1723">
        <v>0</v>
      </c>
      <c r="M1723">
        <v>1.2565795148185342E-3</v>
      </c>
      <c r="N1723">
        <v>0.11810112469654552</v>
      </c>
      <c r="O1723">
        <v>0.12166684167720213</v>
      </c>
      <c r="P1723">
        <v>1.7742937089598659E-2</v>
      </c>
      <c r="Q1723">
        <v>8.7158706686668824E-4</v>
      </c>
      <c r="R1723">
        <v>1.2532154905239333E-3</v>
      </c>
      <c r="S1723">
        <v>0.1032293994044428</v>
      </c>
      <c r="T1723">
        <v>0.98565014388456229</v>
      </c>
      <c r="U1723">
        <v>0</v>
      </c>
      <c r="V1723">
        <v>0.20495718856970715</v>
      </c>
      <c r="W1723">
        <v>7.7256474849971835E-2</v>
      </c>
      <c r="X1723">
        <v>2.8584299557072868E-2</v>
      </c>
      <c r="Y1723">
        <v>3.4108394428307249E-3</v>
      </c>
    </row>
    <row r="1724" spans="1:25" x14ac:dyDescent="0.25">
      <c r="A1724" s="1095"/>
      <c r="B1724" s="1454">
        <v>1474</v>
      </c>
      <c r="C1724" s="1099">
        <v>0.98033159922720237</v>
      </c>
      <c r="D1724" s="1099">
        <v>1.022466037789481</v>
      </c>
      <c r="E1724" s="1099">
        <v>1.0217503344936205</v>
      </c>
      <c r="F1724" s="1099">
        <v>1.0298480669112913</v>
      </c>
      <c r="G1724" s="1099">
        <v>1.0048824601447219</v>
      </c>
      <c r="H1724" s="1099">
        <v>1.0107736400996812</v>
      </c>
      <c r="I1724" s="1099">
        <v>1.0165043364915778</v>
      </c>
      <c r="K1724">
        <v>1.7860945760858231</v>
      </c>
      <c r="L1724">
        <v>0</v>
      </c>
      <c r="M1724">
        <v>1.3388608876984875E-3</v>
      </c>
      <c r="N1724">
        <v>0.13151982679348648</v>
      </c>
      <c r="O1724">
        <v>0.12984897828505812</v>
      </c>
      <c r="P1724">
        <v>1.919214733950967E-2</v>
      </c>
      <c r="Q1724">
        <v>9.2932106697191054E-4</v>
      </c>
      <c r="R1724">
        <v>1.3354331783540878E-3</v>
      </c>
      <c r="S1724">
        <v>0.11130011617541707</v>
      </c>
      <c r="T1724">
        <v>1.0611716041607062</v>
      </c>
      <c r="U1724">
        <v>0</v>
      </c>
      <c r="V1724">
        <v>0.2120766377592809</v>
      </c>
      <c r="W1724">
        <v>8.529926769407023E-2</v>
      </c>
      <c r="X1724">
        <v>3.1125495634615516E-2</v>
      </c>
      <c r="Y1724">
        <v>3.6346088860508955E-3</v>
      </c>
    </row>
    <row r="1725" spans="1:25" x14ac:dyDescent="0.25">
      <c r="A1725" s="1095"/>
      <c r="B1725" s="1454">
        <v>1475</v>
      </c>
      <c r="C1725" s="1099">
        <v>0.97732725283904986</v>
      </c>
      <c r="D1725" s="1099">
        <v>0.98352380170919007</v>
      </c>
      <c r="E1725" s="1099">
        <v>1.003169199330519</v>
      </c>
      <c r="F1725" s="1099">
        <v>0.98762360636476521</v>
      </c>
      <c r="G1725" s="1099">
        <v>0.97401216691180947</v>
      </c>
      <c r="H1725" s="1099">
        <v>0.98489702147442415</v>
      </c>
      <c r="I1725" s="1099">
        <v>0.99579926472959612</v>
      </c>
      <c r="K1725">
        <v>1.732367973072737</v>
      </c>
      <c r="L1725">
        <v>0</v>
      </c>
      <c r="M1725">
        <v>1.3860746844752208E-3</v>
      </c>
      <c r="N1725">
        <v>0.12872384424363872</v>
      </c>
      <c r="O1725">
        <v>0.12851110298267354</v>
      </c>
      <c r="P1725">
        <v>1.8291852886767407E-2</v>
      </c>
      <c r="Q1725">
        <v>9.2882287883554475E-4</v>
      </c>
      <c r="R1725">
        <v>1.3824451272368644E-3</v>
      </c>
      <c r="S1725">
        <v>0.10984690170645231</v>
      </c>
      <c r="T1725">
        <v>1.0182015921360315</v>
      </c>
      <c r="U1725">
        <v>0</v>
      </c>
      <c r="V1725">
        <v>0.20976036602529885</v>
      </c>
      <c r="W1725">
        <v>8.4403881345105458E-2</v>
      </c>
      <c r="X1725">
        <v>2.9940678511747112E-2</v>
      </c>
      <c r="Y1725">
        <v>3.7625599134250296E-3</v>
      </c>
    </row>
    <row r="1726" spans="1:25" x14ac:dyDescent="0.25">
      <c r="A1726" s="1095"/>
      <c r="B1726" s="1454">
        <v>1476</v>
      </c>
      <c r="C1726" s="1099">
        <v>0.97764485367061527</v>
      </c>
      <c r="D1726" s="1099">
        <v>0.98964215928286592</v>
      </c>
      <c r="E1726" s="1099">
        <v>1.0164844877972541</v>
      </c>
      <c r="F1726" s="1099">
        <v>0.98913929743175177</v>
      </c>
      <c r="G1726" s="1099">
        <v>1.0183354096479296</v>
      </c>
      <c r="H1726" s="1099">
        <v>0.99202350541176576</v>
      </c>
      <c r="I1726" s="1099">
        <v>1.000857704429845</v>
      </c>
      <c r="K1726">
        <v>1.7395326318217892</v>
      </c>
      <c r="L1726">
        <v>0</v>
      </c>
      <c r="M1726">
        <v>1.3528715157119578E-3</v>
      </c>
      <c r="N1726">
        <v>0.13079596502660451</v>
      </c>
      <c r="O1726">
        <v>0.1283762352888709</v>
      </c>
      <c r="P1726">
        <v>1.8526246734198216E-2</v>
      </c>
      <c r="Q1726">
        <v>9.3902858352307281E-4</v>
      </c>
      <c r="R1726">
        <v>1.3493508738813798E-3</v>
      </c>
      <c r="S1726">
        <v>0.11049472333363874</v>
      </c>
      <c r="T1726">
        <v>1.019376532147241</v>
      </c>
      <c r="U1726">
        <v>0</v>
      </c>
      <c r="V1726">
        <v>0.2118044813785486</v>
      </c>
      <c r="W1726">
        <v>8.509172451460853E-2</v>
      </c>
      <c r="X1726">
        <v>3.045872719107685E-2</v>
      </c>
      <c r="Y1726">
        <v>3.6724882653090866E-3</v>
      </c>
    </row>
    <row r="1727" spans="1:25" x14ac:dyDescent="0.25">
      <c r="A1727" s="1095"/>
      <c r="B1727" s="1454">
        <v>1477</v>
      </c>
      <c r="C1727" s="1099">
        <v>1.0201852207156015</v>
      </c>
      <c r="D1727" s="1099">
        <v>0.99559347221224681</v>
      </c>
      <c r="E1727" s="1099">
        <v>0.98858787344889076</v>
      </c>
      <c r="F1727" s="1099">
        <v>1.0096180235903189</v>
      </c>
      <c r="G1727" s="1099">
        <v>0.97864848446863195</v>
      </c>
      <c r="H1727" s="1099">
        <v>1.0311957876510585</v>
      </c>
      <c r="I1727" s="1099">
        <v>0.96071829397438513</v>
      </c>
      <c r="K1727">
        <v>1.7434449398748759</v>
      </c>
      <c r="L1727">
        <v>0</v>
      </c>
      <c r="M1727">
        <v>1.4306046475378075E-3</v>
      </c>
      <c r="N1727">
        <v>0.12714779063363804</v>
      </c>
      <c r="O1727">
        <v>0.12734966298568509</v>
      </c>
      <c r="P1727">
        <v>1.8292819036749005E-2</v>
      </c>
      <c r="Q1727">
        <v>8.721574513760981E-4</v>
      </c>
      <c r="R1727">
        <v>1.4270383050433309E-3</v>
      </c>
      <c r="S1727">
        <v>0.10416081751105695</v>
      </c>
      <c r="T1727">
        <v>1.041316417254349</v>
      </c>
      <c r="U1727">
        <v>0</v>
      </c>
      <c r="V1727">
        <v>0.20709565103204169</v>
      </c>
      <c r="W1727">
        <v>8.4098505358422448E-2</v>
      </c>
      <c r="X1727">
        <v>2.9230757110774584E-2</v>
      </c>
      <c r="Y1727">
        <v>3.8839278432771184E-3</v>
      </c>
    </row>
    <row r="1728" spans="1:25" x14ac:dyDescent="0.25">
      <c r="A1728" s="1095"/>
      <c r="B1728" s="1454">
        <v>1478</v>
      </c>
      <c r="C1728" s="1099">
        <v>1.0052608966639822</v>
      </c>
      <c r="D1728" s="1099">
        <v>0.97644270216703022</v>
      </c>
      <c r="E1728" s="1099">
        <v>1.0149707927283422</v>
      </c>
      <c r="F1728" s="1099">
        <v>1.0115376891124059</v>
      </c>
      <c r="G1728" s="1099">
        <v>1.0030356208362274</v>
      </c>
      <c r="H1728" s="1099">
        <v>1.009420884443049</v>
      </c>
      <c r="I1728" s="1099">
        <v>0.99096204974889535</v>
      </c>
      <c r="K1728">
        <v>1.7609160294651227</v>
      </c>
      <c r="L1728">
        <v>0</v>
      </c>
      <c r="M1728">
        <v>1.3595539426610264E-3</v>
      </c>
      <c r="N1728">
        <v>0.13085116010384182</v>
      </c>
      <c r="O1728">
        <v>0.1292586822429439</v>
      </c>
      <c r="P1728">
        <v>1.8780039309783544E-2</v>
      </c>
      <c r="Q1728">
        <v>9.1672231156199281E-4</v>
      </c>
      <c r="R1728">
        <v>1.3561007272874612E-3</v>
      </c>
      <c r="S1728">
        <v>0.10879910565177299</v>
      </c>
      <c r="T1728">
        <v>1.0425044273224251</v>
      </c>
      <c r="U1728">
        <v>0</v>
      </c>
      <c r="V1728">
        <v>0.21027150141082818</v>
      </c>
      <c r="W1728">
        <v>8.5203308444220013E-2</v>
      </c>
      <c r="X1728">
        <v>3.0643676741924558E-2</v>
      </c>
      <c r="Y1728">
        <v>3.6908591411918628E-3</v>
      </c>
    </row>
    <row r="1729" spans="1:25" x14ac:dyDescent="0.25">
      <c r="A1729" s="1095"/>
      <c r="B1729" s="1454">
        <v>1479</v>
      </c>
      <c r="C1729" s="1099">
        <v>0.9978999845437494</v>
      </c>
      <c r="D1729" s="1099">
        <v>0.96282544104581269</v>
      </c>
      <c r="E1729" s="1099">
        <v>0.99276632183375824</v>
      </c>
      <c r="F1729" s="1099">
        <v>0.95332630207593516</v>
      </c>
      <c r="G1729" s="1099">
        <v>0.96521889416664186</v>
      </c>
      <c r="H1729" s="1099">
        <v>0.98521852421901179</v>
      </c>
      <c r="I1729" s="1099">
        <v>0.97676246431283142</v>
      </c>
      <c r="K1729">
        <v>1.6827009991228505</v>
      </c>
      <c r="L1729">
        <v>0</v>
      </c>
      <c r="M1729">
        <v>1.402953542530728E-3</v>
      </c>
      <c r="N1729">
        <v>0.12626043650756008</v>
      </c>
      <c r="O1729">
        <v>0.12568812640871033</v>
      </c>
      <c r="P1729">
        <v>1.7587158594389606E-2</v>
      </c>
      <c r="Q1729">
        <v>9.0759385598705982E-4</v>
      </c>
      <c r="R1729">
        <v>1.39929026234859E-3</v>
      </c>
      <c r="S1729">
        <v>0.10682522456673964</v>
      </c>
      <c r="T1729">
        <v>0.98313781538552725</v>
      </c>
      <c r="U1729">
        <v>0</v>
      </c>
      <c r="V1729">
        <v>0.20634352633171549</v>
      </c>
      <c r="W1729">
        <v>8.3302920055183971E-2</v>
      </c>
      <c r="X1729">
        <v>2.8843453879015907E-2</v>
      </c>
      <c r="Y1729">
        <v>3.8084068182018494E-3</v>
      </c>
    </row>
    <row r="1730" spans="1:25" x14ac:dyDescent="0.25">
      <c r="A1730" s="1095"/>
      <c r="B1730" s="1454">
        <v>1480</v>
      </c>
      <c r="C1730" s="1099">
        <v>1.0248981530335848</v>
      </c>
      <c r="D1730" s="1099">
        <v>0.99065932804007217</v>
      </c>
      <c r="E1730" s="1099">
        <v>1.0091748270463099</v>
      </c>
      <c r="F1730" s="1099">
        <v>1.0163078566355588</v>
      </c>
      <c r="G1730" s="1099">
        <v>1.0120573634739791</v>
      </c>
      <c r="H1730" s="1099">
        <v>0.97400374385494426</v>
      </c>
      <c r="I1730" s="1099">
        <v>1.0002612159022422</v>
      </c>
      <c r="K1730">
        <v>1.7443415616652851</v>
      </c>
      <c r="L1730">
        <v>0</v>
      </c>
      <c r="M1730">
        <v>1.2938325645148914E-3</v>
      </c>
      <c r="N1730">
        <v>0.12235451673286969</v>
      </c>
      <c r="O1730">
        <v>0.12792456353062687</v>
      </c>
      <c r="P1730">
        <v>1.8690905710504344E-2</v>
      </c>
      <c r="Q1730">
        <v>8.8865206989584505E-4</v>
      </c>
      <c r="R1730">
        <v>1.2904242334269992E-3</v>
      </c>
      <c r="S1730">
        <v>0.10444865581031827</v>
      </c>
      <c r="T1730">
        <v>1.0475936201303861</v>
      </c>
      <c r="U1730">
        <v>0</v>
      </c>
      <c r="V1730">
        <v>0.2088821881478608</v>
      </c>
      <c r="W1730">
        <v>7.9943061157706483E-2</v>
      </c>
      <c r="X1730">
        <v>3.0106697331050581E-2</v>
      </c>
      <c r="Y1730">
        <v>3.5121093751540678E-3</v>
      </c>
    </row>
    <row r="1731" spans="1:25" x14ac:dyDescent="0.25">
      <c r="A1731" s="1095"/>
      <c r="B1731" s="1454">
        <v>1481</v>
      </c>
      <c r="C1731" s="1099">
        <v>1.0154245339542936</v>
      </c>
      <c r="D1731" s="1099">
        <v>0.96453271200517943</v>
      </c>
      <c r="E1731" s="1099">
        <v>0.96619968443671134</v>
      </c>
      <c r="F1731" s="1099">
        <v>1.0138899456216093</v>
      </c>
      <c r="G1731" s="1099">
        <v>0.96637306734751538</v>
      </c>
      <c r="H1731" s="1099">
        <v>0.99341545312759716</v>
      </c>
      <c r="I1731" s="1099">
        <v>0.9986053959353739</v>
      </c>
      <c r="K1731">
        <v>1.7486732313836508</v>
      </c>
      <c r="L1731">
        <v>0</v>
      </c>
      <c r="M1731">
        <v>1.477613836999581E-3</v>
      </c>
      <c r="N1731">
        <v>0.12271320071046712</v>
      </c>
      <c r="O1731">
        <v>0.1292876822911217</v>
      </c>
      <c r="P1731">
        <v>1.8117702888606039E-2</v>
      </c>
      <c r="Q1731">
        <v>8.6681968402840337E-4</v>
      </c>
      <c r="R1731">
        <v>1.4738131928834016E-3</v>
      </c>
      <c r="S1731">
        <v>0.10823167163590668</v>
      </c>
      <c r="T1731">
        <v>1.0464125627501106</v>
      </c>
      <c r="U1731">
        <v>0</v>
      </c>
      <c r="V1731">
        <v>0.20801037260957175</v>
      </c>
      <c r="W1731">
        <v>8.2272368169158908E-2</v>
      </c>
      <c r="X1731">
        <v>2.875341762015533E-2</v>
      </c>
      <c r="Y1731">
        <v>4.0112336686401575E-3</v>
      </c>
    </row>
    <row r="1732" spans="1:25" x14ac:dyDescent="0.25">
      <c r="A1732" s="1095"/>
      <c r="B1732" s="1454">
        <v>1482</v>
      </c>
      <c r="C1732" s="1099">
        <v>1.0018910203932063</v>
      </c>
      <c r="D1732" s="1099">
        <v>1.0041165862917656</v>
      </c>
      <c r="E1732" s="1099">
        <v>1.0095685981340523</v>
      </c>
      <c r="F1732" s="1099">
        <v>0.99158762561481562</v>
      </c>
      <c r="G1732" s="1099">
        <v>0.98199502675265649</v>
      </c>
      <c r="H1732" s="1099">
        <v>0.97471754145206946</v>
      </c>
      <c r="I1732" s="1099">
        <v>1.0116433347536997</v>
      </c>
      <c r="K1732">
        <v>1.7205892944209067</v>
      </c>
      <c r="L1732">
        <v>0</v>
      </c>
      <c r="M1732">
        <v>1.3077164108226123E-3</v>
      </c>
      <c r="N1732">
        <v>0.12381267950973394</v>
      </c>
      <c r="O1732">
        <v>0.12661091313951015</v>
      </c>
      <c r="P1732">
        <v>1.8363335388811165E-2</v>
      </c>
      <c r="Q1732">
        <v>9.0453314357015382E-4</v>
      </c>
      <c r="R1732">
        <v>1.3042514140563881E-3</v>
      </c>
      <c r="S1732">
        <v>0.10694155605746351</v>
      </c>
      <c r="T1732">
        <v>1.0221009093947133</v>
      </c>
      <c r="U1732">
        <v>0</v>
      </c>
      <c r="V1732">
        <v>0.20763751888206181</v>
      </c>
      <c r="W1732">
        <v>8.0876993524145332E-2</v>
      </c>
      <c r="X1732">
        <v>2.9794577974961683E-2</v>
      </c>
      <c r="Y1732">
        <v>3.5497424026983953E-3</v>
      </c>
    </row>
    <row r="1733" spans="1:25" x14ac:dyDescent="0.25">
      <c r="A1733" s="1095"/>
      <c r="B1733" s="1454">
        <v>1483</v>
      </c>
      <c r="C1733" s="1099">
        <v>0.99545566498870541</v>
      </c>
      <c r="D1733" s="1099">
        <v>1.001345059335853</v>
      </c>
      <c r="E1733" s="1099">
        <v>1.0071461320761099</v>
      </c>
      <c r="F1733" s="1099">
        <v>1.0188199163309699</v>
      </c>
      <c r="G1733" s="1099">
        <v>1.0426605760781988</v>
      </c>
      <c r="H1733" s="1099">
        <v>0.97259861061684239</v>
      </c>
      <c r="I1733" s="1099">
        <v>0.98006537381171122</v>
      </c>
      <c r="K1733">
        <v>1.7558753429802982</v>
      </c>
      <c r="L1733">
        <v>0</v>
      </c>
      <c r="M1733">
        <v>1.3244764743228748E-3</v>
      </c>
      <c r="N1733">
        <v>0.12448568516101864</v>
      </c>
      <c r="O1733">
        <v>0.12912761027279773</v>
      </c>
      <c r="P1733">
        <v>1.875004022635714E-2</v>
      </c>
      <c r="Q1733">
        <v>9.0911171650909987E-4</v>
      </c>
      <c r="R1733">
        <v>1.3209676092726616E-3</v>
      </c>
      <c r="S1733">
        <v>0.10442281476933223</v>
      </c>
      <c r="T1733">
        <v>1.0502439509467938</v>
      </c>
      <c r="U1733">
        <v>0</v>
      </c>
      <c r="V1733">
        <v>0.21261478294910346</v>
      </c>
      <c r="W1733">
        <v>8.1433006756396364E-2</v>
      </c>
      <c r="X1733">
        <v>3.0296610671455511E-2</v>
      </c>
      <c r="Y1733">
        <v>3.5952383755848195E-3</v>
      </c>
    </row>
    <row r="1734" spans="1:25" x14ac:dyDescent="0.25">
      <c r="A1734" s="1095"/>
      <c r="B1734" s="1454">
        <v>1484</v>
      </c>
      <c r="C1734" s="1099">
        <v>0.99350047546595643</v>
      </c>
      <c r="D1734" s="1099">
        <v>1.0086558458928594</v>
      </c>
      <c r="E1734" s="1099">
        <v>0.97265742542144606</v>
      </c>
      <c r="F1734" s="1099">
        <v>0.97582059014331657</v>
      </c>
      <c r="G1734" s="1099">
        <v>1.0353143542237286</v>
      </c>
      <c r="H1734" s="1099">
        <v>0.9981691740679427</v>
      </c>
      <c r="I1734" s="1099">
        <v>1.0218974376994119</v>
      </c>
      <c r="K1734">
        <v>1.7080172080476312</v>
      </c>
      <c r="L1734">
        <v>0</v>
      </c>
      <c r="M1734">
        <v>1.4508828806901635E-3</v>
      </c>
      <c r="N1734">
        <v>0.12286975029144517</v>
      </c>
      <c r="O1734">
        <v>0.12548603543228493</v>
      </c>
      <c r="P1734">
        <v>1.772978532392417E-2</v>
      </c>
      <c r="Q1734">
        <v>8.7618063535260273E-4</v>
      </c>
      <c r="R1734">
        <v>1.4471177766180025E-3</v>
      </c>
      <c r="S1734">
        <v>0.11009572709620029</v>
      </c>
      <c r="T1734">
        <v>1.0069289688306118</v>
      </c>
      <c r="U1734">
        <v>0</v>
      </c>
      <c r="V1734">
        <v>0.20985915323790519</v>
      </c>
      <c r="W1734">
        <v>8.2054039049325928E-2</v>
      </c>
      <c r="X1734">
        <v>2.8182755708943439E-2</v>
      </c>
      <c r="Y1734">
        <v>3.9385775457073486E-3</v>
      </c>
    </row>
    <row r="1735" spans="1:25" x14ac:dyDescent="0.25">
      <c r="A1735" s="1095"/>
      <c r="B1735" s="1454">
        <v>1485</v>
      </c>
      <c r="C1735" s="1099">
        <v>1.0083791182657671</v>
      </c>
      <c r="D1735" s="1099">
        <v>1.0004728626476302</v>
      </c>
      <c r="E1735" s="1099">
        <v>0.99203630568174517</v>
      </c>
      <c r="F1735" s="1099">
        <v>1.0064240539069875</v>
      </c>
      <c r="G1735" s="1099">
        <v>0.95979991712385537</v>
      </c>
      <c r="H1735" s="1099">
        <v>1.0017261049741164</v>
      </c>
      <c r="I1735" s="1099">
        <v>0.99695738087377805</v>
      </c>
      <c r="K1735">
        <v>1.7387839343498075</v>
      </c>
      <c r="L1735">
        <v>0</v>
      </c>
      <c r="M1735">
        <v>1.3902551204099636E-3</v>
      </c>
      <c r="N1735">
        <v>0.12484675119542692</v>
      </c>
      <c r="O1735">
        <v>0.12749762761295275</v>
      </c>
      <c r="P1735">
        <v>1.8328231262180406E-2</v>
      </c>
      <c r="Q1735">
        <v>8.8381541444664446E-4</v>
      </c>
      <c r="R1735">
        <v>1.3866797003755302E-3</v>
      </c>
      <c r="S1735">
        <v>0.10690644725462546</v>
      </c>
      <c r="T1735">
        <v>1.0379179964801131</v>
      </c>
      <c r="U1735">
        <v>0</v>
      </c>
      <c r="V1735">
        <v>0.20685305484375247</v>
      </c>
      <c r="W1735">
        <v>8.2406174070998678E-2</v>
      </c>
      <c r="X1735">
        <v>2.9373326609764466E-2</v>
      </c>
      <c r="Y1735">
        <v>3.774085025581817E-3</v>
      </c>
    </row>
    <row r="1736" spans="1:25" x14ac:dyDescent="0.25">
      <c r="A1736" s="1095"/>
      <c r="B1736" s="1454">
        <v>1486</v>
      </c>
      <c r="C1736" s="1099">
        <v>1.0128033526770899</v>
      </c>
      <c r="D1736" s="1099">
        <v>1.0050015215852672</v>
      </c>
      <c r="E1736" s="1099">
        <v>0.97056724531278471</v>
      </c>
      <c r="F1736" s="1099">
        <v>1.0248242604032107</v>
      </c>
      <c r="G1736" s="1099">
        <v>0.98987924217116496</v>
      </c>
      <c r="H1736" s="1099">
        <v>0.98434026108654571</v>
      </c>
      <c r="I1736" s="1099">
        <v>0.99514840438732755</v>
      </c>
      <c r="K1736">
        <v>1.750766941031574</v>
      </c>
      <c r="L1736">
        <v>0</v>
      </c>
      <c r="M1736">
        <v>1.4208070367367901E-3</v>
      </c>
      <c r="N1736">
        <v>0.11956140054054921</v>
      </c>
      <c r="O1736">
        <v>0.12835867006973836</v>
      </c>
      <c r="P1736">
        <v>1.8291286756387165E-2</v>
      </c>
      <c r="Q1736">
        <v>8.5883859818633044E-4</v>
      </c>
      <c r="R1736">
        <v>1.4170923263283944E-3</v>
      </c>
      <c r="S1736">
        <v>0.10484969254160861</v>
      </c>
      <c r="T1736">
        <v>1.0575603308436357</v>
      </c>
      <c r="U1736">
        <v>0</v>
      </c>
      <c r="V1736">
        <v>0.20869807320679859</v>
      </c>
      <c r="W1736">
        <v>7.9946188651301084E-2</v>
      </c>
      <c r="X1736">
        <v>2.8789316365871218E-2</v>
      </c>
      <c r="Y1736">
        <v>3.8568581679060635E-3</v>
      </c>
    </row>
    <row r="1737" spans="1:25" x14ac:dyDescent="0.25">
      <c r="A1737" s="1095"/>
      <c r="B1737" s="1454">
        <v>1487</v>
      </c>
      <c r="C1737" s="1099">
        <v>0.98313222979413295</v>
      </c>
      <c r="D1737" s="1099">
        <v>1.0295705143439655</v>
      </c>
      <c r="E1737" s="1099">
        <v>1.0258044445433183</v>
      </c>
      <c r="F1737" s="1099">
        <v>1.019177320429834</v>
      </c>
      <c r="G1737" s="1099">
        <v>1.0158879379085142</v>
      </c>
      <c r="H1737" s="1099">
        <v>1.0046419182112529</v>
      </c>
      <c r="I1737" s="1099">
        <v>0.973480974351704</v>
      </c>
      <c r="K1737">
        <v>1.7645630295840025</v>
      </c>
      <c r="L1737">
        <v>0</v>
      </c>
      <c r="M1737">
        <v>1.3095808916072256E-3</v>
      </c>
      <c r="N1737">
        <v>0.13022345289648993</v>
      </c>
      <c r="O1737">
        <v>0.12859055232387334</v>
      </c>
      <c r="P1737">
        <v>1.9005703526131245E-2</v>
      </c>
      <c r="Q1737">
        <v>9.2795420378337303E-4</v>
      </c>
      <c r="R1737">
        <v>1.3062010471312638E-3</v>
      </c>
      <c r="S1737">
        <v>0.10537679780177756</v>
      </c>
      <c r="T1737">
        <v>1.0500563852022502</v>
      </c>
      <c r="U1737">
        <v>0</v>
      </c>
      <c r="V1737">
        <v>0.2116125502083584</v>
      </c>
      <c r="W1737">
        <v>8.425898909924226E-2</v>
      </c>
      <c r="X1737">
        <v>3.0958975505338816E-2</v>
      </c>
      <c r="Y1737">
        <v>3.5550486612318365E-3</v>
      </c>
    </row>
    <row r="1738" spans="1:25" x14ac:dyDescent="0.25">
      <c r="A1738" s="1095"/>
      <c r="B1738" s="1454">
        <v>1488</v>
      </c>
      <c r="C1738" s="1099">
        <v>0.99942565579077214</v>
      </c>
      <c r="D1738" s="1099">
        <v>1.0288060537205039</v>
      </c>
      <c r="E1738" s="1099">
        <v>1.0259195578745468</v>
      </c>
      <c r="F1738" s="1099">
        <v>0.99818370767118791</v>
      </c>
      <c r="G1738" s="1099">
        <v>0.99617828957045029</v>
      </c>
      <c r="H1738" s="1099">
        <v>1.0162354793591113</v>
      </c>
      <c r="I1738" s="1099">
        <v>0.95897194828329047</v>
      </c>
      <c r="K1738">
        <v>1.7326317538347191</v>
      </c>
      <c r="L1738">
        <v>0</v>
      </c>
      <c r="M1738">
        <v>1.3027950943456409E-3</v>
      </c>
      <c r="N1738">
        <v>0.12959738653554792</v>
      </c>
      <c r="O1738">
        <v>0.12619690573305298</v>
      </c>
      <c r="P1738">
        <v>1.862458518163192E-2</v>
      </c>
      <c r="Q1738">
        <v>9.1320471228183652E-4</v>
      </c>
      <c r="R1738">
        <v>1.2994701599528073E-3</v>
      </c>
      <c r="S1738">
        <v>0.10289700072059903</v>
      </c>
      <c r="T1738">
        <v>1.0284233796726256</v>
      </c>
      <c r="U1738">
        <v>0</v>
      </c>
      <c r="V1738">
        <v>0.20819951704636577</v>
      </c>
      <c r="W1738">
        <v>8.3848281737189279E-2</v>
      </c>
      <c r="X1738">
        <v>3.0398088024648592E-2</v>
      </c>
      <c r="Y1738">
        <v>3.5367294051684415E-3</v>
      </c>
    </row>
    <row r="1739" spans="1:25" x14ac:dyDescent="0.25">
      <c r="A1739" s="1095"/>
      <c r="B1739" s="1454">
        <v>1489</v>
      </c>
      <c r="C1739" s="1099">
        <v>1.0064117099245269</v>
      </c>
      <c r="D1739" s="1099">
        <v>1.0201040191225248</v>
      </c>
      <c r="E1739" s="1099">
        <v>0.96217581359752402</v>
      </c>
      <c r="F1739" s="1099">
        <v>0.96480053865913751</v>
      </c>
      <c r="G1739" s="1099">
        <v>0.97576853936485697</v>
      </c>
      <c r="H1739" s="1099">
        <v>0.95444080590682312</v>
      </c>
      <c r="I1739" s="1099">
        <v>1.0289377620544375</v>
      </c>
      <c r="K1739">
        <v>1.6698493172788804</v>
      </c>
      <c r="L1739">
        <v>0</v>
      </c>
      <c r="M1739">
        <v>1.3903661340565691E-3</v>
      </c>
      <c r="N1739">
        <v>0.11405169947446168</v>
      </c>
      <c r="O1739">
        <v>0.12344990682259067</v>
      </c>
      <c r="P1739">
        <v>1.7316207000435953E-2</v>
      </c>
      <c r="Q1739">
        <v>8.5157480056768703E-4</v>
      </c>
      <c r="R1739">
        <v>1.3865851703457504E-3</v>
      </c>
      <c r="S1739">
        <v>0.10558433829198842</v>
      </c>
      <c r="T1739">
        <v>0.99586807667584021</v>
      </c>
      <c r="U1739">
        <v>0</v>
      </c>
      <c r="V1739">
        <v>0.20496129190817877</v>
      </c>
      <c r="W1739">
        <v>7.6653680799589327E-2</v>
      </c>
      <c r="X1739">
        <v>2.7342494722936889E-2</v>
      </c>
      <c r="Y1739">
        <v>3.7738277460025731E-3</v>
      </c>
    </row>
    <row r="1740" spans="1:25" x14ac:dyDescent="0.25">
      <c r="A1740" s="1095"/>
      <c r="B1740" s="1454">
        <v>1490</v>
      </c>
      <c r="C1740" s="1099">
        <v>1.0204291980209881</v>
      </c>
      <c r="D1740" s="1099">
        <v>0.99436132878034633</v>
      </c>
      <c r="E1740" s="1099">
        <v>1.0028427077334268</v>
      </c>
      <c r="F1740" s="1099">
        <v>0.99565358880469457</v>
      </c>
      <c r="G1740" s="1099">
        <v>1.0319210107285584</v>
      </c>
      <c r="H1740" s="1099">
        <v>1.0171460860259061</v>
      </c>
      <c r="I1740" s="1099">
        <v>0.98748924110667513</v>
      </c>
      <c r="K1740">
        <v>1.730837889450066</v>
      </c>
      <c r="L1740">
        <v>0</v>
      </c>
      <c r="M1740">
        <v>1.3690955010491946E-3</v>
      </c>
      <c r="N1740">
        <v>0.12703299146901909</v>
      </c>
      <c r="O1740">
        <v>0.12639976194849589</v>
      </c>
      <c r="P1740">
        <v>1.8339238610417623E-2</v>
      </c>
      <c r="Q1740">
        <v>8.8540000337366577E-4</v>
      </c>
      <c r="R1740">
        <v>1.3656321118229223E-3</v>
      </c>
      <c r="S1740">
        <v>0.10610777839666667</v>
      </c>
      <c r="T1740">
        <v>1.0264898265963012</v>
      </c>
      <c r="U1740">
        <v>0</v>
      </c>
      <c r="V1740">
        <v>0.20900610157514626</v>
      </c>
      <c r="W1740">
        <v>8.3311320276225634E-2</v>
      </c>
      <c r="X1740">
        <v>2.9552133535766894E-2</v>
      </c>
      <c r="Y1740">
        <v>3.7168004278773214E-3</v>
      </c>
    </row>
    <row r="1741" spans="1:25" x14ac:dyDescent="0.25">
      <c r="A1741" s="1095"/>
      <c r="B1741" s="1454">
        <v>1491</v>
      </c>
      <c r="C1741" s="1099">
        <v>1.0215400775965249</v>
      </c>
      <c r="D1741" s="1099">
        <v>1.0044017894282078</v>
      </c>
      <c r="E1741" s="1099">
        <v>0.97140536023045498</v>
      </c>
      <c r="F1741" s="1099">
        <v>1.0076276892165847</v>
      </c>
      <c r="G1741" s="1099">
        <v>1.0094761991670755</v>
      </c>
      <c r="H1741" s="1099">
        <v>1.0095883632555072</v>
      </c>
      <c r="I1741" s="1099">
        <v>1.0220961124675552</v>
      </c>
      <c r="K1741">
        <v>1.7373002170406435</v>
      </c>
      <c r="L1741">
        <v>0</v>
      </c>
      <c r="M1741">
        <v>1.4417444810428818E-3</v>
      </c>
      <c r="N1741">
        <v>0.12163932845918941</v>
      </c>
      <c r="O1741">
        <v>0.12666091065054522</v>
      </c>
      <c r="P1741">
        <v>1.8106387413246341E-2</v>
      </c>
      <c r="Q1741">
        <v>8.5244871179062395E-4</v>
      </c>
      <c r="R1741">
        <v>1.4380670306851698E-3</v>
      </c>
      <c r="S1741">
        <v>0.10852248095875368</v>
      </c>
      <c r="T1741">
        <v>1.0397886109534074</v>
      </c>
      <c r="U1741">
        <v>0</v>
      </c>
      <c r="V1741">
        <v>0.20806231932417973</v>
      </c>
      <c r="W1741">
        <v>8.1294173868482478E-2</v>
      </c>
      <c r="X1741">
        <v>2.8463289752551673E-2</v>
      </c>
      <c r="Y1741">
        <v>3.913944398855773E-3</v>
      </c>
    </row>
    <row r="1742" spans="1:25" x14ac:dyDescent="0.25">
      <c r="A1742" s="1095"/>
      <c r="B1742" s="1454">
        <v>1492</v>
      </c>
      <c r="C1742" s="1099">
        <v>1.0006378331567367</v>
      </c>
      <c r="D1742" s="1099">
        <v>0.98135388468443108</v>
      </c>
      <c r="E1742" s="1099">
        <v>1.0026991951687478</v>
      </c>
      <c r="F1742" s="1099">
        <v>1.0166233283189896</v>
      </c>
      <c r="G1742" s="1099">
        <v>0.9860574261857139</v>
      </c>
      <c r="H1742" s="1099">
        <v>0.99111868139706072</v>
      </c>
      <c r="I1742" s="1099">
        <v>1.032230911160988</v>
      </c>
      <c r="K1742">
        <v>1.7640434351463816</v>
      </c>
      <c r="L1742">
        <v>0</v>
      </c>
      <c r="M1742">
        <v>1.3717094849987649E-3</v>
      </c>
      <c r="N1742">
        <v>0.12721278445061771</v>
      </c>
      <c r="O1742">
        <v>0.12960844024839485</v>
      </c>
      <c r="P1742">
        <v>1.872789656865418E-2</v>
      </c>
      <c r="Q1742">
        <v>9.0754544974424179E-4</v>
      </c>
      <c r="R1742">
        <v>1.3681578851278049E-3</v>
      </c>
      <c r="S1742">
        <v>0.11214689181610824</v>
      </c>
      <c r="T1742">
        <v>1.0481133418441444</v>
      </c>
      <c r="U1742">
        <v>0</v>
      </c>
      <c r="V1742">
        <v>0.20992155202691803</v>
      </c>
      <c r="W1742">
        <v>8.3436333815510383E-2</v>
      </c>
      <c r="X1742">
        <v>3.0248525775969527E-2</v>
      </c>
      <c r="Y1742">
        <v>3.7236747501922652E-3</v>
      </c>
    </row>
    <row r="1743" spans="1:25" x14ac:dyDescent="0.25">
      <c r="A1743" s="1095"/>
      <c r="B1743" s="1454">
        <v>1493</v>
      </c>
      <c r="C1743" s="1099">
        <v>1.0051500068938528</v>
      </c>
      <c r="D1743" s="1099">
        <v>1.0333204896472936</v>
      </c>
      <c r="E1743" s="1099">
        <v>1.0257142228420462</v>
      </c>
      <c r="F1743" s="1099">
        <v>0.99658877435144855</v>
      </c>
      <c r="G1743" s="1099">
        <v>0.98726207256226683</v>
      </c>
      <c r="H1743" s="1099">
        <v>0.96727352240701825</v>
      </c>
      <c r="I1743" s="1099">
        <v>1.0192244742092622</v>
      </c>
      <c r="K1743">
        <v>1.7190609026591939</v>
      </c>
      <c r="L1743">
        <v>0</v>
      </c>
      <c r="M1743">
        <v>1.2307107499366018E-3</v>
      </c>
      <c r="N1743">
        <v>0.12233489974521707</v>
      </c>
      <c r="O1743">
        <v>0.12558649492768875</v>
      </c>
      <c r="P1743">
        <v>1.8613567060531085E-2</v>
      </c>
      <c r="Q1743">
        <v>9.0622480675358848E-4</v>
      </c>
      <c r="R1743">
        <v>1.227409124595848E-3</v>
      </c>
      <c r="S1743">
        <v>0.10506368488544494</v>
      </c>
      <c r="T1743">
        <v>1.0267860548941528</v>
      </c>
      <c r="U1743">
        <v>0</v>
      </c>
      <c r="V1743">
        <v>0.20707743342491994</v>
      </c>
      <c r="W1743">
        <v>7.9158987147460252E-2</v>
      </c>
      <c r="X1743">
        <v>3.0196254370525939E-2</v>
      </c>
      <c r="Y1743">
        <v>3.3406030218407186E-3</v>
      </c>
    </row>
    <row r="1744" spans="1:25" x14ac:dyDescent="0.25">
      <c r="A1744" s="1095"/>
      <c r="B1744" s="1454">
        <v>1494</v>
      </c>
      <c r="C1744" s="1099">
        <v>0.98420599032850087</v>
      </c>
      <c r="D1744" s="1099">
        <v>0.99426161562257509</v>
      </c>
      <c r="E1744" s="1099">
        <v>0.96501977941023975</v>
      </c>
      <c r="F1744" s="1099">
        <v>1.0085423652949206</v>
      </c>
      <c r="G1744" s="1099">
        <v>1.0014011013839845</v>
      </c>
      <c r="H1744" s="1099">
        <v>0.99117089703057459</v>
      </c>
      <c r="I1744" s="1099">
        <v>0.99593961760485861</v>
      </c>
      <c r="K1744">
        <v>1.7482140616864232</v>
      </c>
      <c r="L1744">
        <v>0</v>
      </c>
      <c r="M1744">
        <v>1.4930780339227801E-3</v>
      </c>
      <c r="N1744">
        <v>0.12355156795800645</v>
      </c>
      <c r="O1744">
        <v>0.12909428661391242</v>
      </c>
      <c r="P1744">
        <v>1.8079161232061897E-2</v>
      </c>
      <c r="Q1744">
        <v>8.824208726085647E-4</v>
      </c>
      <c r="R1744">
        <v>1.4891947200071887E-3</v>
      </c>
      <c r="S1744">
        <v>0.10891599880622127</v>
      </c>
      <c r="T1744">
        <v>1.0409300460589994</v>
      </c>
      <c r="U1744">
        <v>0</v>
      </c>
      <c r="V1744">
        <v>0.2111427214843036</v>
      </c>
      <c r="W1744">
        <v>8.2894161957728862E-2</v>
      </c>
      <c r="X1744">
        <v>2.8674482901544424E-2</v>
      </c>
      <c r="Y1744">
        <v>4.0530971149520542E-3</v>
      </c>
    </row>
    <row r="1745" spans="1:25" x14ac:dyDescent="0.25">
      <c r="A1745" s="1095"/>
      <c r="B1745" s="1454">
        <v>1495</v>
      </c>
      <c r="C1745" s="1099">
        <v>1.0322301976786186</v>
      </c>
      <c r="D1745" s="1099">
        <v>1.0380245396666143</v>
      </c>
      <c r="E1745" s="1099">
        <v>1.0459306608940677</v>
      </c>
      <c r="F1745" s="1099">
        <v>0.97828903453728489</v>
      </c>
      <c r="G1745" s="1099">
        <v>0.96161061526470848</v>
      </c>
      <c r="H1745" s="1099">
        <v>0.99573773894609807</v>
      </c>
      <c r="I1745" s="1099">
        <v>1.0029154251859005</v>
      </c>
      <c r="K1745">
        <v>1.6924690343920359</v>
      </c>
      <c r="L1745">
        <v>0</v>
      </c>
      <c r="M1745">
        <v>1.1802590310345327E-3</v>
      </c>
      <c r="N1745">
        <v>0.12469846067881664</v>
      </c>
      <c r="O1745">
        <v>0.12275281076851217</v>
      </c>
      <c r="P1745">
        <v>1.8512414528336733E-2</v>
      </c>
      <c r="Q1745">
        <v>8.9915195009078019E-4</v>
      </c>
      <c r="R1745">
        <v>1.1771823532737106E-3</v>
      </c>
      <c r="S1745">
        <v>0.10235009367235791</v>
      </c>
      <c r="T1745">
        <v>1.007364859079807</v>
      </c>
      <c r="U1745">
        <v>0</v>
      </c>
      <c r="V1745">
        <v>0.20262251377189333</v>
      </c>
      <c r="W1745">
        <v>7.9751266648464283E-2</v>
      </c>
      <c r="X1745">
        <v>3.031663766396489E-2</v>
      </c>
      <c r="Y1745">
        <v>3.2039023075525769E-3</v>
      </c>
    </row>
    <row r="1746" spans="1:25" x14ac:dyDescent="0.25">
      <c r="A1746" s="1095"/>
      <c r="B1746" s="1454">
        <v>1496</v>
      </c>
      <c r="C1746" s="1099">
        <v>1.0042716017934581</v>
      </c>
      <c r="D1746" s="1099">
        <v>1.0173587338516441</v>
      </c>
      <c r="E1746" s="1099">
        <v>0.99646896466422707</v>
      </c>
      <c r="F1746" s="1099">
        <v>1.0036162545168352</v>
      </c>
      <c r="G1746" s="1099">
        <v>0.97673736421816126</v>
      </c>
      <c r="H1746" s="1099">
        <v>1.0140592758035387</v>
      </c>
      <c r="I1746" s="1099">
        <v>1.0250919800372047</v>
      </c>
      <c r="K1746">
        <v>1.7406941840990486</v>
      </c>
      <c r="L1746">
        <v>0</v>
      </c>
      <c r="M1746">
        <v>1.3856543511578682E-3</v>
      </c>
      <c r="N1746">
        <v>0.12611468181639449</v>
      </c>
      <c r="O1746">
        <v>0.12674835136521712</v>
      </c>
      <c r="P1746">
        <v>1.8398373997256825E-2</v>
      </c>
      <c r="Q1746">
        <v>8.8558197636898314E-4</v>
      </c>
      <c r="R1746">
        <v>1.3821208716251702E-3</v>
      </c>
      <c r="S1746">
        <v>0.1100750006952068</v>
      </c>
      <c r="T1746">
        <v>1.0348893254345382</v>
      </c>
      <c r="U1746">
        <v>0</v>
      </c>
      <c r="V1746">
        <v>0.20738176628410959</v>
      </c>
      <c r="W1746">
        <v>8.3023069416122683E-2</v>
      </c>
      <c r="X1746">
        <v>2.9419889196825054E-2</v>
      </c>
      <c r="Y1746">
        <v>3.7616773965408316E-3</v>
      </c>
    </row>
    <row r="1747" spans="1:25" x14ac:dyDescent="0.25">
      <c r="A1747" s="1095"/>
      <c r="B1747" s="1454">
        <v>1497</v>
      </c>
      <c r="C1747" s="1099">
        <v>1.0132493492500718</v>
      </c>
      <c r="D1747" s="1099">
        <v>0.97770487071712975</v>
      </c>
      <c r="E1747" s="1099">
        <v>0.98260950706534289</v>
      </c>
      <c r="F1747" s="1099">
        <v>0.99326152856045569</v>
      </c>
      <c r="G1747" s="1099">
        <v>0.98740733833077221</v>
      </c>
      <c r="H1747" s="1099">
        <v>0.98960960666396436</v>
      </c>
      <c r="I1747" s="1099">
        <v>1.0168611927957518</v>
      </c>
      <c r="K1747">
        <v>1.725484155054742</v>
      </c>
      <c r="L1747">
        <v>0</v>
      </c>
      <c r="M1747">
        <v>1.4117569564041964E-3</v>
      </c>
      <c r="N1747">
        <v>0.12321189886642904</v>
      </c>
      <c r="O1747">
        <v>0.12726241207399222</v>
      </c>
      <c r="P1747">
        <v>1.8061691426551944E-2</v>
      </c>
      <c r="Q1747">
        <v>8.7901156342135435E-4</v>
      </c>
      <c r="R1747">
        <v>1.4080950354314924E-3</v>
      </c>
      <c r="S1747">
        <v>0.10914094311379627</v>
      </c>
      <c r="T1747">
        <v>1.0246254580447585</v>
      </c>
      <c r="U1747">
        <v>0</v>
      </c>
      <c r="V1747">
        <v>0.20775934605301064</v>
      </c>
      <c r="W1747">
        <v>8.1788628103619268E-2</v>
      </c>
      <c r="X1747">
        <v>2.8926057222095312E-2</v>
      </c>
      <c r="Y1747">
        <v>3.8323705080408419E-3</v>
      </c>
    </row>
    <row r="1748" spans="1:25" x14ac:dyDescent="0.25">
      <c r="A1748" s="1095"/>
      <c r="B1748" s="1454">
        <v>1498</v>
      </c>
      <c r="C1748" s="1099">
        <v>0.99954267579783718</v>
      </c>
      <c r="D1748" s="1099">
        <v>1.0339938806468323</v>
      </c>
      <c r="E1748" s="1099">
        <v>1.0020079311535457</v>
      </c>
      <c r="F1748" s="1099">
        <v>0.97202153554367698</v>
      </c>
      <c r="G1748" s="1099">
        <v>1.0211174895239981</v>
      </c>
      <c r="H1748" s="1099">
        <v>0.9837070507597967</v>
      </c>
      <c r="I1748" s="1099">
        <v>0.99139792030730611</v>
      </c>
      <c r="K1748">
        <v>1.6908736800254722</v>
      </c>
      <c r="L1748">
        <v>0</v>
      </c>
      <c r="M1748">
        <v>1.3183268374557084E-3</v>
      </c>
      <c r="N1748">
        <v>0.12200020566368622</v>
      </c>
      <c r="O1748">
        <v>0.12389305190366333</v>
      </c>
      <c r="P1748">
        <v>1.7945337474806644E-2</v>
      </c>
      <c r="Q1748">
        <v>8.8911136396458801E-4</v>
      </c>
      <c r="R1748">
        <v>1.3148398881016969E-3</v>
      </c>
      <c r="S1748">
        <v>0.10363344919451468</v>
      </c>
      <c r="T1748">
        <v>1.0021499310668316</v>
      </c>
      <c r="U1748">
        <v>0</v>
      </c>
      <c r="V1748">
        <v>0.20781887098990975</v>
      </c>
      <c r="W1748">
        <v>8.0050327983741135E-2</v>
      </c>
      <c r="X1748">
        <v>2.8918320595146166E-2</v>
      </c>
      <c r="Y1748">
        <v>3.5785607385601949E-3</v>
      </c>
    </row>
    <row r="1749" spans="1:25" x14ac:dyDescent="0.25">
      <c r="A1749" s="1095"/>
      <c r="B1749" s="1454">
        <v>1499</v>
      </c>
      <c r="C1749" s="1099">
        <v>1.0025698824035727</v>
      </c>
      <c r="D1749" s="1099">
        <v>1.0105230304459225</v>
      </c>
      <c r="E1749" s="1099">
        <v>0.99233676361032053</v>
      </c>
      <c r="F1749" s="1099">
        <v>1.0128119954974821</v>
      </c>
      <c r="G1749" s="1099">
        <v>1.0013073718938783</v>
      </c>
      <c r="H1749" s="1099">
        <v>0.99025258226172563</v>
      </c>
      <c r="I1749" s="1099">
        <v>0.99862552004234761</v>
      </c>
      <c r="K1749">
        <v>1.7453809513334386</v>
      </c>
      <c r="L1749">
        <v>0</v>
      </c>
      <c r="M1749">
        <v>1.3733998154635224E-3</v>
      </c>
      <c r="N1749">
        <v>0.12344091377403943</v>
      </c>
      <c r="O1749">
        <v>0.12781860188966396</v>
      </c>
      <c r="P1749">
        <v>1.8446976942781638E-2</v>
      </c>
      <c r="Q1749">
        <v>8.8566657534249133E-4</v>
      </c>
      <c r="R1749">
        <v>1.3698202561988888E-3</v>
      </c>
      <c r="S1749">
        <v>0.106252493121739</v>
      </c>
      <c r="T1749">
        <v>1.0444967184203084</v>
      </c>
      <c r="U1749">
        <v>0</v>
      </c>
      <c r="V1749">
        <v>0.2093787692864488</v>
      </c>
      <c r="W1749">
        <v>8.1463600141820039E-2</v>
      </c>
      <c r="X1749">
        <v>2.9472591564313456E-2</v>
      </c>
      <c r="Y1749">
        <v>3.7281991762472778E-3</v>
      </c>
    </row>
    <row r="1750" spans="1:25" x14ac:dyDescent="0.25">
      <c r="A1750" s="1095"/>
      <c r="B1750" s="1454">
        <v>1500</v>
      </c>
      <c r="C1750" s="1099">
        <v>1.020480636918067</v>
      </c>
      <c r="D1750" s="1099">
        <v>1.0172637508725779</v>
      </c>
      <c r="E1750" s="1099">
        <v>0.99141225280502376</v>
      </c>
      <c r="F1750" s="1099">
        <v>1.0493830742672248</v>
      </c>
      <c r="G1750" s="1099">
        <v>1.0016099422898872</v>
      </c>
      <c r="H1750" s="1099">
        <v>0.98938543185631778</v>
      </c>
      <c r="I1750" s="1099">
        <v>1.0120222121835147</v>
      </c>
      <c r="K1750">
        <v>1.7811001237705562</v>
      </c>
      <c r="L1750">
        <v>0</v>
      </c>
      <c r="M1750">
        <v>1.3511917923511223E-3</v>
      </c>
      <c r="N1750">
        <v>0.12110659825987288</v>
      </c>
      <c r="O1750">
        <v>0.12929677535589962</v>
      </c>
      <c r="P1750">
        <v>1.89393710676556E-2</v>
      </c>
      <c r="Q1750">
        <v>8.6697605652033343E-4</v>
      </c>
      <c r="R1750">
        <v>1.3476776746770656E-3</v>
      </c>
      <c r="S1750">
        <v>0.10558469346106455</v>
      </c>
      <c r="T1750">
        <v>1.0822409585900541</v>
      </c>
      <c r="U1750">
        <v>0</v>
      </c>
      <c r="V1750">
        <v>0.20958314938254857</v>
      </c>
      <c r="W1750">
        <v>7.9967303004769869E-2</v>
      </c>
      <c r="X1750">
        <v>2.9849878341198684E-2</v>
      </c>
      <c r="Y1750">
        <v>3.6679343686449122E-3</v>
      </c>
    </row>
    <row r="1751" spans="1:25" x14ac:dyDescent="0.25">
      <c r="A1751" s="1095"/>
      <c r="B1751" s="1454">
        <v>1501</v>
      </c>
      <c r="C1751" s="1099">
        <v>0.99765040221407253</v>
      </c>
      <c r="D1751" s="1099">
        <v>1.0136649919470304</v>
      </c>
      <c r="E1751" s="1099">
        <v>1.0072146505078297</v>
      </c>
      <c r="F1751" s="1099">
        <v>1.0471877035709201</v>
      </c>
      <c r="G1751" s="1099">
        <v>1.0012067101472297</v>
      </c>
      <c r="H1751" s="1099">
        <v>1.0161949977841391</v>
      </c>
      <c r="I1751" s="1099">
        <v>0.97672314315108599</v>
      </c>
      <c r="K1751">
        <v>1.7959580314035997</v>
      </c>
      <c r="L1751">
        <v>0</v>
      </c>
      <c r="M1751">
        <v>1.3740589701654721E-3</v>
      </c>
      <c r="N1751">
        <v>0.12918736329626559</v>
      </c>
      <c r="O1751">
        <v>0.13056155374397746</v>
      </c>
      <c r="P1751">
        <v>1.9161066641979325E-2</v>
      </c>
      <c r="Q1751">
        <v>9.0274949605851653E-4</v>
      </c>
      <c r="R1751">
        <v>1.3705754034143468E-3</v>
      </c>
      <c r="S1751">
        <v>0.1061875224696774</v>
      </c>
      <c r="T1751">
        <v>1.0794845841328216</v>
      </c>
      <c r="U1751">
        <v>0</v>
      </c>
      <c r="V1751">
        <v>0.21151449674974168</v>
      </c>
      <c r="W1751">
        <v>8.4505213801628482E-2</v>
      </c>
      <c r="X1751">
        <v>3.0726710200167338E-2</v>
      </c>
      <c r="Y1751">
        <v>3.7302544380335423E-3</v>
      </c>
    </row>
    <row r="1752" spans="1:25" x14ac:dyDescent="0.25">
      <c r="A1752" s="1095"/>
      <c r="B1752" s="1454">
        <v>1502</v>
      </c>
      <c r="C1752" s="1099">
        <v>1.0138337128390686</v>
      </c>
      <c r="D1752" s="1099">
        <v>0.98085254268882549</v>
      </c>
      <c r="E1752" s="1099">
        <v>1.0111246307102382</v>
      </c>
      <c r="F1752" s="1099">
        <v>1.0271214970672411</v>
      </c>
      <c r="G1752" s="1099">
        <v>1.0297779314906776</v>
      </c>
      <c r="H1752" s="1099">
        <v>0.99249521138589958</v>
      </c>
      <c r="I1752" s="1099">
        <v>1.0271293124006147</v>
      </c>
      <c r="K1752">
        <v>1.7744753926206502</v>
      </c>
      <c r="L1752">
        <v>0</v>
      </c>
      <c r="M1752">
        <v>1.335260355799929E-3</v>
      </c>
      <c r="N1752">
        <v>0.12702460349312569</v>
      </c>
      <c r="O1752">
        <v>0.12977238681592954</v>
      </c>
      <c r="P1752">
        <v>1.8988859311097669E-2</v>
      </c>
      <c r="Q1752">
        <v>9.0374770980730147E-4</v>
      </c>
      <c r="R1752">
        <v>1.3318150739727015E-3</v>
      </c>
      <c r="S1752">
        <v>0.11042948936646023</v>
      </c>
      <c r="T1752">
        <v>1.0586812152359288</v>
      </c>
      <c r="U1752">
        <v>0</v>
      </c>
      <c r="V1752">
        <v>0.21151467795831544</v>
      </c>
      <c r="W1752">
        <v>8.2899009908358648E-2</v>
      </c>
      <c r="X1752">
        <v>3.0640086504819107E-2</v>
      </c>
      <c r="Y1752">
        <v>3.6247615986325517E-3</v>
      </c>
    </row>
    <row r="1753" spans="1:25" x14ac:dyDescent="0.25">
      <c r="A1753" s="1095"/>
      <c r="B1753" s="1454">
        <v>1503</v>
      </c>
      <c r="C1753" s="1099">
        <v>1.0195954129530398</v>
      </c>
      <c r="D1753" s="1099">
        <v>0.98126949516740336</v>
      </c>
      <c r="E1753" s="1099">
        <v>1.0189748172555013</v>
      </c>
      <c r="F1753" s="1099">
        <v>1.0279721989640691</v>
      </c>
      <c r="G1753" s="1099">
        <v>0.9834981023095628</v>
      </c>
      <c r="H1753" s="1099">
        <v>0.96243589938205776</v>
      </c>
      <c r="I1753" s="1099">
        <v>0.97413548078104295</v>
      </c>
      <c r="K1753">
        <v>1.7575445577282303</v>
      </c>
      <c r="L1753">
        <v>0</v>
      </c>
      <c r="M1753">
        <v>1.2670206779701334E-3</v>
      </c>
      <c r="N1753">
        <v>0.1234127037261487</v>
      </c>
      <c r="O1753">
        <v>0.12955295417554202</v>
      </c>
      <c r="P1753">
        <v>1.8955994138338036E-2</v>
      </c>
      <c r="Q1753">
        <v>9.0577189165440882E-4</v>
      </c>
      <c r="R1753">
        <v>1.2636508983038483E-3</v>
      </c>
      <c r="S1753">
        <v>0.10212414761986489</v>
      </c>
      <c r="T1753">
        <v>1.0593217723430373</v>
      </c>
      <c r="U1753">
        <v>0</v>
      </c>
      <c r="V1753">
        <v>0.20885436269251145</v>
      </c>
      <c r="W1753">
        <v>8.0171306070767584E-2</v>
      </c>
      <c r="X1753">
        <v>3.080967366725568E-2</v>
      </c>
      <c r="Y1753">
        <v>3.4392411827764017E-3</v>
      </c>
    </row>
    <row r="1754" spans="1:25" x14ac:dyDescent="0.25">
      <c r="A1754" s="1095"/>
      <c r="B1754" s="1454">
        <v>1504</v>
      </c>
      <c r="C1754" s="1099">
        <v>1.0025146941881582</v>
      </c>
      <c r="D1754" s="1099">
        <v>1.0180667253552589</v>
      </c>
      <c r="E1754" s="1099">
        <v>1.0061066157059255</v>
      </c>
      <c r="F1754" s="1099">
        <v>1.0009842378983036</v>
      </c>
      <c r="G1754" s="1099">
        <v>0.98509809808534932</v>
      </c>
      <c r="H1754" s="1099">
        <v>0.99408071803254439</v>
      </c>
      <c r="I1754" s="1099">
        <v>1.0030570961658534</v>
      </c>
      <c r="K1754">
        <v>1.7321045684755219</v>
      </c>
      <c r="L1754">
        <v>0</v>
      </c>
      <c r="M1754">
        <v>1.332768479219172E-3</v>
      </c>
      <c r="N1754">
        <v>0.12487828250501562</v>
      </c>
      <c r="O1754">
        <v>0.12665007845629203</v>
      </c>
      <c r="P1754">
        <v>1.8446112873835595E-2</v>
      </c>
      <c r="Q1754">
        <v>8.9578753115782377E-4</v>
      </c>
      <c r="R1754">
        <v>1.3292998469089674E-3</v>
      </c>
      <c r="S1754">
        <v>0.10646013182732851</v>
      </c>
      <c r="T1754">
        <v>1.0318888837264559</v>
      </c>
      <c r="U1754">
        <v>0</v>
      </c>
      <c r="V1754">
        <v>0.20780556614171758</v>
      </c>
      <c r="W1754">
        <v>8.174004932390401E-2</v>
      </c>
      <c r="X1754">
        <v>2.9725228742413762E-2</v>
      </c>
      <c r="Y1754">
        <v>3.6179159797094461E-3</v>
      </c>
    </row>
    <row r="1755" spans="1:25" x14ac:dyDescent="0.25">
      <c r="A1755" s="1095"/>
      <c r="B1755" s="1454">
        <v>1505</v>
      </c>
      <c r="C1755" s="1099">
        <v>1.0254509752606409</v>
      </c>
      <c r="D1755" s="1099">
        <v>1.0281886796904165</v>
      </c>
      <c r="E1755" s="1099">
        <v>0.98138049733062571</v>
      </c>
      <c r="F1755" s="1099">
        <v>0.95378281057370073</v>
      </c>
      <c r="G1755" s="1099">
        <v>0.97557296804942306</v>
      </c>
      <c r="H1755" s="1099">
        <v>1.0215498346232177</v>
      </c>
      <c r="I1755" s="1099">
        <v>0.98290274350476459</v>
      </c>
      <c r="K1755">
        <v>1.6629076097920152</v>
      </c>
      <c r="L1755">
        <v>0</v>
      </c>
      <c r="M1755">
        <v>1.3979964521500657E-3</v>
      </c>
      <c r="N1755">
        <v>0.12156433502964478</v>
      </c>
      <c r="O1755">
        <v>0.12140751627714341</v>
      </c>
      <c r="P1755">
        <v>1.7346115326086736E-2</v>
      </c>
      <c r="Q1755">
        <v>8.5014158374640744E-4</v>
      </c>
      <c r="R1755">
        <v>1.3944412162803944E-3</v>
      </c>
      <c r="S1755">
        <v>0.10298317610008327</v>
      </c>
      <c r="T1755">
        <v>0.98393560798066682</v>
      </c>
      <c r="U1755">
        <v>0</v>
      </c>
      <c r="V1755">
        <v>0.20265840423839604</v>
      </c>
      <c r="W1755">
        <v>8.075477928979545E-2</v>
      </c>
      <c r="X1755">
        <v>2.761587988902902E-2</v>
      </c>
      <c r="Y1755">
        <v>3.7952093132918273E-3</v>
      </c>
    </row>
    <row r="1756" spans="1:25" x14ac:dyDescent="0.25">
      <c r="A1756" s="1095"/>
      <c r="B1756" s="1454">
        <v>1506</v>
      </c>
      <c r="C1756" s="1099">
        <v>0.98596407381377371</v>
      </c>
      <c r="D1756" s="1099">
        <v>1.0267241065462156</v>
      </c>
      <c r="E1756" s="1099">
        <v>0.98143210459288066</v>
      </c>
      <c r="F1756" s="1099">
        <v>1.0156656799187067</v>
      </c>
      <c r="G1756" s="1099">
        <v>0.97958999569725003</v>
      </c>
      <c r="H1756" s="1099">
        <v>1.0252474179810487</v>
      </c>
      <c r="I1756" s="1099">
        <v>1.0018473723422801</v>
      </c>
      <c r="K1756">
        <v>1.7591891763917</v>
      </c>
      <c r="L1756">
        <v>0</v>
      </c>
      <c r="M1756">
        <v>1.4634508605615086E-3</v>
      </c>
      <c r="N1756">
        <v>0.12727781537233965</v>
      </c>
      <c r="O1756">
        <v>0.12812321432560236</v>
      </c>
      <c r="P1756">
        <v>1.8386000611039559E-2</v>
      </c>
      <c r="Q1756">
        <v>8.8474102305293085E-4</v>
      </c>
      <c r="R1756">
        <v>1.4597515269422108E-3</v>
      </c>
      <c r="S1756">
        <v>0.10967946242588614</v>
      </c>
      <c r="T1756">
        <v>1.0477732491241991</v>
      </c>
      <c r="U1756">
        <v>0</v>
      </c>
      <c r="V1756">
        <v>0.2093827577454288</v>
      </c>
      <c r="W1756">
        <v>8.4547593333038712E-2</v>
      </c>
      <c r="X1756">
        <v>2.9165079315357736E-2</v>
      </c>
      <c r="Y1756">
        <v>3.972962449375169E-3</v>
      </c>
    </row>
    <row r="1757" spans="1:25" x14ac:dyDescent="0.25">
      <c r="A1757" s="1095"/>
      <c r="B1757" s="1454">
        <v>1507</v>
      </c>
      <c r="C1757" s="1099">
        <v>1.002364003662795</v>
      </c>
      <c r="D1757" s="1099">
        <v>1.0261577826879327</v>
      </c>
      <c r="E1757" s="1099">
        <v>1.0128502184166246</v>
      </c>
      <c r="F1757" s="1099">
        <v>0.99136036953112805</v>
      </c>
      <c r="G1757" s="1099">
        <v>0.95733937512151401</v>
      </c>
      <c r="H1757" s="1099">
        <v>1.0043574824741461</v>
      </c>
      <c r="I1757" s="1099">
        <v>1.0212491466743048</v>
      </c>
      <c r="K1757">
        <v>1.7229516523169754</v>
      </c>
      <c r="L1757">
        <v>0</v>
      </c>
      <c r="M1757">
        <v>1.3207289268508296E-3</v>
      </c>
      <c r="N1757">
        <v>0.1262981457269888</v>
      </c>
      <c r="O1757">
        <v>0.12559600309399105</v>
      </c>
      <c r="P1757">
        <v>1.8399637859648755E-2</v>
      </c>
      <c r="Q1757">
        <v>8.9932437524765658E-4</v>
      </c>
      <c r="R1757">
        <v>1.3173188476254399E-3</v>
      </c>
      <c r="S1757">
        <v>0.1085519438941611</v>
      </c>
      <c r="T1757">
        <v>1.0217710338828265</v>
      </c>
      <c r="U1757">
        <v>0</v>
      </c>
      <c r="V1757">
        <v>0.20575747321484877</v>
      </c>
      <c r="W1757">
        <v>8.2341211074233978E-2</v>
      </c>
      <c r="X1757">
        <v>2.9754981625059379E-2</v>
      </c>
      <c r="Y1757">
        <v>3.5853076491950361E-3</v>
      </c>
    </row>
    <row r="1758" spans="1:25" x14ac:dyDescent="0.25">
      <c r="A1758" s="1095"/>
      <c r="B1758" s="1454">
        <v>1508</v>
      </c>
      <c r="C1758" s="1099">
        <v>1.0235526909248116</v>
      </c>
      <c r="D1758" s="1099">
        <v>0.97449754084306783</v>
      </c>
      <c r="E1758" s="1099">
        <v>0.99689478189888603</v>
      </c>
      <c r="F1758" s="1099">
        <v>0.97851597194417617</v>
      </c>
      <c r="G1758" s="1099">
        <v>1.0396156400456866</v>
      </c>
      <c r="H1758" s="1099">
        <v>1.0170390989898093</v>
      </c>
      <c r="I1758" s="1099">
        <v>1.0248701776006031</v>
      </c>
      <c r="K1758">
        <v>1.7176445112323571</v>
      </c>
      <c r="L1758">
        <v>0</v>
      </c>
      <c r="M1758">
        <v>1.3964724455893152E-3</v>
      </c>
      <c r="N1758">
        <v>0.12726632749692737</v>
      </c>
      <c r="O1758">
        <v>0.12582809971514991</v>
      </c>
      <c r="P1758">
        <v>1.8084683770514989E-2</v>
      </c>
      <c r="Q1758">
        <v>8.8438052564225231E-4</v>
      </c>
      <c r="R1758">
        <v>1.3929484325862032E-3</v>
      </c>
      <c r="S1758">
        <v>0.11105590584239022</v>
      </c>
      <c r="T1758">
        <v>1.0089944808889268</v>
      </c>
      <c r="U1758">
        <v>0</v>
      </c>
      <c r="V1758">
        <v>0.20881062312864154</v>
      </c>
      <c r="W1758">
        <v>8.3759957476790783E-2</v>
      </c>
      <c r="X1758">
        <v>2.9172429952203538E-2</v>
      </c>
      <c r="Y1758">
        <v>3.7911464481722524E-3</v>
      </c>
    </row>
    <row r="1759" spans="1:25" x14ac:dyDescent="0.25">
      <c r="A1759" s="1095"/>
      <c r="B1759" s="1454">
        <v>1509</v>
      </c>
      <c r="C1759" s="1099">
        <v>1.0013022020906794</v>
      </c>
      <c r="D1759" s="1099">
        <v>0.97712328107017432</v>
      </c>
      <c r="E1759" s="1099">
        <v>1.0274463001994436</v>
      </c>
      <c r="F1759" s="1099">
        <v>1.0132218685158476</v>
      </c>
      <c r="G1759" s="1099">
        <v>0.98399459158182989</v>
      </c>
      <c r="H1759" s="1099">
        <v>1.0069187104159816</v>
      </c>
      <c r="I1759" s="1099">
        <v>0.99279575907125317</v>
      </c>
      <c r="K1759">
        <v>1.7653494941645509</v>
      </c>
      <c r="L1759">
        <v>0</v>
      </c>
      <c r="M1759">
        <v>1.3258614295564434E-3</v>
      </c>
      <c r="N1759">
        <v>0.13250119355628567</v>
      </c>
      <c r="O1759">
        <v>0.12961327719180038</v>
      </c>
      <c r="P1759">
        <v>1.8970460805000769E-2</v>
      </c>
      <c r="Q1759">
        <v>9.3193348750086457E-4</v>
      </c>
      <c r="R1759">
        <v>1.3224843516223695E-3</v>
      </c>
      <c r="S1759">
        <v>0.10921712655537207</v>
      </c>
      <c r="T1759">
        <v>1.0438723549145323</v>
      </c>
      <c r="U1759">
        <v>0</v>
      </c>
      <c r="V1759">
        <v>0.20978838139404962</v>
      </c>
      <c r="W1759">
        <v>8.5650878702750691E-2</v>
      </c>
      <c r="X1759">
        <v>3.1207898186926236E-2</v>
      </c>
      <c r="Y1759">
        <v>3.5993664482667424E-3</v>
      </c>
    </row>
    <row r="1760" spans="1:25" x14ac:dyDescent="0.25">
      <c r="A1760" s="1095"/>
      <c r="B1760" s="1454">
        <v>1510</v>
      </c>
      <c r="C1760" s="1099">
        <v>0.98777934195455086</v>
      </c>
      <c r="D1760" s="1099">
        <v>0.99570516299618173</v>
      </c>
      <c r="E1760" s="1099">
        <v>0.97986055081389101</v>
      </c>
      <c r="F1760" s="1099">
        <v>0.96411574224712582</v>
      </c>
      <c r="G1760" s="1099">
        <v>0.98796455004393013</v>
      </c>
      <c r="H1760" s="1099">
        <v>0.99680152353827089</v>
      </c>
      <c r="I1760" s="1099">
        <v>0.98901091413341691</v>
      </c>
      <c r="K1760">
        <v>1.694737387980455</v>
      </c>
      <c r="L1760">
        <v>0</v>
      </c>
      <c r="M1760">
        <v>1.4443886006012836E-3</v>
      </c>
      <c r="N1760">
        <v>0.12501547231768081</v>
      </c>
      <c r="O1760">
        <v>0.12548532017070546</v>
      </c>
      <c r="P1760">
        <v>1.7604766852406931E-2</v>
      </c>
      <c r="Q1760">
        <v>8.9254788555381511E-4</v>
      </c>
      <c r="R1760">
        <v>1.4406383067736212E-3</v>
      </c>
      <c r="S1760">
        <v>0.10783338902748438</v>
      </c>
      <c r="T1760">
        <v>0.994639613422311</v>
      </c>
      <c r="U1760">
        <v>0</v>
      </c>
      <c r="V1760">
        <v>0.20784126054713681</v>
      </c>
      <c r="W1760">
        <v>8.3123574814485318E-2</v>
      </c>
      <c r="X1760">
        <v>2.8384250671768162E-2</v>
      </c>
      <c r="Y1760">
        <v>3.920942564747603E-3</v>
      </c>
    </row>
    <row r="1761" spans="1:25" x14ac:dyDescent="0.25">
      <c r="A1761" s="1095"/>
      <c r="B1761" s="1454">
        <v>1511</v>
      </c>
      <c r="C1761" s="1099">
        <v>0.97071770895115161</v>
      </c>
      <c r="D1761" s="1099">
        <v>1.0176367893567413</v>
      </c>
      <c r="E1761" s="1099">
        <v>0.97331076678270845</v>
      </c>
      <c r="F1761" s="1099">
        <v>0.99031767037139562</v>
      </c>
      <c r="G1761" s="1099">
        <v>0.98038509452116795</v>
      </c>
      <c r="H1761" s="1099">
        <v>1.0227947214097926</v>
      </c>
      <c r="I1761" s="1099">
        <v>0.96325102339786595</v>
      </c>
      <c r="K1761">
        <v>1.7314714005073197</v>
      </c>
      <c r="L1761">
        <v>0</v>
      </c>
      <c r="M1761">
        <v>1.5106542060153061E-3</v>
      </c>
      <c r="N1761">
        <v>0.12819210999054986</v>
      </c>
      <c r="O1761">
        <v>0.12738746382499147</v>
      </c>
      <c r="P1761">
        <v>1.7898196481383823E-2</v>
      </c>
      <c r="Q1761">
        <v>8.9418489190381579E-4</v>
      </c>
      <c r="R1761">
        <v>1.5068195524217873E-3</v>
      </c>
      <c r="S1761">
        <v>0.10727461348784488</v>
      </c>
      <c r="T1761">
        <v>1.0218684483919596</v>
      </c>
      <c r="U1761">
        <v>0</v>
      </c>
      <c r="V1761">
        <v>0.20967902699407773</v>
      </c>
      <c r="W1761">
        <v>8.5574426546470364E-2</v>
      </c>
      <c r="X1761">
        <v>2.8605698452969029E-2</v>
      </c>
      <c r="Y1761">
        <v>4.1010660987601463E-3</v>
      </c>
    </row>
    <row r="1762" spans="1:25" x14ac:dyDescent="0.25">
      <c r="A1762" s="1095"/>
      <c r="B1762" s="1454">
        <v>1512</v>
      </c>
      <c r="C1762" s="1099">
        <v>0.99870147014255695</v>
      </c>
      <c r="D1762" s="1099">
        <v>1.0328411495875949</v>
      </c>
      <c r="E1762" s="1099">
        <v>1.0241463143405394</v>
      </c>
      <c r="F1762" s="1099">
        <v>1.0077434083620935</v>
      </c>
      <c r="G1762" s="1099">
        <v>1.013220583450857</v>
      </c>
      <c r="H1762" s="1099">
        <v>1.0280930834175499</v>
      </c>
      <c r="I1762" s="1099">
        <v>0.96345687105683986</v>
      </c>
      <c r="K1762">
        <v>1.7478512782261746</v>
      </c>
      <c r="L1762">
        <v>0</v>
      </c>
      <c r="M1762">
        <v>1.3217594128699568E-3</v>
      </c>
      <c r="N1762">
        <v>0.13078651245413259</v>
      </c>
      <c r="O1762">
        <v>0.12676846482073797</v>
      </c>
      <c r="P1762">
        <v>1.8771304076924171E-2</v>
      </c>
      <c r="Q1762">
        <v>9.1078323555921674E-4</v>
      </c>
      <c r="R1762">
        <v>1.3184249842302243E-3</v>
      </c>
      <c r="S1762">
        <v>0.10403517492723051</v>
      </c>
      <c r="T1762">
        <v>1.0383244837331775</v>
      </c>
      <c r="U1762">
        <v>0</v>
      </c>
      <c r="V1762">
        <v>0.20946051815357325</v>
      </c>
      <c r="W1762">
        <v>8.4705119469436194E-2</v>
      </c>
      <c r="X1762">
        <v>3.0503933595646824E-2</v>
      </c>
      <c r="Y1762">
        <v>3.5883181883954261E-3</v>
      </c>
    </row>
    <row r="1763" spans="1:25" x14ac:dyDescent="0.25">
      <c r="A1763" s="1095"/>
      <c r="B1763" s="1454">
        <v>1513</v>
      </c>
      <c r="C1763" s="1099">
        <v>0.95619467277250347</v>
      </c>
      <c r="D1763" s="1099">
        <v>1.0230151191270005</v>
      </c>
      <c r="E1763" s="1099">
        <v>0.9695378769186761</v>
      </c>
      <c r="F1763" s="1099">
        <v>0.99149754650751409</v>
      </c>
      <c r="G1763" s="1099">
        <v>0.99090929688292395</v>
      </c>
      <c r="H1763" s="1099">
        <v>0.99375148487991039</v>
      </c>
      <c r="I1763" s="1099">
        <v>1.0095338872532871</v>
      </c>
      <c r="K1763">
        <v>1.7350263047806713</v>
      </c>
      <c r="L1763">
        <v>0</v>
      </c>
      <c r="M1763">
        <v>1.495333843031922E-3</v>
      </c>
      <c r="N1763">
        <v>0.12544080757439302</v>
      </c>
      <c r="O1763">
        <v>0.12800014593748946</v>
      </c>
      <c r="P1763">
        <v>1.794435198954188E-2</v>
      </c>
      <c r="Q1763">
        <v>9.0226319955880778E-4</v>
      </c>
      <c r="R1763">
        <v>1.49141876372573E-3</v>
      </c>
      <c r="S1763">
        <v>0.11157038074078453</v>
      </c>
      <c r="T1763">
        <v>1.0232003114163004</v>
      </c>
      <c r="U1763">
        <v>0</v>
      </c>
      <c r="V1763">
        <v>0.21138381783700327</v>
      </c>
      <c r="W1763">
        <v>8.3930090068492294E-2</v>
      </c>
      <c r="X1763">
        <v>2.8598900867615164E-2</v>
      </c>
      <c r="Y1763">
        <v>4.0591502287981081E-3</v>
      </c>
    </row>
    <row r="1764" spans="1:25" x14ac:dyDescent="0.25">
      <c r="A1764" s="1095"/>
      <c r="B1764" s="1454">
        <v>1514</v>
      </c>
      <c r="C1764" s="1099">
        <v>0.98218884013984831</v>
      </c>
      <c r="D1764" s="1099">
        <v>0.98543933459338062</v>
      </c>
      <c r="E1764" s="1099">
        <v>1.0081616333865591</v>
      </c>
      <c r="F1764" s="1099">
        <v>1.0058609631863549</v>
      </c>
      <c r="G1764" s="1099">
        <v>0.97847982466413042</v>
      </c>
      <c r="H1764" s="1099">
        <v>1.0085715262454151</v>
      </c>
      <c r="I1764" s="1099">
        <v>0.97426044010906421</v>
      </c>
      <c r="K1764">
        <v>1.7574379660701962</v>
      </c>
      <c r="L1764">
        <v>0</v>
      </c>
      <c r="M1764">
        <v>1.3990902704249845E-3</v>
      </c>
      <c r="N1764">
        <v>0.13191512504475811</v>
      </c>
      <c r="O1764">
        <v>0.12958632966513525</v>
      </c>
      <c r="P1764">
        <v>1.8608487898121532E-2</v>
      </c>
      <c r="Q1764">
        <v>9.2828456236764283E-4</v>
      </c>
      <c r="R1764">
        <v>1.3955186998728035E-3</v>
      </c>
      <c r="S1764">
        <v>0.10861455552191711</v>
      </c>
      <c r="T1764">
        <v>1.036855165267323</v>
      </c>
      <c r="U1764">
        <v>0</v>
      </c>
      <c r="V1764">
        <v>0.21046615554246925</v>
      </c>
      <c r="W1764">
        <v>8.6241262563953619E-2</v>
      </c>
      <c r="X1764">
        <v>3.0428029706262159E-2</v>
      </c>
      <c r="Y1764">
        <v>3.7981418684379952E-3</v>
      </c>
    </row>
    <row r="1765" spans="1:25" x14ac:dyDescent="0.25">
      <c r="A1765" s="1095"/>
      <c r="B1765" s="1454">
        <v>1515</v>
      </c>
      <c r="C1765" s="1099">
        <v>0.99788384815504827</v>
      </c>
      <c r="D1765" s="1099">
        <v>1.0030551924272006</v>
      </c>
      <c r="E1765" s="1099">
        <v>0.97102408939797291</v>
      </c>
      <c r="F1765" s="1099">
        <v>1.0177161255706457</v>
      </c>
      <c r="G1765" s="1099">
        <v>1.0058840129778477</v>
      </c>
      <c r="H1765" s="1099">
        <v>0.99482763381601946</v>
      </c>
      <c r="I1765" s="1099">
        <v>0.97334754759387365</v>
      </c>
      <c r="K1765">
        <v>1.7506019877249632</v>
      </c>
      <c r="L1765">
        <v>0</v>
      </c>
      <c r="M1765">
        <v>1.4551067632125564E-3</v>
      </c>
      <c r="N1765">
        <v>0.12262015783871218</v>
      </c>
      <c r="O1765">
        <v>0.12869182420978936</v>
      </c>
      <c r="P1765">
        <v>1.8221977614630357E-2</v>
      </c>
      <c r="Q1765">
        <v>8.7277519093535304E-4</v>
      </c>
      <c r="R1765">
        <v>1.4513371464219959E-3</v>
      </c>
      <c r="S1765">
        <v>0.10480606936408313</v>
      </c>
      <c r="T1765">
        <v>1.0502109131835138</v>
      </c>
      <c r="U1765">
        <v>0</v>
      </c>
      <c r="V1765">
        <v>0.2104160917698232</v>
      </c>
      <c r="W1765">
        <v>8.1968683821602384E-2</v>
      </c>
      <c r="X1765">
        <v>2.8847203069262639E-2</v>
      </c>
      <c r="Y1765">
        <v>3.9500612793989366E-3</v>
      </c>
    </row>
    <row r="1766" spans="1:25" x14ac:dyDescent="0.25">
      <c r="A1766" s="1095"/>
      <c r="B1766" s="1454">
        <v>1516</v>
      </c>
      <c r="C1766" s="1099">
        <v>0.99999867105058704</v>
      </c>
      <c r="D1766" s="1099">
        <v>1.0042917456618123</v>
      </c>
      <c r="E1766" s="1099">
        <v>1.0112162184648719</v>
      </c>
      <c r="F1766" s="1099">
        <v>0.97583615219942677</v>
      </c>
      <c r="G1766" s="1099">
        <v>0.99301975369561069</v>
      </c>
      <c r="H1766" s="1099">
        <v>0.98250419998563165</v>
      </c>
      <c r="I1766" s="1099">
        <v>0.98493350277536951</v>
      </c>
      <c r="K1766">
        <v>1.7023659059387681</v>
      </c>
      <c r="L1766">
        <v>0</v>
      </c>
      <c r="M1766">
        <v>1.3139643187362068E-3</v>
      </c>
      <c r="N1766">
        <v>0.12502666143203767</v>
      </c>
      <c r="O1766">
        <v>0.12550501462395025</v>
      </c>
      <c r="P1766">
        <v>1.8129584991578084E-2</v>
      </c>
      <c r="Q1766">
        <v>9.0772237935670438E-4</v>
      </c>
      <c r="R1766">
        <v>1.3105048696681705E-3</v>
      </c>
      <c r="S1766">
        <v>0.10473612587029285</v>
      </c>
      <c r="T1766">
        <v>1.0058174305626018</v>
      </c>
      <c r="U1766">
        <v>0</v>
      </c>
      <c r="V1766">
        <v>0.20750454463706425</v>
      </c>
      <c r="W1766">
        <v>8.1590707071428445E-2</v>
      </c>
      <c r="X1766">
        <v>2.958481157210141E-2</v>
      </c>
      <c r="Y1766">
        <v>3.5667622474225783E-3</v>
      </c>
    </row>
    <row r="1767" spans="1:25" x14ac:dyDescent="0.25">
      <c r="A1767" s="1095"/>
      <c r="B1767" s="1454">
        <v>1517</v>
      </c>
      <c r="C1767" s="1099">
        <v>1.0175634524087034</v>
      </c>
      <c r="D1767" s="1099">
        <v>1.0005441572700686</v>
      </c>
      <c r="E1767" s="1099">
        <v>1.0259700564637035</v>
      </c>
      <c r="F1767" s="1099">
        <v>0.99335603493435787</v>
      </c>
      <c r="G1767" s="1099">
        <v>1.0141663078155436</v>
      </c>
      <c r="H1767" s="1099">
        <v>0.98071594458666944</v>
      </c>
      <c r="I1767" s="1099">
        <v>0.97515606419205703</v>
      </c>
      <c r="K1767">
        <v>1.7190573081342591</v>
      </c>
      <c r="L1767">
        <v>0</v>
      </c>
      <c r="M1767">
        <v>1.2564858423208039E-3</v>
      </c>
      <c r="N1767">
        <v>0.12500025048378868</v>
      </c>
      <c r="O1767">
        <v>0.12617731402317539</v>
      </c>
      <c r="P1767">
        <v>1.8546193478247975E-2</v>
      </c>
      <c r="Q1767">
        <v>9.0702334540457513E-4</v>
      </c>
      <c r="R1767">
        <v>1.2531839317850707E-3</v>
      </c>
      <c r="S1767">
        <v>0.10224359190550776</v>
      </c>
      <c r="T1767">
        <v>1.0234480014401366</v>
      </c>
      <c r="U1767">
        <v>0</v>
      </c>
      <c r="V1767">
        <v>0.2081408580284988</v>
      </c>
      <c r="W1767">
        <v>8.0871600050074419E-2</v>
      </c>
      <c r="X1767">
        <v>3.0315023739611383E-2</v>
      </c>
      <c r="Y1767">
        <v>3.410753550346876E-3</v>
      </c>
    </row>
    <row r="1768" spans="1:25" x14ac:dyDescent="0.25">
      <c r="A1768" s="1095"/>
      <c r="B1768" s="1454">
        <v>1518</v>
      </c>
      <c r="C1768" s="1099">
        <v>1.001485915066417</v>
      </c>
      <c r="D1768" s="1099">
        <v>1.0049013433822536</v>
      </c>
      <c r="E1768" s="1099">
        <v>0.99964011797531072</v>
      </c>
      <c r="F1768" s="1099">
        <v>0.9817896884111893</v>
      </c>
      <c r="G1768" s="1099">
        <v>1.001045971559223</v>
      </c>
      <c r="H1768" s="1099">
        <v>1.0021309770974183</v>
      </c>
      <c r="I1768" s="1099">
        <v>0.99906368257160794</v>
      </c>
      <c r="K1768">
        <v>1.7143284547385527</v>
      </c>
      <c r="L1768">
        <v>0</v>
      </c>
      <c r="M1768">
        <v>1.3711883591115482E-3</v>
      </c>
      <c r="N1768">
        <v>0.12599587586306371</v>
      </c>
      <c r="O1768">
        <v>0.12581262354453504</v>
      </c>
      <c r="P1768">
        <v>1.8106617019869289E-2</v>
      </c>
      <c r="Q1768">
        <v>8.9537459058149278E-4</v>
      </c>
      <c r="R1768">
        <v>1.3676508848224156E-3</v>
      </c>
      <c r="S1768">
        <v>0.10742844112206341</v>
      </c>
      <c r="T1768">
        <v>1.0122899027759173</v>
      </c>
      <c r="U1768">
        <v>0</v>
      </c>
      <c r="V1768">
        <v>0.20803046739067743</v>
      </c>
      <c r="W1768">
        <v>8.2788433938522074E-2</v>
      </c>
      <c r="X1768">
        <v>2.9261961105120086E-2</v>
      </c>
      <c r="Y1768">
        <v>3.7222948624936001E-3</v>
      </c>
    </row>
    <row r="1769" spans="1:25" x14ac:dyDescent="0.25">
      <c r="A1769" s="1095"/>
      <c r="B1769" s="1454">
        <v>1519</v>
      </c>
      <c r="C1769" s="1099">
        <v>1.0011215163730622</v>
      </c>
      <c r="D1769" s="1099">
        <v>0.98073213504882673</v>
      </c>
      <c r="E1769" s="1099">
        <v>1.0189444953013069</v>
      </c>
      <c r="F1769" s="1099">
        <v>1.0038215711016996</v>
      </c>
      <c r="G1769" s="1099">
        <v>0.96370503523936824</v>
      </c>
      <c r="H1769" s="1099">
        <v>0.96327970574357802</v>
      </c>
      <c r="I1769" s="1099">
        <v>0.96323564589592725</v>
      </c>
      <c r="K1769">
        <v>1.734462263645812</v>
      </c>
      <c r="L1769">
        <v>0</v>
      </c>
      <c r="M1769">
        <v>1.2874058842074518E-3</v>
      </c>
      <c r="N1769">
        <v>0.12538595779421086</v>
      </c>
      <c r="O1769">
        <v>0.12870113877502082</v>
      </c>
      <c r="P1769">
        <v>1.8610212831006442E-2</v>
      </c>
      <c r="Q1769">
        <v>9.2265971149615056E-4</v>
      </c>
      <c r="R1769">
        <v>1.2839729527284454E-3</v>
      </c>
      <c r="S1769">
        <v>0.10270183393824789</v>
      </c>
      <c r="T1769">
        <v>1.0344355221055312</v>
      </c>
      <c r="U1769">
        <v>0</v>
      </c>
      <c r="V1769">
        <v>0.20819367393754074</v>
      </c>
      <c r="W1769">
        <v>8.145461667747457E-2</v>
      </c>
      <c r="X1769">
        <v>3.0565529691003818E-2</v>
      </c>
      <c r="Y1769">
        <v>3.4945511157567157E-3</v>
      </c>
    </row>
    <row r="1770" spans="1:25" x14ac:dyDescent="0.25">
      <c r="A1770" s="1095"/>
      <c r="B1770" s="1454">
        <v>1520</v>
      </c>
      <c r="C1770" s="1099">
        <v>0.98686788608429588</v>
      </c>
      <c r="D1770" s="1099">
        <v>1.0318433846618793</v>
      </c>
      <c r="E1770" s="1099">
        <v>0.97180389874686557</v>
      </c>
      <c r="F1770" s="1099">
        <v>0.95719447807172042</v>
      </c>
      <c r="G1770" s="1099">
        <v>0.98225080738246817</v>
      </c>
      <c r="H1770" s="1099">
        <v>1.0008022192902264</v>
      </c>
      <c r="I1770" s="1099">
        <v>0.99161172811066933</v>
      </c>
      <c r="K1770">
        <v>1.6767355945828228</v>
      </c>
      <c r="L1770">
        <v>0</v>
      </c>
      <c r="M1770">
        <v>1.4444193776625405E-3</v>
      </c>
      <c r="N1770">
        <v>0.12200549331750095</v>
      </c>
      <c r="O1770">
        <v>0.12337611065634425</v>
      </c>
      <c r="P1770">
        <v>1.735950705202851E-2</v>
      </c>
      <c r="Q1770">
        <v>8.7330174648441339E-4</v>
      </c>
      <c r="R1770">
        <v>1.4406566457822695E-3</v>
      </c>
      <c r="S1770">
        <v>0.10608135813457223</v>
      </c>
      <c r="T1770">
        <v>0.9877340356888078</v>
      </c>
      <c r="U1770">
        <v>0</v>
      </c>
      <c r="V1770">
        <v>0.20620622569687677</v>
      </c>
      <c r="W1770">
        <v>8.15191388973939E-2</v>
      </c>
      <c r="X1770">
        <v>2.7663193647210805E-2</v>
      </c>
      <c r="Y1770">
        <v>3.9209924774836905E-3</v>
      </c>
    </row>
    <row r="1771" spans="1:25" x14ac:dyDescent="0.25">
      <c r="A1771" s="1095"/>
      <c r="B1771" s="1454">
        <v>1521</v>
      </c>
      <c r="C1771" s="1099">
        <v>1.0121770215931516</v>
      </c>
      <c r="D1771" s="1099">
        <v>1.0149832307218383</v>
      </c>
      <c r="E1771" s="1099">
        <v>1.0127321245674092</v>
      </c>
      <c r="F1771" s="1099">
        <v>1.0169581413304594</v>
      </c>
      <c r="G1771" s="1099">
        <v>1.0396786596931831</v>
      </c>
      <c r="H1771" s="1099">
        <v>0.99106756419564834</v>
      </c>
      <c r="I1771" s="1099">
        <v>0.98604211088653448</v>
      </c>
      <c r="K1771">
        <v>1.7492265297299598</v>
      </c>
      <c r="L1771">
        <v>0</v>
      </c>
      <c r="M1771">
        <v>1.3031217613477272E-3</v>
      </c>
      <c r="N1771">
        <v>0.12456731455779531</v>
      </c>
      <c r="O1771">
        <v>0.12751991996723896</v>
      </c>
      <c r="P1771">
        <v>1.8762264172003846E-2</v>
      </c>
      <c r="Q1771">
        <v>8.9440588671761234E-4</v>
      </c>
      <c r="R1771">
        <v>1.299729087091761E-3</v>
      </c>
      <c r="S1771">
        <v>0.10379858405812152</v>
      </c>
      <c r="T1771">
        <v>1.0481575594922334</v>
      </c>
      <c r="U1771">
        <v>0</v>
      </c>
      <c r="V1771">
        <v>0.21057868296885396</v>
      </c>
      <c r="W1771">
        <v>8.1218423339976864E-2</v>
      </c>
      <c r="X1771">
        <v>3.0195333841786166E-2</v>
      </c>
      <c r="Y1771">
        <v>3.5374341194853638E-3</v>
      </c>
    </row>
    <row r="1772" spans="1:25" x14ac:dyDescent="0.25">
      <c r="A1772" s="1095"/>
      <c r="B1772" s="1454">
        <v>1522</v>
      </c>
      <c r="C1772" s="1099">
        <v>0.99129578859376288</v>
      </c>
      <c r="D1772" s="1099">
        <v>1.0413409312062216</v>
      </c>
      <c r="E1772" s="1099">
        <v>1.0065531829627532</v>
      </c>
      <c r="F1772" s="1099">
        <v>1.0006546201514497</v>
      </c>
      <c r="G1772" s="1099">
        <v>1.0002089057700769</v>
      </c>
      <c r="H1772" s="1099">
        <v>1.0168196559008638</v>
      </c>
      <c r="I1772" s="1099">
        <v>1.0305649290907302</v>
      </c>
      <c r="K1772">
        <v>1.7407208487880275</v>
      </c>
      <c r="L1772">
        <v>0</v>
      </c>
      <c r="M1772">
        <v>1.3579014505584342E-3</v>
      </c>
      <c r="N1772">
        <v>0.12741063135193872</v>
      </c>
      <c r="O1772">
        <v>0.12617181760119786</v>
      </c>
      <c r="P1772">
        <v>1.851814314948599E-2</v>
      </c>
      <c r="Q1772">
        <v>8.9818588050873929E-4</v>
      </c>
      <c r="R1772">
        <v>1.3544283577840998E-3</v>
      </c>
      <c r="S1772">
        <v>0.11062956957766895</v>
      </c>
      <c r="T1772">
        <v>1.0315358896106988</v>
      </c>
      <c r="U1772">
        <v>0</v>
      </c>
      <c r="V1772">
        <v>0.20879587860167773</v>
      </c>
      <c r="W1772">
        <v>8.3375596112042635E-2</v>
      </c>
      <c r="X1772">
        <v>2.9702302492881655E-2</v>
      </c>
      <c r="Y1772">
        <v>3.6863075027001729E-3</v>
      </c>
    </row>
    <row r="1773" spans="1:25" x14ac:dyDescent="0.25">
      <c r="A1773" s="1095"/>
      <c r="B1773" s="1454">
        <v>1523</v>
      </c>
      <c r="C1773" s="1099">
        <v>0.9692354717520103</v>
      </c>
      <c r="D1773" s="1099">
        <v>0.9914117216097742</v>
      </c>
      <c r="E1773" s="1099">
        <v>1.0313993433186388</v>
      </c>
      <c r="F1773" s="1099">
        <v>1.006948812496119</v>
      </c>
      <c r="G1773" s="1099">
        <v>0.99498754974036441</v>
      </c>
      <c r="H1773" s="1099">
        <v>0.98889673914531606</v>
      </c>
      <c r="I1773" s="1099">
        <v>1.0007526798049813</v>
      </c>
      <c r="K1773">
        <v>1.7653337583711974</v>
      </c>
      <c r="L1773">
        <v>0</v>
      </c>
      <c r="M1773">
        <v>1.3184631069704652E-3</v>
      </c>
      <c r="N1773">
        <v>0.13333316039988327</v>
      </c>
      <c r="O1773">
        <v>0.13018111340060318</v>
      </c>
      <c r="P1773">
        <v>1.8996449200677647E-2</v>
      </c>
      <c r="Q1773">
        <v>9.6106179273629233E-4</v>
      </c>
      <c r="R1773">
        <v>1.3150229521761249E-3</v>
      </c>
      <c r="S1773">
        <v>0.1111808427576972</v>
      </c>
      <c r="T1773">
        <v>1.0372946768021765</v>
      </c>
      <c r="U1773">
        <v>0</v>
      </c>
      <c r="V1773">
        <v>0.21235169994848022</v>
      </c>
      <c r="W1773">
        <v>8.5991040111008721E-2</v>
      </c>
      <c r="X1773">
        <v>3.146809513410552E-2</v>
      </c>
      <c r="Y1773">
        <v>3.5790589786237328E-3</v>
      </c>
    </row>
    <row r="1774" spans="1:25" x14ac:dyDescent="0.25">
      <c r="A1774" s="1095"/>
      <c r="B1774" s="1454">
        <v>1524</v>
      </c>
      <c r="C1774" s="1099">
        <v>0.99120893664680676</v>
      </c>
      <c r="D1774" s="1099">
        <v>1.003435911202005</v>
      </c>
      <c r="E1774" s="1099">
        <v>1.0031463627485213</v>
      </c>
      <c r="F1774" s="1099">
        <v>1.0008312250084497</v>
      </c>
      <c r="G1774" s="1099">
        <v>1.0078245646828712</v>
      </c>
      <c r="H1774" s="1099">
        <v>0.97753756550895332</v>
      </c>
      <c r="I1774" s="1099">
        <v>1.0028994607200925</v>
      </c>
      <c r="K1774">
        <v>1.7368287938832527</v>
      </c>
      <c r="L1774">
        <v>0</v>
      </c>
      <c r="M1774">
        <v>1.343851909376683E-3</v>
      </c>
      <c r="N1774">
        <v>0.12479111807309255</v>
      </c>
      <c r="O1774">
        <v>0.12787376465988154</v>
      </c>
      <c r="P1774">
        <v>1.8451152750977456E-2</v>
      </c>
      <c r="Q1774">
        <v>9.0848033957362196E-4</v>
      </c>
      <c r="R1774">
        <v>1.3403015924210949E-3</v>
      </c>
      <c r="S1774">
        <v>0.10738661119394886</v>
      </c>
      <c r="T1774">
        <v>1.0318188114301954</v>
      </c>
      <c r="U1774">
        <v>0</v>
      </c>
      <c r="V1774">
        <v>0.21027991184624961</v>
      </c>
      <c r="W1774">
        <v>8.1826311125531639E-2</v>
      </c>
      <c r="X1774">
        <v>2.9848323676487615E-2</v>
      </c>
      <c r="Y1774">
        <v>3.6478591042690242E-3</v>
      </c>
    </row>
    <row r="1775" spans="1:25" x14ac:dyDescent="0.25">
      <c r="A1775" s="1095"/>
      <c r="B1775" s="1454">
        <v>1525</v>
      </c>
      <c r="C1775" s="1099">
        <v>0.98208430303403338</v>
      </c>
      <c r="D1775" s="1099">
        <v>1.0373928224512534</v>
      </c>
      <c r="E1775" s="1099">
        <v>1.0485972676264046</v>
      </c>
      <c r="F1775" s="1099">
        <v>0.98546218835211885</v>
      </c>
      <c r="G1775" s="1099">
        <v>1.0004153972450442</v>
      </c>
      <c r="H1775" s="1099">
        <v>1.0086828168886133</v>
      </c>
      <c r="I1775" s="1099">
        <v>1.0292191247318763</v>
      </c>
      <c r="K1775">
        <v>1.7325228018718706</v>
      </c>
      <c r="L1775">
        <v>0</v>
      </c>
      <c r="M1775">
        <v>1.2458887187592937E-3</v>
      </c>
      <c r="N1775">
        <v>0.13269686079625789</v>
      </c>
      <c r="O1775">
        <v>0.1258430520799794</v>
      </c>
      <c r="P1775">
        <v>1.8865953336155383E-2</v>
      </c>
      <c r="Q1775">
        <v>9.4784579195502869E-4</v>
      </c>
      <c r="R1775">
        <v>1.2426721249373506E-3</v>
      </c>
      <c r="S1775">
        <v>0.11112793770260221</v>
      </c>
      <c r="T1775">
        <v>1.0146767578080444</v>
      </c>
      <c r="U1775">
        <v>0</v>
      </c>
      <c r="V1775">
        <v>0.20904047017753005</v>
      </c>
      <c r="W1775">
        <v>8.4737165014254559E-2</v>
      </c>
      <c r="X1775">
        <v>3.1207831881589425E-2</v>
      </c>
      <c r="Y1775">
        <v>3.3821438773235782E-3</v>
      </c>
    </row>
    <row r="1776" spans="1:25" x14ac:dyDescent="0.25">
      <c r="A1776" s="1095"/>
      <c r="B1776" s="1454">
        <v>1526</v>
      </c>
      <c r="C1776" s="1099">
        <v>0.98515539828760712</v>
      </c>
      <c r="D1776" s="1099">
        <v>1.0198900850402504</v>
      </c>
      <c r="E1776" s="1099">
        <v>1.006747851790281</v>
      </c>
      <c r="F1776" s="1099">
        <v>0.96488014005945699</v>
      </c>
      <c r="G1776" s="1099">
        <v>1.04462738659698</v>
      </c>
      <c r="H1776" s="1099">
        <v>1.0098475109001954</v>
      </c>
      <c r="I1776" s="1099">
        <v>0.96366627470465582</v>
      </c>
      <c r="K1776">
        <v>1.6986328142166855</v>
      </c>
      <c r="L1776">
        <v>0</v>
      </c>
      <c r="M1776">
        <v>1.3681376640301893E-3</v>
      </c>
      <c r="N1776">
        <v>0.12844438143627979</v>
      </c>
      <c r="O1776">
        <v>0.12471166618744935</v>
      </c>
      <c r="P1776">
        <v>1.7953637835449954E-2</v>
      </c>
      <c r="Q1776">
        <v>9.1152359839906329E-4</v>
      </c>
      <c r="R1776">
        <v>1.3646151301219362E-3</v>
      </c>
      <c r="S1776">
        <v>0.10471827259973848</v>
      </c>
      <c r="T1776">
        <v>0.99465182435229915</v>
      </c>
      <c r="U1776">
        <v>0</v>
      </c>
      <c r="V1776">
        <v>0.21021687746571319</v>
      </c>
      <c r="W1776">
        <v>8.4042393164891815E-2</v>
      </c>
      <c r="X1776">
        <v>2.9271727571438345E-2</v>
      </c>
      <c r="Y1776">
        <v>3.7140325389351646E-3</v>
      </c>
    </row>
    <row r="1777" spans="1:25" x14ac:dyDescent="0.25">
      <c r="A1777" s="1095"/>
      <c r="B1777" s="1454">
        <v>1527</v>
      </c>
      <c r="C1777" s="1099">
        <v>0.97925304296599569</v>
      </c>
      <c r="D1777" s="1099">
        <v>1.00172140503316</v>
      </c>
      <c r="E1777" s="1099">
        <v>1.008847985872132</v>
      </c>
      <c r="F1777" s="1099">
        <v>0.99190485855797439</v>
      </c>
      <c r="G1777" s="1099">
        <v>0.98095383991625462</v>
      </c>
      <c r="H1777" s="1099">
        <v>0.98741135616619458</v>
      </c>
      <c r="I1777" s="1099">
        <v>0.9955364472980347</v>
      </c>
      <c r="K1777">
        <v>1.7335967580946536</v>
      </c>
      <c r="L1777">
        <v>0</v>
      </c>
      <c r="M1777">
        <v>1.3567386944243324E-3</v>
      </c>
      <c r="N1777">
        <v>0.12817876185233784</v>
      </c>
      <c r="O1777">
        <v>0.12792022705566797</v>
      </c>
      <c r="P1777">
        <v>1.8408228148839939E-2</v>
      </c>
      <c r="Q1777">
        <v>9.2563980813774175E-4</v>
      </c>
      <c r="R1777">
        <v>1.3531848913742749E-3</v>
      </c>
      <c r="S1777">
        <v>0.10859736253102138</v>
      </c>
      <c r="T1777">
        <v>1.0224489568526529</v>
      </c>
      <c r="U1777">
        <v>0</v>
      </c>
      <c r="V1777">
        <v>0.20961443941638624</v>
      </c>
      <c r="W1777">
        <v>8.3764617036231934E-2</v>
      </c>
      <c r="X1777">
        <v>3.0059155999385391E-2</v>
      </c>
      <c r="Y1777">
        <v>3.6829231970412209E-3</v>
      </c>
    </row>
    <row r="1778" spans="1:25" x14ac:dyDescent="0.25">
      <c r="A1778" s="1095"/>
      <c r="B1778" s="1454">
        <v>1528</v>
      </c>
      <c r="C1778" s="1099">
        <v>1.0277486375743343</v>
      </c>
      <c r="D1778" s="1099">
        <v>0.98965912630951958</v>
      </c>
      <c r="E1778" s="1099">
        <v>1.0097779793254846</v>
      </c>
      <c r="F1778" s="1099">
        <v>1.0285733847658363</v>
      </c>
      <c r="G1778" s="1099">
        <v>1.0095530224006712</v>
      </c>
      <c r="H1778" s="1099">
        <v>1.0372802841503337</v>
      </c>
      <c r="I1778" s="1099">
        <v>0.98624178724605427</v>
      </c>
      <c r="K1778">
        <v>1.774604694366082</v>
      </c>
      <c r="L1778">
        <v>0</v>
      </c>
      <c r="M1778">
        <v>1.3748647705251339E-3</v>
      </c>
      <c r="N1778">
        <v>0.13027595468469036</v>
      </c>
      <c r="O1778">
        <v>0.12874698001640131</v>
      </c>
      <c r="P1778">
        <v>1.8913932872265313E-2</v>
      </c>
      <c r="Q1778">
        <v>8.8709730093539422E-4</v>
      </c>
      <c r="R1778">
        <v>1.3714687765869504E-3</v>
      </c>
      <c r="S1778">
        <v>0.10713535419713524</v>
      </c>
      <c r="T1778">
        <v>1.0602184596970723</v>
      </c>
      <c r="U1778">
        <v>0</v>
      </c>
      <c r="V1778">
        <v>0.2091957524928173</v>
      </c>
      <c r="W1778">
        <v>8.508842907570445E-2</v>
      </c>
      <c r="X1778">
        <v>3.0413444117688579E-2</v>
      </c>
      <c r="Y1778">
        <v>3.7326859053089831E-3</v>
      </c>
    </row>
    <row r="1779" spans="1:25" x14ac:dyDescent="0.25">
      <c r="A1779" s="1095"/>
      <c r="B1779" s="1454">
        <v>1529</v>
      </c>
      <c r="C1779" s="1099">
        <v>0.98925158551156867</v>
      </c>
      <c r="D1779" s="1099">
        <v>0.96892437768941031</v>
      </c>
      <c r="E1779" s="1099">
        <v>1.0359909778476357</v>
      </c>
      <c r="F1779" s="1099">
        <v>0.99144475662974707</v>
      </c>
      <c r="G1779" s="1099">
        <v>1.0113616242570216</v>
      </c>
      <c r="H1779" s="1099">
        <v>0.98263231651926652</v>
      </c>
      <c r="I1779" s="1099">
        <v>0.98292119155243929</v>
      </c>
      <c r="K1779">
        <v>1.7413152855062288</v>
      </c>
      <c r="L1779">
        <v>0</v>
      </c>
      <c r="M1779">
        <v>1.2890692804566426E-3</v>
      </c>
      <c r="N1779">
        <v>0.13217651711721565</v>
      </c>
      <c r="O1779">
        <v>0.12899705764128266</v>
      </c>
      <c r="P1779">
        <v>1.8776099281060284E-2</v>
      </c>
      <c r="Q1779">
        <v>9.5475166624615915E-4</v>
      </c>
      <c r="R1779">
        <v>1.2857000663537852E-3</v>
      </c>
      <c r="S1779">
        <v>0.10810612401086955</v>
      </c>
      <c r="T1779">
        <v>1.0211925971877658</v>
      </c>
      <c r="U1779">
        <v>0</v>
      </c>
      <c r="V1779">
        <v>0.21127930851587998</v>
      </c>
      <c r="W1779">
        <v>8.5018833685608239E-2</v>
      </c>
      <c r="X1779">
        <v>3.1318113864701541E-2</v>
      </c>
      <c r="Y1779">
        <v>3.499251749702038E-3</v>
      </c>
    </row>
    <row r="1780" spans="1:25" x14ac:dyDescent="0.25">
      <c r="A1780" s="1095"/>
      <c r="B1780" s="1454">
        <v>1530</v>
      </c>
      <c r="C1780" s="1099">
        <v>1.035476376638542</v>
      </c>
      <c r="D1780" s="1099">
        <v>0.96372098601458311</v>
      </c>
      <c r="E1780" s="1099">
        <v>0.95742816527919783</v>
      </c>
      <c r="F1780" s="1099">
        <v>1.0166564273821437</v>
      </c>
      <c r="G1780" s="1099">
        <v>0.96507152350760406</v>
      </c>
      <c r="H1780" s="1099">
        <v>1.0035468734178501</v>
      </c>
      <c r="I1780" s="1099">
        <v>0.95473055485463421</v>
      </c>
      <c r="K1780">
        <v>1.7401519748012655</v>
      </c>
      <c r="L1780">
        <v>0</v>
      </c>
      <c r="M1780">
        <v>1.4940353018822389E-3</v>
      </c>
      <c r="N1780">
        <v>0.12082680765742798</v>
      </c>
      <c r="O1780">
        <v>0.12848175498539638</v>
      </c>
      <c r="P1780">
        <v>1.7937917024467811E-2</v>
      </c>
      <c r="Q1780">
        <v>8.4246380054068507E-4</v>
      </c>
      <c r="R1780">
        <v>1.4902389641258918E-3</v>
      </c>
      <c r="S1780">
        <v>0.10230396710166445</v>
      </c>
      <c r="T1780">
        <v>1.0495430668261998</v>
      </c>
      <c r="U1780">
        <v>0</v>
      </c>
      <c r="V1780">
        <v>0.20646067397467321</v>
      </c>
      <c r="W1780">
        <v>8.1444112929416959E-2</v>
      </c>
      <c r="X1780">
        <v>2.8259067636026491E-2</v>
      </c>
      <c r="Y1780">
        <v>4.0559392032081818E-3</v>
      </c>
    </row>
    <row r="1781" spans="1:25" x14ac:dyDescent="0.25">
      <c r="A1781" s="1095"/>
      <c r="B1781" s="1454">
        <v>1531</v>
      </c>
      <c r="C1781" s="1099">
        <v>0.99718556810472092</v>
      </c>
      <c r="D1781" s="1099">
        <v>0.994270721430629</v>
      </c>
      <c r="E1781" s="1099">
        <v>0.97679106347157718</v>
      </c>
      <c r="F1781" s="1099">
        <v>1.0089333160287304</v>
      </c>
      <c r="G1781" s="1099">
        <v>1.0199347047799769</v>
      </c>
      <c r="H1781" s="1099">
        <v>1.0037607126662513</v>
      </c>
      <c r="I1781" s="1099">
        <v>1.0248555256621392</v>
      </c>
      <c r="K1781">
        <v>1.752553815888575</v>
      </c>
      <c r="L1781">
        <v>0</v>
      </c>
      <c r="M1781">
        <v>1.4581716166203265E-3</v>
      </c>
      <c r="N1781">
        <v>0.12504548377253891</v>
      </c>
      <c r="O1781">
        <v>0.12849074017284051</v>
      </c>
      <c r="P1781">
        <v>1.8277592094358218E-2</v>
      </c>
      <c r="Q1781">
        <v>8.8179513635159733E-4</v>
      </c>
      <c r="R1781">
        <v>1.4544308945663338E-3</v>
      </c>
      <c r="S1781">
        <v>0.11162789044008545</v>
      </c>
      <c r="T1781">
        <v>1.0409701753840255</v>
      </c>
      <c r="U1781">
        <v>0</v>
      </c>
      <c r="V1781">
        <v>0.21097806493983157</v>
      </c>
      <c r="W1781">
        <v>8.329797816777211E-2</v>
      </c>
      <c r="X1781">
        <v>2.9029355060827804E-2</v>
      </c>
      <c r="Y1781">
        <v>3.9584814419940228E-3</v>
      </c>
    </row>
    <row r="1782" spans="1:25" x14ac:dyDescent="0.25">
      <c r="A1782" s="1095"/>
      <c r="B1782" s="1454">
        <v>1532</v>
      </c>
      <c r="C1782" s="1099">
        <v>1.0168309048528001</v>
      </c>
      <c r="D1782" s="1099">
        <v>1.0067753365783205</v>
      </c>
      <c r="E1782" s="1099">
        <v>1.0054944059800166</v>
      </c>
      <c r="F1782" s="1099">
        <v>0.99348071313676478</v>
      </c>
      <c r="G1782" s="1099">
        <v>1.0304408873885473</v>
      </c>
      <c r="H1782" s="1099">
        <v>0.98489312713889232</v>
      </c>
      <c r="I1782" s="1099">
        <v>1.0094325532092223</v>
      </c>
      <c r="K1782">
        <v>1.7200102765946634</v>
      </c>
      <c r="L1782">
        <v>0</v>
      </c>
      <c r="M1782">
        <v>1.3127928242457087E-3</v>
      </c>
      <c r="N1782">
        <v>0.12277724826144157</v>
      </c>
      <c r="O1782">
        <v>0.12586254418527504</v>
      </c>
      <c r="P1782">
        <v>1.8335421622380513E-2</v>
      </c>
      <c r="Q1782">
        <v>8.8656315361091548E-4</v>
      </c>
      <c r="R1782">
        <v>1.3093533682723257E-3</v>
      </c>
      <c r="S1782">
        <v>0.10575841495722264</v>
      </c>
      <c r="T1782">
        <v>1.0241716687733144</v>
      </c>
      <c r="U1782">
        <v>0</v>
      </c>
      <c r="V1782">
        <v>0.20875362541779388</v>
      </c>
      <c r="W1782">
        <v>8.0393914645754086E-2</v>
      </c>
      <c r="X1782">
        <v>2.951068679362763E-2</v>
      </c>
      <c r="Y1782">
        <v>3.5636282402154219E-3</v>
      </c>
    </row>
    <row r="1783" spans="1:25" x14ac:dyDescent="0.25">
      <c r="A1783" s="1095"/>
      <c r="B1783" s="1454">
        <v>1533</v>
      </c>
      <c r="C1783" s="1099">
        <v>1.0131207943730431</v>
      </c>
      <c r="D1783" s="1099">
        <v>0.98627886372676876</v>
      </c>
      <c r="E1783" s="1099">
        <v>0.96620834832864899</v>
      </c>
      <c r="F1783" s="1099">
        <v>0.98602198475539204</v>
      </c>
      <c r="G1783" s="1099">
        <v>0.98519032850324306</v>
      </c>
      <c r="H1783" s="1099">
        <v>0.98751955473851027</v>
      </c>
      <c r="I1783" s="1099">
        <v>0.98268572431047196</v>
      </c>
      <c r="K1783">
        <v>1.7071598530822336</v>
      </c>
      <c r="L1783">
        <v>0</v>
      </c>
      <c r="M1783">
        <v>1.4490968250029568E-3</v>
      </c>
      <c r="N1783">
        <v>0.12034406619429451</v>
      </c>
      <c r="O1783">
        <v>0.1262559435900002</v>
      </c>
      <c r="P1783">
        <v>1.7674787509568968E-2</v>
      </c>
      <c r="Q1783">
        <v>8.6108506003140014E-4</v>
      </c>
      <c r="R1783">
        <v>1.4453214268501404E-3</v>
      </c>
      <c r="S1783">
        <v>0.10470417352715579</v>
      </c>
      <c r="T1783">
        <v>1.0176504168136058</v>
      </c>
      <c r="U1783">
        <v>0</v>
      </c>
      <c r="V1783">
        <v>0.20697718053804967</v>
      </c>
      <c r="W1783">
        <v>8.0683568652700544E-2</v>
      </c>
      <c r="X1783">
        <v>2.8078718121173098E-2</v>
      </c>
      <c r="Y1783">
        <v>3.9336884738057701E-3</v>
      </c>
    </row>
    <row r="1784" spans="1:25" x14ac:dyDescent="0.25">
      <c r="A1784" s="1095"/>
      <c r="B1784" s="1454">
        <v>1534</v>
      </c>
      <c r="C1784" s="1099">
        <v>0.96449457251113468</v>
      </c>
      <c r="D1784" s="1099">
        <v>1.0134143870509542</v>
      </c>
      <c r="E1784" s="1099">
        <v>1.0263779955420049</v>
      </c>
      <c r="F1784" s="1099">
        <v>1.020372747467051</v>
      </c>
      <c r="G1784" s="1099">
        <v>0.96395599850924307</v>
      </c>
      <c r="H1784" s="1099">
        <v>1.0178629403156456</v>
      </c>
      <c r="I1784" s="1099">
        <v>1.0276925463370956</v>
      </c>
      <c r="K1784">
        <v>1.7869549575506973</v>
      </c>
      <c r="L1784">
        <v>0</v>
      </c>
      <c r="M1784">
        <v>1.3614859021460102E-3</v>
      </c>
      <c r="N1784">
        <v>0.13562427385181391</v>
      </c>
      <c r="O1784">
        <v>0.13042640857739266</v>
      </c>
      <c r="P1784">
        <v>1.9165292357769519E-2</v>
      </c>
      <c r="Q1784">
        <v>9.5244741382063502E-4</v>
      </c>
      <c r="R1784">
        <v>1.3580230198659779E-3</v>
      </c>
      <c r="S1784">
        <v>0.11537600895610738</v>
      </c>
      <c r="T1784">
        <v>1.0512710866503641</v>
      </c>
      <c r="U1784">
        <v>0</v>
      </c>
      <c r="V1784">
        <v>0.21129717410736998</v>
      </c>
      <c r="W1784">
        <v>8.7724202494005296E-2</v>
      </c>
      <c r="X1784">
        <v>3.1425435036426433E-2</v>
      </c>
      <c r="Y1784">
        <v>3.696090987907007E-3</v>
      </c>
    </row>
    <row r="1785" spans="1:25" x14ac:dyDescent="0.25">
      <c r="A1785" s="1095"/>
      <c r="B1785" s="1454">
        <v>1535</v>
      </c>
      <c r="C1785" s="1099">
        <v>0.97450845999302493</v>
      </c>
      <c r="D1785" s="1099">
        <v>0.99000322568744359</v>
      </c>
      <c r="E1785" s="1099">
        <v>0.97995281470889606</v>
      </c>
      <c r="F1785" s="1099">
        <v>0.99572359806455213</v>
      </c>
      <c r="G1785" s="1099">
        <v>1.0048379929144968</v>
      </c>
      <c r="H1785" s="1099">
        <v>0.98690686465160438</v>
      </c>
      <c r="I1785" s="1099">
        <v>1.0167462680671615</v>
      </c>
      <c r="K1785">
        <v>1.7420960386569015</v>
      </c>
      <c r="L1785">
        <v>0</v>
      </c>
      <c r="M1785">
        <v>1.4566404431530218E-3</v>
      </c>
      <c r="N1785">
        <v>0.12610873295214695</v>
      </c>
      <c r="O1785">
        <v>0.12888749987686035</v>
      </c>
      <c r="P1785">
        <v>1.8153636208420761E-2</v>
      </c>
      <c r="Q1785">
        <v>9.0687097784136425E-4</v>
      </c>
      <c r="R1785">
        <v>1.4528310620232879E-3</v>
      </c>
      <c r="S1785">
        <v>0.11216749280020043</v>
      </c>
      <c r="T1785">
        <v>1.0272453867786284</v>
      </c>
      <c r="U1785">
        <v>0</v>
      </c>
      <c r="V1785">
        <v>0.21165971450135762</v>
      </c>
      <c r="W1785">
        <v>8.3845819076947409E-2</v>
      </c>
      <c r="X1785">
        <v>2.9170567640431681E-2</v>
      </c>
      <c r="Y1785">
        <v>3.954127225196509E-3</v>
      </c>
    </row>
    <row r="1786" spans="1:25" x14ac:dyDescent="0.25">
      <c r="A1786" s="1095"/>
      <c r="B1786" s="1454">
        <v>1536</v>
      </c>
      <c r="C1786" s="1099">
        <v>0.97855565030489478</v>
      </c>
      <c r="D1786" s="1099">
        <v>1.0112871362783751</v>
      </c>
      <c r="E1786" s="1099">
        <v>1.0153855960760576</v>
      </c>
      <c r="F1786" s="1099">
        <v>1.01270920409339</v>
      </c>
      <c r="G1786" s="1099">
        <v>1.0095774806720588</v>
      </c>
      <c r="H1786" s="1099">
        <v>0.96074835094483113</v>
      </c>
      <c r="I1786" s="1099">
        <v>0.97409371718275328</v>
      </c>
      <c r="K1786">
        <v>1.7490137754255828</v>
      </c>
      <c r="L1786">
        <v>0</v>
      </c>
      <c r="M1786">
        <v>1.2982358233091379E-3</v>
      </c>
      <c r="N1786">
        <v>0.12508698224644338</v>
      </c>
      <c r="O1786">
        <v>0.12913076646259705</v>
      </c>
      <c r="P1786">
        <v>1.8758241968523277E-2</v>
      </c>
      <c r="Q1786">
        <v>9.2902039919199317E-4</v>
      </c>
      <c r="R1786">
        <v>1.2947407902575521E-3</v>
      </c>
      <c r="S1786">
        <v>0.1040014113739096</v>
      </c>
      <c r="T1786">
        <v>1.0436995082769795</v>
      </c>
      <c r="U1786">
        <v>0</v>
      </c>
      <c r="V1786">
        <v>0.21188027024348355</v>
      </c>
      <c r="W1786">
        <v>8.1430143584595563E-2</v>
      </c>
      <c r="X1786">
        <v>3.0577068283016429E-2</v>
      </c>
      <c r="Y1786">
        <v>3.5238576198942562E-3</v>
      </c>
    </row>
    <row r="1787" spans="1:25" x14ac:dyDescent="0.25">
      <c r="A1787" s="1095"/>
      <c r="B1787" s="1454">
        <v>1537</v>
      </c>
      <c r="C1787" s="1099">
        <v>0.97225055948316919</v>
      </c>
      <c r="D1787" s="1099">
        <v>1.0231517967258659</v>
      </c>
      <c r="E1787" s="1099">
        <v>1.011178415428104</v>
      </c>
      <c r="F1787" s="1099">
        <v>1.0291361306841968</v>
      </c>
      <c r="G1787" s="1099">
        <v>1.0085124355964847</v>
      </c>
      <c r="H1787" s="1099">
        <v>1.0168636438079675</v>
      </c>
      <c r="I1787" s="1099">
        <v>0.96163129505009304</v>
      </c>
      <c r="K1787">
        <v>1.782739767609437</v>
      </c>
      <c r="L1787">
        <v>0</v>
      </c>
      <c r="M1787">
        <v>1.3867500503657027E-3</v>
      </c>
      <c r="N1787">
        <v>0.13194868251810085</v>
      </c>
      <c r="O1787">
        <v>0.1301529583447826</v>
      </c>
      <c r="P1787">
        <v>1.8982383019069439E-2</v>
      </c>
      <c r="Q1787">
        <v>9.2667035960769192E-4</v>
      </c>
      <c r="R1787">
        <v>1.3832179730222092E-3</v>
      </c>
      <c r="S1787">
        <v>0.10646996374120807</v>
      </c>
      <c r="T1787">
        <v>1.0607561241363035</v>
      </c>
      <c r="U1787">
        <v>0</v>
      </c>
      <c r="V1787">
        <v>0.21287492792051391</v>
      </c>
      <c r="W1787">
        <v>8.6109842036369566E-2</v>
      </c>
      <c r="X1787">
        <v>3.0757084265939375E-2</v>
      </c>
      <c r="Y1787">
        <v>3.7646633448841929E-3</v>
      </c>
    </row>
    <row r="1788" spans="1:25" x14ac:dyDescent="0.25">
      <c r="A1788" s="1095"/>
      <c r="B1788" s="1454">
        <v>1538</v>
      </c>
      <c r="C1788" s="1099">
        <v>1.0232461408399769</v>
      </c>
      <c r="D1788" s="1099">
        <v>0.99221032930654463</v>
      </c>
      <c r="E1788" s="1099">
        <v>0.9739933640706876</v>
      </c>
      <c r="F1788" s="1099">
        <v>0.96524133415245106</v>
      </c>
      <c r="G1788" s="1099">
        <v>1.0346699888458502</v>
      </c>
      <c r="H1788" s="1099">
        <v>0.97263603053238812</v>
      </c>
      <c r="I1788" s="1099">
        <v>0.98773056973466644</v>
      </c>
      <c r="K1788">
        <v>1.6761128861066463</v>
      </c>
      <c r="L1788">
        <v>0</v>
      </c>
      <c r="M1788">
        <v>1.3842743627801675E-3</v>
      </c>
      <c r="N1788">
        <v>0.11769737517395026</v>
      </c>
      <c r="O1788">
        <v>0.1239247741935818</v>
      </c>
      <c r="P1788">
        <v>1.7468850992339729E-2</v>
      </c>
      <c r="Q1788">
        <v>8.5752641451375118E-4</v>
      </c>
      <c r="R1788">
        <v>1.3806047331859873E-3</v>
      </c>
      <c r="S1788">
        <v>0.1027520407125367</v>
      </c>
      <c r="T1788">
        <v>0.99597309413803825</v>
      </c>
      <c r="U1788">
        <v>0</v>
      </c>
      <c r="V1788">
        <v>0.20729959743516016</v>
      </c>
      <c r="W1788">
        <v>7.8536143815610915E-2</v>
      </c>
      <c r="X1788">
        <v>2.7849601893003378E-2</v>
      </c>
      <c r="Y1788">
        <v>3.7575509675042778E-3</v>
      </c>
    </row>
    <row r="1789" spans="1:25" x14ac:dyDescent="0.25">
      <c r="A1789" s="1095"/>
      <c r="B1789" s="1454">
        <v>1539</v>
      </c>
      <c r="C1789" s="1099">
        <v>0.9845989659250779</v>
      </c>
      <c r="D1789" s="1099">
        <v>0.96449857895446056</v>
      </c>
      <c r="E1789" s="1099">
        <v>1.029761541408527</v>
      </c>
      <c r="F1789" s="1099">
        <v>0.95658001075954002</v>
      </c>
      <c r="G1789" s="1099">
        <v>0.99253411880589093</v>
      </c>
      <c r="H1789" s="1099">
        <v>1.0115127222968574</v>
      </c>
      <c r="I1789" s="1099">
        <v>1.025836698728436</v>
      </c>
      <c r="K1789">
        <v>1.7136197881129698</v>
      </c>
      <c r="L1789">
        <v>0</v>
      </c>
      <c r="M1789">
        <v>1.3492815843510419E-3</v>
      </c>
      <c r="N1789">
        <v>0.1357863273889989</v>
      </c>
      <c r="O1789">
        <v>0.12669985396287642</v>
      </c>
      <c r="P1789">
        <v>1.8265604986646176E-2</v>
      </c>
      <c r="Q1789">
        <v>9.5494117616212921E-4</v>
      </c>
      <c r="R1789">
        <v>1.345845916363072E-3</v>
      </c>
      <c r="S1789">
        <v>0.11553589807702934</v>
      </c>
      <c r="T1789">
        <v>0.98545309191238961</v>
      </c>
      <c r="U1789">
        <v>0</v>
      </c>
      <c r="V1789">
        <v>0.2090331645219704</v>
      </c>
      <c r="W1789">
        <v>8.7656427846455637E-2</v>
      </c>
      <c r="X1789">
        <v>3.0574964982073866E-2</v>
      </c>
      <c r="Y1789">
        <v>3.6629489263531882E-3</v>
      </c>
    </row>
    <row r="1790" spans="1:25" x14ac:dyDescent="0.25">
      <c r="A1790" s="1095"/>
      <c r="B1790" s="1454">
        <v>1540</v>
      </c>
      <c r="C1790" s="1099">
        <v>0.9518596438254463</v>
      </c>
      <c r="D1790" s="1099">
        <v>1.0390172960640442</v>
      </c>
      <c r="E1790" s="1099">
        <v>1.036092375170977</v>
      </c>
      <c r="F1790" s="1099">
        <v>1.0458160017042855</v>
      </c>
      <c r="G1790" s="1099">
        <v>1.0243661441254683</v>
      </c>
      <c r="H1790" s="1099">
        <v>1.0201080054233369</v>
      </c>
      <c r="I1790" s="1099">
        <v>0.99917356938976676</v>
      </c>
      <c r="K1790">
        <v>1.8190006608294884</v>
      </c>
      <c r="L1790">
        <v>0</v>
      </c>
      <c r="M1790">
        <v>1.3365068550102864E-3</v>
      </c>
      <c r="N1790">
        <v>0.13709160649344582</v>
      </c>
      <c r="O1790">
        <v>0.13191113503530694</v>
      </c>
      <c r="P1790">
        <v>1.968441260591109E-2</v>
      </c>
      <c r="Q1790">
        <v>9.6501908161847805E-4</v>
      </c>
      <c r="R1790">
        <v>1.3331024795702826E-3</v>
      </c>
      <c r="S1790">
        <v>0.11218002907168352</v>
      </c>
      <c r="T1790">
        <v>1.0771921870484615</v>
      </c>
      <c r="U1790">
        <v>0</v>
      </c>
      <c r="V1790">
        <v>0.21595822009693771</v>
      </c>
      <c r="W1790">
        <v>8.8175161437261756E-2</v>
      </c>
      <c r="X1790">
        <v>3.2218028842024848E-2</v>
      </c>
      <c r="Y1790">
        <v>3.6282654922760254E-3</v>
      </c>
    </row>
    <row r="1791" spans="1:25" x14ac:dyDescent="0.25">
      <c r="A1791" s="1095"/>
      <c r="B1791" s="1454">
        <v>1541</v>
      </c>
      <c r="C1791" s="1099">
        <v>0.99184785539162168</v>
      </c>
      <c r="D1791" s="1099">
        <v>0.96786968776282811</v>
      </c>
      <c r="E1791" s="1099">
        <v>0.99958220513577456</v>
      </c>
      <c r="F1791" s="1099">
        <v>0.97199276832977211</v>
      </c>
      <c r="G1791" s="1099">
        <v>0.98680927370615412</v>
      </c>
      <c r="H1791" s="1099">
        <v>0.98838999121653415</v>
      </c>
      <c r="I1791" s="1099">
        <v>1.0227009275802497</v>
      </c>
      <c r="K1791">
        <v>1.7151217460884405</v>
      </c>
      <c r="L1791">
        <v>0</v>
      </c>
      <c r="M1791">
        <v>1.3936563738630285E-3</v>
      </c>
      <c r="N1791">
        <v>0.1280351679112432</v>
      </c>
      <c r="O1791">
        <v>0.12724700668837877</v>
      </c>
      <c r="P1791">
        <v>1.8047321048043602E-2</v>
      </c>
      <c r="Q1791">
        <v>9.1770074795803722E-4</v>
      </c>
      <c r="R1791">
        <v>1.3900300393557222E-3</v>
      </c>
      <c r="S1791">
        <v>0.11250407179421802</v>
      </c>
      <c r="T1791">
        <v>1.0021903062206905</v>
      </c>
      <c r="U1791">
        <v>0</v>
      </c>
      <c r="V1791">
        <v>0.2087594455060483</v>
      </c>
      <c r="W1791">
        <v>8.4131293462086004E-2</v>
      </c>
      <c r="X1791">
        <v>2.9509855500434161E-2</v>
      </c>
      <c r="Y1791">
        <v>3.7832035438469525E-3</v>
      </c>
    </row>
    <row r="1792" spans="1:25" x14ac:dyDescent="0.25">
      <c r="A1792" s="1095"/>
      <c r="B1792" s="1454">
        <v>1542</v>
      </c>
      <c r="C1792" s="1099">
        <v>0.98155048348797203</v>
      </c>
      <c r="D1792" s="1099">
        <v>1.0383705164358454</v>
      </c>
      <c r="E1792" s="1099">
        <v>1.0010918008548058</v>
      </c>
      <c r="F1792" s="1099">
        <v>1.0249811614815447</v>
      </c>
      <c r="G1792" s="1099">
        <v>1.0047332795892712</v>
      </c>
      <c r="H1792" s="1099">
        <v>1.0070840234275291</v>
      </c>
      <c r="I1792" s="1099">
        <v>1.0072559425941163</v>
      </c>
      <c r="K1792">
        <v>1.7694768223380679</v>
      </c>
      <c r="L1792">
        <v>0</v>
      </c>
      <c r="M1792">
        <v>1.3777298002524904E-3</v>
      </c>
      <c r="N1792">
        <v>0.12715364853708003</v>
      </c>
      <c r="O1792">
        <v>0.1286160444012909</v>
      </c>
      <c r="P1792">
        <v>1.8795136852350139E-2</v>
      </c>
      <c r="Q1792">
        <v>9.0302325731637456E-4</v>
      </c>
      <c r="R1792">
        <v>1.3741781835408106E-3</v>
      </c>
      <c r="S1792">
        <v>0.10878786810031994</v>
      </c>
      <c r="T1792">
        <v>1.0567789434191364</v>
      </c>
      <c r="U1792">
        <v>0</v>
      </c>
      <c r="V1792">
        <v>0.21118362967937684</v>
      </c>
      <c r="W1792">
        <v>8.3477140200555924E-2</v>
      </c>
      <c r="X1792">
        <v>3.0044879489470652E-2</v>
      </c>
      <c r="Y1792">
        <v>3.7400600178816275E-3</v>
      </c>
    </row>
    <row r="1793" spans="1:25" x14ac:dyDescent="0.25">
      <c r="A1793" s="1095"/>
      <c r="B1793" s="1454">
        <v>1543</v>
      </c>
      <c r="C1793" s="1099">
        <v>1.0342200545185674</v>
      </c>
      <c r="D1793" s="1099">
        <v>1.0309673043980916</v>
      </c>
      <c r="E1793" s="1099">
        <v>1.0331901660552925</v>
      </c>
      <c r="F1793" s="1099">
        <v>0.99796329262158645</v>
      </c>
      <c r="G1793" s="1099">
        <v>0.96272231392904151</v>
      </c>
      <c r="H1793" s="1099">
        <v>0.9794298815586483</v>
      </c>
      <c r="I1793" s="1099">
        <v>0.99280480243008196</v>
      </c>
      <c r="K1793">
        <v>1.7096659739325899</v>
      </c>
      <c r="L1793">
        <v>0</v>
      </c>
      <c r="M1793">
        <v>1.1968578375850581E-3</v>
      </c>
      <c r="N1793">
        <v>0.1216865710029271</v>
      </c>
      <c r="O1793">
        <v>0.12437331491405157</v>
      </c>
      <c r="P1793">
        <v>1.8621574454123966E-2</v>
      </c>
      <c r="Q1793">
        <v>8.8830886161025903E-4</v>
      </c>
      <c r="R1793">
        <v>1.1936957289054339E-3</v>
      </c>
      <c r="S1793">
        <v>0.10057018004639608</v>
      </c>
      <c r="T1793">
        <v>1.0279869470102385</v>
      </c>
      <c r="U1793">
        <v>0</v>
      </c>
      <c r="V1793">
        <v>0.2036918579985427</v>
      </c>
      <c r="W1793">
        <v>7.8398369816907704E-2</v>
      </c>
      <c r="X1793">
        <v>3.0203165664082026E-2</v>
      </c>
      <c r="Y1793">
        <v>3.2488462723893135E-3</v>
      </c>
    </row>
    <row r="1794" spans="1:25" x14ac:dyDescent="0.25">
      <c r="A1794" s="1095"/>
      <c r="B1794" s="1454">
        <v>1544</v>
      </c>
      <c r="C1794" s="1099">
        <v>1.0073389157564179</v>
      </c>
      <c r="D1794" s="1099">
        <v>1.0131303768641047</v>
      </c>
      <c r="E1794" s="1099">
        <v>0.98742104297728339</v>
      </c>
      <c r="F1794" s="1099">
        <v>1.0017402820559187</v>
      </c>
      <c r="G1794" s="1099">
        <v>1.0176332470687486</v>
      </c>
      <c r="H1794" s="1099">
        <v>1.0129440357151305</v>
      </c>
      <c r="I1794" s="1099">
        <v>1.0125504511660903</v>
      </c>
      <c r="K1794">
        <v>1.7369828719943841</v>
      </c>
      <c r="L1794">
        <v>0</v>
      </c>
      <c r="M1794">
        <v>1.4096127589072879E-3</v>
      </c>
      <c r="N1794">
        <v>0.12483361217003237</v>
      </c>
      <c r="O1794">
        <v>0.12660606686226872</v>
      </c>
      <c r="P1794">
        <v>1.8254480876070317E-2</v>
      </c>
      <c r="Q1794">
        <v>8.7606477763739585E-4</v>
      </c>
      <c r="R1794">
        <v>1.4060173993894292E-3</v>
      </c>
      <c r="S1794">
        <v>0.10858945112230264</v>
      </c>
      <c r="T1794">
        <v>1.0332265074650511</v>
      </c>
      <c r="U1794">
        <v>0</v>
      </c>
      <c r="V1794">
        <v>0.20910642890180395</v>
      </c>
      <c r="W1794">
        <v>8.262568048320007E-2</v>
      </c>
      <c r="X1794">
        <v>2.9041458827908751E-2</v>
      </c>
      <c r="Y1794">
        <v>3.826715867626884E-3</v>
      </c>
    </row>
    <row r="1795" spans="1:25" x14ac:dyDescent="0.25">
      <c r="A1795" s="1095"/>
      <c r="B1795" s="1454">
        <v>1545</v>
      </c>
      <c r="C1795" s="1099">
        <v>0.99600518544836758</v>
      </c>
      <c r="D1795" s="1099">
        <v>0.99091234763033564</v>
      </c>
      <c r="E1795" s="1099">
        <v>1.0104981202941998</v>
      </c>
      <c r="F1795" s="1099">
        <v>0.97548107840884013</v>
      </c>
      <c r="G1795" s="1099">
        <v>0.97062414324938051</v>
      </c>
      <c r="H1795" s="1099">
        <v>0.98144432427360184</v>
      </c>
      <c r="I1795" s="1099">
        <v>1.0061517296751841</v>
      </c>
      <c r="K1795">
        <v>1.7081801629745581</v>
      </c>
      <c r="L1795">
        <v>0</v>
      </c>
      <c r="M1795">
        <v>1.3297021992950886E-3</v>
      </c>
      <c r="N1795">
        <v>0.12625052321103469</v>
      </c>
      <c r="O1795">
        <v>0.12628513328340801</v>
      </c>
      <c r="P1795">
        <v>1.8157954973419835E-2</v>
      </c>
      <c r="Q1795">
        <v>9.1558621513880729E-4</v>
      </c>
      <c r="R1795">
        <v>1.3262049820284517E-3</v>
      </c>
      <c r="S1795">
        <v>0.1082112923207038</v>
      </c>
      <c r="T1795">
        <v>1.0054720450871724</v>
      </c>
      <c r="U1795">
        <v>0</v>
      </c>
      <c r="V1795">
        <v>0.20713631325265663</v>
      </c>
      <c r="W1795">
        <v>8.2424253930751548E-2</v>
      </c>
      <c r="X1795">
        <v>2.9721065139813482E-2</v>
      </c>
      <c r="Y1795">
        <v>3.6094927777266163E-3</v>
      </c>
    </row>
    <row r="1796" spans="1:25" x14ac:dyDescent="0.25">
      <c r="A1796" s="1095"/>
      <c r="B1796" s="1454">
        <v>1546</v>
      </c>
      <c r="C1796" s="1099">
        <v>0.98509183396044164</v>
      </c>
      <c r="D1796" s="1099">
        <v>0.9766154000891748</v>
      </c>
      <c r="E1796" s="1099">
        <v>1.0310811146270702</v>
      </c>
      <c r="F1796" s="1099">
        <v>0.97985876580620401</v>
      </c>
      <c r="G1796" s="1099">
        <v>1.0133030151478382</v>
      </c>
      <c r="H1796" s="1099">
        <v>1.0056731192055479</v>
      </c>
      <c r="I1796" s="1099">
        <v>1.0128920371198209</v>
      </c>
      <c r="K1796">
        <v>1.7363117922411841</v>
      </c>
      <c r="L1796">
        <v>0</v>
      </c>
      <c r="M1796">
        <v>1.3304068480743047E-3</v>
      </c>
      <c r="N1796">
        <v>0.13441847742197183</v>
      </c>
      <c r="O1796">
        <v>0.12793231117520415</v>
      </c>
      <c r="P1796">
        <v>1.8605883985251832E-2</v>
      </c>
      <c r="Q1796">
        <v>9.5098824548567014E-4</v>
      </c>
      <c r="R1796">
        <v>1.326999387811852E-3</v>
      </c>
      <c r="S1796">
        <v>0.11289188381315603</v>
      </c>
      <c r="T1796">
        <v>1.009397213160115</v>
      </c>
      <c r="U1796">
        <v>0</v>
      </c>
      <c r="V1796">
        <v>0.21086382463828585</v>
      </c>
      <c r="W1796">
        <v>8.6706997376069461E-2</v>
      </c>
      <c r="X1796">
        <v>3.0935964997510623E-2</v>
      </c>
      <c r="Y1796">
        <v>3.6116548883932354E-3</v>
      </c>
    </row>
    <row r="1797" spans="1:25" x14ac:dyDescent="0.25">
      <c r="A1797" s="1095"/>
      <c r="B1797" s="1454">
        <v>1547</v>
      </c>
      <c r="C1797" s="1099">
        <v>0.98140081243680277</v>
      </c>
      <c r="D1797" s="1099">
        <v>1.0076688868837833</v>
      </c>
      <c r="E1797" s="1099">
        <v>0.98054784932318162</v>
      </c>
      <c r="F1797" s="1099">
        <v>0.98830198984930939</v>
      </c>
      <c r="G1797" s="1099">
        <v>1.0280048542655351</v>
      </c>
      <c r="H1797" s="1099">
        <v>1.0171249080822766</v>
      </c>
      <c r="I1797" s="1099">
        <v>0.97192789943714675</v>
      </c>
      <c r="K1797">
        <v>1.7298111074088278</v>
      </c>
      <c r="L1797">
        <v>0</v>
      </c>
      <c r="M1797">
        <v>1.4734226925610706E-3</v>
      </c>
      <c r="N1797">
        <v>0.12780038172840422</v>
      </c>
      <c r="O1797">
        <v>0.12714397786532361</v>
      </c>
      <c r="P1797">
        <v>1.7988938924882882E-2</v>
      </c>
      <c r="Q1797">
        <v>8.9471142128954369E-4</v>
      </c>
      <c r="R1797">
        <v>1.4696713497631146E-3</v>
      </c>
      <c r="S1797">
        <v>0.10738823695738986</v>
      </c>
      <c r="T1797">
        <v>1.0195710032199874</v>
      </c>
      <c r="U1797">
        <v>0</v>
      </c>
      <c r="V1797">
        <v>0.21125246069708123</v>
      </c>
      <c r="W1797">
        <v>8.4940026313792688E-2</v>
      </c>
      <c r="X1797">
        <v>2.8835160686448966E-2</v>
      </c>
      <c r="Y1797">
        <v>3.9999609370249545E-3</v>
      </c>
    </row>
    <row r="1798" spans="1:25" x14ac:dyDescent="0.25">
      <c r="A1798" s="1095"/>
      <c r="B1798" s="1454">
        <v>1548</v>
      </c>
      <c r="C1798" s="1099">
        <v>1.02133785387003</v>
      </c>
      <c r="D1798" s="1099">
        <v>0.96703643807825013</v>
      </c>
      <c r="E1798" s="1099">
        <v>1.0192747136547751</v>
      </c>
      <c r="F1798" s="1099">
        <v>0.99970781227771699</v>
      </c>
      <c r="G1798" s="1099">
        <v>0.99546817348630889</v>
      </c>
      <c r="H1798" s="1099">
        <v>1.0199908455894402</v>
      </c>
      <c r="I1798" s="1099">
        <v>0.9683315981629157</v>
      </c>
      <c r="K1798">
        <v>1.7429822951420311</v>
      </c>
      <c r="L1798">
        <v>0</v>
      </c>
      <c r="M1798">
        <v>1.3482047003775676E-3</v>
      </c>
      <c r="N1798">
        <v>0.13145915786034373</v>
      </c>
      <c r="O1798">
        <v>0.12800055517741868</v>
      </c>
      <c r="P1798">
        <v>1.8602718348415082E-2</v>
      </c>
      <c r="Q1798">
        <v>9.0980671766453195E-4</v>
      </c>
      <c r="R1798">
        <v>1.3448230618962763E-3</v>
      </c>
      <c r="S1798">
        <v>0.10601337378093903</v>
      </c>
      <c r="T1798">
        <v>1.0301866780034352</v>
      </c>
      <c r="U1798">
        <v>0</v>
      </c>
      <c r="V1798">
        <v>0.20826168833153774</v>
      </c>
      <c r="W1798">
        <v>8.5383447441180121E-2</v>
      </c>
      <c r="X1798">
        <v>3.0508086065899793E-2</v>
      </c>
      <c r="Y1798">
        <v>3.6601650536784549E-3</v>
      </c>
    </row>
    <row r="1799" spans="1:25" x14ac:dyDescent="0.25">
      <c r="A1799" s="1095"/>
      <c r="B1799" s="1454">
        <v>1549</v>
      </c>
      <c r="C1799" s="1099">
        <v>1.0125263465469838</v>
      </c>
      <c r="D1799" s="1099">
        <v>1.0088436052088943</v>
      </c>
      <c r="E1799" s="1099">
        <v>0.99838073322962229</v>
      </c>
      <c r="F1799" s="1099">
        <v>0.97513367575614551</v>
      </c>
      <c r="G1799" s="1099">
        <v>1.019651585018674</v>
      </c>
      <c r="H1799" s="1099">
        <v>1.0074707830161687</v>
      </c>
      <c r="I1799" s="1099">
        <v>0.96229975867058326</v>
      </c>
      <c r="K1799">
        <v>1.6984973316927936</v>
      </c>
      <c r="L1799">
        <v>0</v>
      </c>
      <c r="M1799">
        <v>1.3643255109813432E-3</v>
      </c>
      <c r="N1799">
        <v>0.12489071387337325</v>
      </c>
      <c r="O1799">
        <v>0.1245660423459533</v>
      </c>
      <c r="P1799">
        <v>1.7922441952263207E-2</v>
      </c>
      <c r="Q1799">
        <v>8.8307123461364679E-4</v>
      </c>
      <c r="R1799">
        <v>1.360822947684282E-3</v>
      </c>
      <c r="S1799">
        <v>0.1024715064000586</v>
      </c>
      <c r="T1799">
        <v>1.0054636577426026</v>
      </c>
      <c r="U1799">
        <v>0</v>
      </c>
      <c r="V1799">
        <v>0.20754612419038981</v>
      </c>
      <c r="W1799">
        <v>8.2123757722388419E-2</v>
      </c>
      <c r="X1799">
        <v>2.8929807326014363E-2</v>
      </c>
      <c r="Y1799">
        <v>3.7037114684324731E-3</v>
      </c>
    </row>
    <row r="1800" spans="1:25" x14ac:dyDescent="0.25">
      <c r="A1800" s="1095"/>
      <c r="B1800" s="1454">
        <v>1550</v>
      </c>
      <c r="C1800" s="1099">
        <v>1.0366650223492984</v>
      </c>
      <c r="D1800" s="1099">
        <v>1.0040194491825976</v>
      </c>
      <c r="E1800" s="1099">
        <v>1.0111826111716269</v>
      </c>
      <c r="F1800" s="1099">
        <v>1.0210084008134155</v>
      </c>
      <c r="G1800" s="1099">
        <v>0.98276247890404411</v>
      </c>
      <c r="H1800" s="1099">
        <v>1.0023252743649702</v>
      </c>
      <c r="I1800" s="1099">
        <v>1.0146904184699739</v>
      </c>
      <c r="K1800">
        <v>1.7497416098799623</v>
      </c>
      <c r="L1800">
        <v>0</v>
      </c>
      <c r="M1800">
        <v>1.3021734911402587E-3</v>
      </c>
      <c r="N1800">
        <v>0.12390082217390026</v>
      </c>
      <c r="O1800">
        <v>0.12708075950845943</v>
      </c>
      <c r="P1800">
        <v>1.8770107462624822E-2</v>
      </c>
      <c r="Q1800">
        <v>8.7568131802729006E-4</v>
      </c>
      <c r="R1800">
        <v>1.2988358060926841E-3</v>
      </c>
      <c r="S1800">
        <v>0.10591640142363319</v>
      </c>
      <c r="T1800">
        <v>1.0523785455327159</v>
      </c>
      <c r="U1800">
        <v>0</v>
      </c>
      <c r="V1800">
        <v>0.20637042746111223</v>
      </c>
      <c r="W1800">
        <v>8.0857600468946259E-2</v>
      </c>
      <c r="X1800">
        <v>3.0059599312515648E-2</v>
      </c>
      <c r="Y1800">
        <v>3.5350029030758782E-3</v>
      </c>
    </row>
    <row r="1801" spans="1:25" x14ac:dyDescent="0.25">
      <c r="A1801" s="1095"/>
      <c r="B1801" s="1454">
        <v>1551</v>
      </c>
      <c r="C1801" s="1099">
        <v>0.9918052541729192</v>
      </c>
      <c r="D1801" s="1099">
        <v>1.0309907352029317</v>
      </c>
      <c r="E1801" s="1099">
        <v>0.99757045115052123</v>
      </c>
      <c r="F1801" s="1099">
        <v>1.0028309437126499</v>
      </c>
      <c r="G1801" s="1099">
        <v>0.9942890252406914</v>
      </c>
      <c r="H1801" s="1099">
        <v>0.97107604489750587</v>
      </c>
      <c r="I1801" s="1099">
        <v>0.98577177728601972</v>
      </c>
      <c r="K1801">
        <v>1.7262828970700204</v>
      </c>
      <c r="L1801">
        <v>0</v>
      </c>
      <c r="M1801">
        <v>1.3286311379551506E-3</v>
      </c>
      <c r="N1801">
        <v>0.12131302006831217</v>
      </c>
      <c r="O1801">
        <v>0.12673209253979006</v>
      </c>
      <c r="P1801">
        <v>1.8329842340059788E-2</v>
      </c>
      <c r="Q1801">
        <v>8.9297243474601969E-4</v>
      </c>
      <c r="R1801">
        <v>1.3250803619656475E-3</v>
      </c>
      <c r="S1801">
        <v>0.10330285073616705</v>
      </c>
      <c r="T1801">
        <v>1.0340466095214689</v>
      </c>
      <c r="U1801">
        <v>0</v>
      </c>
      <c r="V1801">
        <v>0.20885212804352982</v>
      </c>
      <c r="W1801">
        <v>7.9809679160909128E-2</v>
      </c>
      <c r="X1801">
        <v>2.9400821068378675E-2</v>
      </c>
      <c r="Y1801">
        <v>3.6064319326465674E-3</v>
      </c>
    </row>
    <row r="1802" spans="1:25" x14ac:dyDescent="0.25">
      <c r="A1802" s="1095"/>
      <c r="B1802" s="1454">
        <v>1552</v>
      </c>
      <c r="C1802" s="1099">
        <v>1.0272385005196738</v>
      </c>
      <c r="D1802" s="1099">
        <v>0.99787232538752058</v>
      </c>
      <c r="E1802" s="1099">
        <v>1.000955064094015</v>
      </c>
      <c r="F1802" s="1099">
        <v>0.9972791656833403</v>
      </c>
      <c r="G1802" s="1099">
        <v>0.99725850294039631</v>
      </c>
      <c r="H1802" s="1099">
        <v>1.0254079060835772</v>
      </c>
      <c r="I1802" s="1099">
        <v>0.96426185867584913</v>
      </c>
      <c r="K1802">
        <v>1.7266149932969383</v>
      </c>
      <c r="L1802">
        <v>0</v>
      </c>
      <c r="M1802">
        <v>1.3745249759241759E-3</v>
      </c>
      <c r="N1802">
        <v>0.12681419772104804</v>
      </c>
      <c r="O1802">
        <v>0.12601271299283037</v>
      </c>
      <c r="P1802">
        <v>1.8267804942577907E-2</v>
      </c>
      <c r="Q1802">
        <v>8.7657625207023134E-4</v>
      </c>
      <c r="R1802">
        <v>1.3710759092316605E-3</v>
      </c>
      <c r="S1802">
        <v>0.10328720596317108</v>
      </c>
      <c r="T1802">
        <v>1.0282216037958261</v>
      </c>
      <c r="U1802">
        <v>0</v>
      </c>
      <c r="V1802">
        <v>0.20675141823794346</v>
      </c>
      <c r="W1802">
        <v>8.3261049474391405E-2</v>
      </c>
      <c r="X1802">
        <v>2.9394256333894669E-2</v>
      </c>
      <c r="Y1802">
        <v>3.7316166498765719E-3</v>
      </c>
    </row>
    <row r="1803" spans="1:25" x14ac:dyDescent="0.25">
      <c r="A1803" s="1095"/>
      <c r="B1803" s="1454">
        <v>1553</v>
      </c>
      <c r="C1803" s="1099">
        <v>1.0090136731384962</v>
      </c>
      <c r="D1803" s="1099">
        <v>1.0001712095577233</v>
      </c>
      <c r="E1803" s="1099">
        <v>1.000167062701234</v>
      </c>
      <c r="F1803" s="1099">
        <v>0.99261580951110417</v>
      </c>
      <c r="G1803" s="1099">
        <v>1.0181711785481056</v>
      </c>
      <c r="H1803" s="1099">
        <v>0.97538562614867708</v>
      </c>
      <c r="I1803" s="1099">
        <v>0.97484539095064004</v>
      </c>
      <c r="K1803">
        <v>1.7162346816902816</v>
      </c>
      <c r="L1803">
        <v>0</v>
      </c>
      <c r="M1803">
        <v>1.3289564445639109E-3</v>
      </c>
      <c r="N1803">
        <v>0.12230195583394628</v>
      </c>
      <c r="O1803">
        <v>0.12646589383784118</v>
      </c>
      <c r="P1803">
        <v>1.8212899369133142E-2</v>
      </c>
      <c r="Q1803">
        <v>8.9086003235998193E-4</v>
      </c>
      <c r="R1803">
        <v>1.325442571885282E-3</v>
      </c>
      <c r="S1803">
        <v>0.1026475471895318</v>
      </c>
      <c r="T1803">
        <v>1.0234367971671832</v>
      </c>
      <c r="U1803">
        <v>0</v>
      </c>
      <c r="V1803">
        <v>0.20893650546462642</v>
      </c>
      <c r="W1803">
        <v>8.0336094329025901E-2</v>
      </c>
      <c r="X1803">
        <v>2.9402224590664928E-2</v>
      </c>
      <c r="Y1803">
        <v>3.607417748645344E-3</v>
      </c>
    </row>
    <row r="1804" spans="1:25" x14ac:dyDescent="0.25">
      <c r="A1804" s="1095"/>
      <c r="B1804" s="1454">
        <v>1554</v>
      </c>
      <c r="C1804" s="1099">
        <v>1.0132913897936466</v>
      </c>
      <c r="D1804" s="1099">
        <v>1.0027010210511402</v>
      </c>
      <c r="E1804" s="1099">
        <v>1.0032860828320209</v>
      </c>
      <c r="F1804" s="1099">
        <v>1.0414084947661622</v>
      </c>
      <c r="G1804" s="1099">
        <v>1.0098892599160618</v>
      </c>
      <c r="H1804" s="1099">
        <v>0.99999286630105044</v>
      </c>
      <c r="I1804" s="1099">
        <v>1.0323141033764855</v>
      </c>
      <c r="K1804">
        <v>1.7862196978209737</v>
      </c>
      <c r="L1804">
        <v>0</v>
      </c>
      <c r="M1804">
        <v>1.3519188255057119E-3</v>
      </c>
      <c r="N1804">
        <v>0.12560240130796319</v>
      </c>
      <c r="O1804">
        <v>0.12980944732451055</v>
      </c>
      <c r="P1804">
        <v>1.9067607770020291E-2</v>
      </c>
      <c r="Q1804">
        <v>8.89071048130902E-4</v>
      </c>
      <c r="R1804">
        <v>1.3484458691532507E-3</v>
      </c>
      <c r="S1804">
        <v>0.1101393158509122</v>
      </c>
      <c r="T1804">
        <v>1.0736481170171073</v>
      </c>
      <c r="U1804">
        <v>0</v>
      </c>
      <c r="V1804">
        <v>0.21064362720950019</v>
      </c>
      <c r="W1804">
        <v>8.2351453008875447E-2</v>
      </c>
      <c r="X1804">
        <v>3.0402105099530233E-2</v>
      </c>
      <c r="Y1804">
        <v>3.6700251407738469E-3</v>
      </c>
    </row>
    <row r="1805" spans="1:25" x14ac:dyDescent="0.25">
      <c r="A1805" s="1095"/>
      <c r="B1805" s="1454">
        <v>1555</v>
      </c>
      <c r="C1805" s="1099">
        <v>1.0087789960810118</v>
      </c>
      <c r="D1805" s="1099">
        <v>1.0027664573510715</v>
      </c>
      <c r="E1805" s="1099">
        <v>1.0098930878263868</v>
      </c>
      <c r="F1805" s="1099">
        <v>1.020700993767826</v>
      </c>
      <c r="G1805" s="1099">
        <v>0.96349421534133961</v>
      </c>
      <c r="H1805" s="1099">
        <v>1.0111398587253815</v>
      </c>
      <c r="I1805" s="1099">
        <v>1.0154578052912575</v>
      </c>
      <c r="K1805">
        <v>1.7632910997300963</v>
      </c>
      <c r="L1805">
        <v>0</v>
      </c>
      <c r="M1805">
        <v>1.3515826686511365E-3</v>
      </c>
      <c r="N1805">
        <v>0.12810463348620488</v>
      </c>
      <c r="O1805">
        <v>0.12851735400017331</v>
      </c>
      <c r="P1805">
        <v>1.8815876888616575E-2</v>
      </c>
      <c r="Q1805">
        <v>8.9914147517427645E-4</v>
      </c>
      <c r="R1805">
        <v>1.3481417986473934E-3</v>
      </c>
      <c r="S1805">
        <v>0.10947375349818105</v>
      </c>
      <c r="T1805">
        <v>1.0521004085051999</v>
      </c>
      <c r="U1805">
        <v>0</v>
      </c>
      <c r="V1805">
        <v>0.20772074304562843</v>
      </c>
      <c r="W1805">
        <v>8.3664572674281512E-2</v>
      </c>
      <c r="X1805">
        <v>3.032885946554743E-2</v>
      </c>
      <c r="Y1805">
        <v>3.66919756109372E-3</v>
      </c>
    </row>
    <row r="1806" spans="1:25" x14ac:dyDescent="0.25">
      <c r="A1806" s="1095"/>
      <c r="B1806" s="1454">
        <v>1556</v>
      </c>
      <c r="C1806" s="1099">
        <v>0.98739528862405734</v>
      </c>
      <c r="D1806" s="1099">
        <v>1.0195192968288713</v>
      </c>
      <c r="E1806" s="1099">
        <v>1.0038946928371721</v>
      </c>
      <c r="F1806" s="1099">
        <v>0.96899320009596612</v>
      </c>
      <c r="G1806" s="1099">
        <v>1.0268484624592797</v>
      </c>
      <c r="H1806" s="1099">
        <v>0.99327372422219007</v>
      </c>
      <c r="I1806" s="1099">
        <v>1.0057049668888596</v>
      </c>
      <c r="K1806">
        <v>1.7012583594438255</v>
      </c>
      <c r="L1806">
        <v>0</v>
      </c>
      <c r="M1806">
        <v>1.351657539692686E-3</v>
      </c>
      <c r="N1806">
        <v>0.12580324350397118</v>
      </c>
      <c r="O1806">
        <v>0.12491703483034929</v>
      </c>
      <c r="P1806">
        <v>1.8007396990390778E-2</v>
      </c>
      <c r="Q1806">
        <v>9.0690896099653777E-4</v>
      </c>
      <c r="R1806">
        <v>1.3481216032299444E-3</v>
      </c>
      <c r="S1806">
        <v>0.10793606882299631</v>
      </c>
      <c r="T1806">
        <v>0.99897354250053116</v>
      </c>
      <c r="U1806">
        <v>0</v>
      </c>
      <c r="V1806">
        <v>0.20938337934813042</v>
      </c>
      <c r="W1806">
        <v>8.2453389196423282E-2</v>
      </c>
      <c r="X1806">
        <v>2.9211788630675257E-2</v>
      </c>
      <c r="Y1806">
        <v>3.669142595824842E-3</v>
      </c>
    </row>
    <row r="1807" spans="1:25" x14ac:dyDescent="0.25">
      <c r="A1807" s="1095"/>
      <c r="B1807" s="1454">
        <v>1557</v>
      </c>
      <c r="C1807" s="1099">
        <v>1.0099776847203996</v>
      </c>
      <c r="D1807" s="1099">
        <v>1.0386947314790589</v>
      </c>
      <c r="E1807" s="1099">
        <v>0.99913553443018488</v>
      </c>
      <c r="F1807" s="1099">
        <v>0.97600584836765414</v>
      </c>
      <c r="G1807" s="1099">
        <v>1.0133528896311459</v>
      </c>
      <c r="H1807" s="1099">
        <v>0.97831678934360133</v>
      </c>
      <c r="I1807" s="1099">
        <v>1.0115495374702841</v>
      </c>
      <c r="K1807">
        <v>1.689783148746073</v>
      </c>
      <c r="L1807">
        <v>0</v>
      </c>
      <c r="M1807">
        <v>1.3033929835873266E-3</v>
      </c>
      <c r="N1807">
        <v>0.11957439570480848</v>
      </c>
      <c r="O1807">
        <v>0.12346355339418394</v>
      </c>
      <c r="P1807">
        <v>1.7953972176606173E-2</v>
      </c>
      <c r="Q1807">
        <v>8.7571896486343594E-4</v>
      </c>
      <c r="R1807">
        <v>1.2999277295786295E-3</v>
      </c>
      <c r="S1807">
        <v>0.10406198178517227</v>
      </c>
      <c r="T1807">
        <v>1.0063410311217162</v>
      </c>
      <c r="U1807">
        <v>0</v>
      </c>
      <c r="V1807">
        <v>0.20664972373752749</v>
      </c>
      <c r="W1807">
        <v>7.8592633007455462E-2</v>
      </c>
      <c r="X1807">
        <v>2.87356293488964E-2</v>
      </c>
      <c r="Y1807">
        <v>3.5379747588521423E-3</v>
      </c>
    </row>
    <row r="1808" spans="1:25" x14ac:dyDescent="0.25">
      <c r="A1808" s="1095"/>
      <c r="B1808" s="1454">
        <v>1558</v>
      </c>
      <c r="C1808" s="1099">
        <v>0.98203641913292483</v>
      </c>
      <c r="D1808" s="1099">
        <v>0.99162596499947731</v>
      </c>
      <c r="E1808" s="1099">
        <v>1.0369619524926608</v>
      </c>
      <c r="F1808" s="1099">
        <v>1.0012670352635424</v>
      </c>
      <c r="G1808" s="1099">
        <v>1.0363515360254814</v>
      </c>
      <c r="H1808" s="1099">
        <v>1.026730968638073</v>
      </c>
      <c r="I1808" s="1099">
        <v>1.0391330200131133</v>
      </c>
      <c r="K1808">
        <v>1.7710169293610261</v>
      </c>
      <c r="L1808">
        <v>0</v>
      </c>
      <c r="M1808">
        <v>1.3361354878215766E-3</v>
      </c>
      <c r="N1808">
        <v>0.13741798917764769</v>
      </c>
      <c r="O1808">
        <v>0.12906860823102492</v>
      </c>
      <c r="P1808">
        <v>1.9075557285046736E-2</v>
      </c>
      <c r="Q1808">
        <v>9.5383931665670471E-4</v>
      </c>
      <c r="R1808">
        <v>1.3327796186710325E-3</v>
      </c>
      <c r="S1808">
        <v>0.11678895143611477</v>
      </c>
      <c r="T1808">
        <v>1.0312817374167373</v>
      </c>
      <c r="U1808">
        <v>0</v>
      </c>
      <c r="V1808">
        <v>0.21293034144149062</v>
      </c>
      <c r="W1808">
        <v>8.8340710531846403E-2</v>
      </c>
      <c r="X1808">
        <v>3.1535163622272433E-2</v>
      </c>
      <c r="Y1808">
        <v>3.6273867713393334E-3</v>
      </c>
    </row>
    <row r="1809" spans="1:25" x14ac:dyDescent="0.25">
      <c r="A1809" s="1095"/>
      <c r="B1809" s="1454">
        <v>1559</v>
      </c>
      <c r="C1809" s="1099">
        <v>0.96675534735194746</v>
      </c>
      <c r="D1809" s="1099">
        <v>0.99676517338911719</v>
      </c>
      <c r="E1809" s="1099">
        <v>1.0132361123929068</v>
      </c>
      <c r="F1809" s="1099">
        <v>0.99172028132851164</v>
      </c>
      <c r="G1809" s="1099">
        <v>0.98301413250494907</v>
      </c>
      <c r="H1809" s="1099">
        <v>1.0120054820798656</v>
      </c>
      <c r="I1809" s="1099">
        <v>0.98537290745710204</v>
      </c>
      <c r="K1809">
        <v>1.747645583541954</v>
      </c>
      <c r="L1809">
        <v>0</v>
      </c>
      <c r="M1809">
        <v>1.3982266501963393E-3</v>
      </c>
      <c r="N1809">
        <v>0.13386835367639535</v>
      </c>
      <c r="O1809">
        <v>0.12882029084580748</v>
      </c>
      <c r="P1809">
        <v>1.8513954536586913E-2</v>
      </c>
      <c r="Q1809">
        <v>9.4372686369523261E-4</v>
      </c>
      <c r="R1809">
        <v>1.3946524939910919E-3</v>
      </c>
      <c r="S1809">
        <v>0.11088987267958245</v>
      </c>
      <c r="T1809">
        <v>1.0221307580165464</v>
      </c>
      <c r="U1809">
        <v>0</v>
      </c>
      <c r="V1809">
        <v>0.21097524651061667</v>
      </c>
      <c r="W1809">
        <v>8.7256865948303092E-2</v>
      </c>
      <c r="X1809">
        <v>3.0454304279053299E-2</v>
      </c>
      <c r="Y1809">
        <v>3.7957843415726681E-3</v>
      </c>
    </row>
    <row r="1810" spans="1:25" x14ac:dyDescent="0.25">
      <c r="A1810" s="1095"/>
      <c r="B1810" s="1454">
        <v>1560</v>
      </c>
      <c r="C1810" s="1099">
        <v>0.96809828275063003</v>
      </c>
      <c r="D1810" s="1099">
        <v>1.0158379333420953</v>
      </c>
      <c r="E1810" s="1099">
        <v>0.99995322573621825</v>
      </c>
      <c r="F1810" s="1099">
        <v>1.0256052739893529</v>
      </c>
      <c r="G1810" s="1099">
        <v>0.97393017136822146</v>
      </c>
      <c r="H1810" s="1099">
        <v>0.98511717278960298</v>
      </c>
      <c r="I1810" s="1099">
        <v>1.0123901826882125</v>
      </c>
      <c r="K1810">
        <v>1.7751962256955824</v>
      </c>
      <c r="L1810">
        <v>0</v>
      </c>
      <c r="M1810">
        <v>1.3859922911547567E-3</v>
      </c>
      <c r="N1810">
        <v>0.12747066218878195</v>
      </c>
      <c r="O1810">
        <v>0.13040579204955385</v>
      </c>
      <c r="P1810">
        <v>1.8819995208016537E-2</v>
      </c>
      <c r="Q1810">
        <v>9.2255180477323066E-4</v>
      </c>
      <c r="R1810">
        <v>1.3823509930846428E-3</v>
      </c>
      <c r="S1810">
        <v>0.1107057624428652</v>
      </c>
      <c r="T1810">
        <v>1.0574571124727781</v>
      </c>
      <c r="U1810">
        <v>0</v>
      </c>
      <c r="V1810">
        <v>0.21157817291716</v>
      </c>
      <c r="W1810">
        <v>8.3741887755500954E-2</v>
      </c>
      <c r="X1810">
        <v>3.033562644292901E-2</v>
      </c>
      <c r="Y1810">
        <v>3.7623037112939975E-3</v>
      </c>
    </row>
    <row r="1811" spans="1:25" x14ac:dyDescent="0.25">
      <c r="A1811" s="1095"/>
      <c r="B1811" s="1454">
        <v>1561</v>
      </c>
      <c r="C1811" s="1099">
        <v>1.0228291826738187</v>
      </c>
      <c r="D1811" s="1099">
        <v>0.96496995943015396</v>
      </c>
      <c r="E1811" s="1099">
        <v>1.0065099102489856</v>
      </c>
      <c r="F1811" s="1099">
        <v>0.99939961669998556</v>
      </c>
      <c r="G1811" s="1099">
        <v>1.0177642059868293</v>
      </c>
      <c r="H1811" s="1099">
        <v>1.0145327175185301</v>
      </c>
      <c r="I1811" s="1099">
        <v>1.0476391666150817</v>
      </c>
      <c r="K1811">
        <v>1.7486177402022596</v>
      </c>
      <c r="L1811">
        <v>0</v>
      </c>
      <c r="M1811">
        <v>1.3768965928829069E-3</v>
      </c>
      <c r="N1811">
        <v>0.12918086407602233</v>
      </c>
      <c r="O1811">
        <v>0.12794304082712868</v>
      </c>
      <c r="P1811">
        <v>1.8555582864035147E-2</v>
      </c>
      <c r="Q1811">
        <v>8.9738460633669286E-4</v>
      </c>
      <c r="R1811">
        <v>1.3734261315067459E-3</v>
      </c>
      <c r="S1811">
        <v>0.1142638019617563</v>
      </c>
      <c r="T1811">
        <v>1.0302434326080383</v>
      </c>
      <c r="U1811">
        <v>0</v>
      </c>
      <c r="V1811">
        <v>0.20922699794070396</v>
      </c>
      <c r="W1811">
        <v>8.4536172693027142E-2</v>
      </c>
      <c r="X1811">
        <v>3.0035919906428597E-2</v>
      </c>
      <c r="Y1811">
        <v>3.7380131801587908E-3</v>
      </c>
    </row>
    <row r="1812" spans="1:25" x14ac:dyDescent="0.25">
      <c r="A1812" s="1095"/>
      <c r="B1812" s="1454">
        <v>1562</v>
      </c>
      <c r="C1812" s="1099">
        <v>0.96135476482925319</v>
      </c>
      <c r="D1812" s="1099">
        <v>0.98850715649798671</v>
      </c>
      <c r="E1812" s="1099">
        <v>1.0085762352733487</v>
      </c>
      <c r="F1812" s="1099">
        <v>1.0139788689884386</v>
      </c>
      <c r="G1812" s="1099">
        <v>1.0000752540474505</v>
      </c>
      <c r="H1812" s="1099">
        <v>1.0216117977876369</v>
      </c>
      <c r="I1812" s="1099">
        <v>0.97422248094066743</v>
      </c>
      <c r="K1812">
        <v>1.7813999647263901</v>
      </c>
      <c r="L1812">
        <v>0</v>
      </c>
      <c r="M1812">
        <v>1.4423984438873922E-3</v>
      </c>
      <c r="N1812">
        <v>0.13617271283842294</v>
      </c>
      <c r="O1812">
        <v>0.13119827188964422</v>
      </c>
      <c r="P1812">
        <v>1.8814373118065972E-2</v>
      </c>
      <c r="Q1812">
        <v>9.4762896589359498E-4</v>
      </c>
      <c r="R1812">
        <v>1.4387571427634462E-3</v>
      </c>
      <c r="S1812">
        <v>0.11160002116560439</v>
      </c>
      <c r="T1812">
        <v>1.0452108204527879</v>
      </c>
      <c r="U1812">
        <v>0</v>
      </c>
      <c r="V1812">
        <v>0.21370484604638926</v>
      </c>
      <c r="W1812">
        <v>8.9002926889356918E-2</v>
      </c>
      <c r="X1812">
        <v>3.0836182004910832E-2</v>
      </c>
      <c r="Y1812">
        <v>3.9158226564374558E-3</v>
      </c>
    </row>
    <row r="1813" spans="1:25" x14ac:dyDescent="0.25">
      <c r="A1813" s="1095"/>
      <c r="B1813" s="1454">
        <v>1563</v>
      </c>
      <c r="C1813" s="1099">
        <v>0.99693255873468734</v>
      </c>
      <c r="D1813" s="1099">
        <v>0.97008031427654418</v>
      </c>
      <c r="E1813" s="1099">
        <v>1.0399086356511746</v>
      </c>
      <c r="F1813" s="1099">
        <v>0.98588440281003575</v>
      </c>
      <c r="G1813" s="1099">
        <v>0.983915946735192</v>
      </c>
      <c r="H1813" s="1099">
        <v>0.99390087079111389</v>
      </c>
      <c r="I1813" s="1099">
        <v>0.96464430633165121</v>
      </c>
      <c r="K1813">
        <v>1.7313110584160263</v>
      </c>
      <c r="L1813">
        <v>0</v>
      </c>
      <c r="M1813">
        <v>1.2825855261328384E-3</v>
      </c>
      <c r="N1813">
        <v>0.13307708344312552</v>
      </c>
      <c r="O1813">
        <v>0.12812330611844472</v>
      </c>
      <c r="P1813">
        <v>1.8685136210038929E-2</v>
      </c>
      <c r="Q1813">
        <v>9.5072122678740783E-4</v>
      </c>
      <c r="R1813">
        <v>1.2792710651129545E-3</v>
      </c>
      <c r="S1813">
        <v>0.10599360115266987</v>
      </c>
      <c r="T1813">
        <v>1.0153549276051748</v>
      </c>
      <c r="U1813">
        <v>0</v>
      </c>
      <c r="V1813">
        <v>0.20897127595460899</v>
      </c>
      <c r="W1813">
        <v>8.5404866446203279E-2</v>
      </c>
      <c r="X1813">
        <v>3.1271700592346567E-2</v>
      </c>
      <c r="Y1813">
        <v>3.4817541276441857E-3</v>
      </c>
    </row>
    <row r="1814" spans="1:25" x14ac:dyDescent="0.25">
      <c r="A1814" s="1095"/>
      <c r="B1814" s="1454">
        <v>1564</v>
      </c>
      <c r="C1814" s="1099">
        <v>0.99387288067314528</v>
      </c>
      <c r="D1814" s="1099">
        <v>1.0271621461610525</v>
      </c>
      <c r="E1814" s="1099">
        <v>0.97018208737261702</v>
      </c>
      <c r="F1814" s="1099">
        <v>1.0371158309966042</v>
      </c>
      <c r="G1814" s="1099">
        <v>0.9878464215594297</v>
      </c>
      <c r="H1814" s="1099">
        <v>1.0252120195704975</v>
      </c>
      <c r="I1814" s="1099">
        <v>1.0069492045460651</v>
      </c>
      <c r="K1814">
        <v>1.7804941620369445</v>
      </c>
      <c r="L1814">
        <v>0</v>
      </c>
      <c r="M1814">
        <v>1.4890525635722865E-3</v>
      </c>
      <c r="N1814">
        <v>0.12516983597749548</v>
      </c>
      <c r="O1814">
        <v>0.12924126849579823</v>
      </c>
      <c r="P1814">
        <v>1.8536519068609592E-2</v>
      </c>
      <c r="Q1814">
        <v>8.6724285623008429E-4</v>
      </c>
      <c r="R1814">
        <v>1.4852969950911259E-3</v>
      </c>
      <c r="S1814">
        <v>0.10947928026854775</v>
      </c>
      <c r="T1814">
        <v>1.0702567605578146</v>
      </c>
      <c r="U1814">
        <v>0</v>
      </c>
      <c r="V1814">
        <v>0.21016355772098919</v>
      </c>
      <c r="W1814">
        <v>8.3715953958046457E-2</v>
      </c>
      <c r="X1814">
        <v>2.902500990927916E-2</v>
      </c>
      <c r="Y1814">
        <v>4.0424887926152047E-3</v>
      </c>
    </row>
    <row r="1815" spans="1:25" x14ac:dyDescent="0.25">
      <c r="A1815" s="1095"/>
      <c r="B1815" s="1454">
        <v>1565</v>
      </c>
      <c r="C1815" s="1099">
        <v>0.97545388842036784</v>
      </c>
      <c r="D1815" s="1099">
        <v>0.99643925193470473</v>
      </c>
      <c r="E1815" s="1099">
        <v>1.0056678312726572</v>
      </c>
      <c r="F1815" s="1099">
        <v>1.0436300498146975</v>
      </c>
      <c r="G1815" s="1099">
        <v>1.0100716852079836</v>
      </c>
      <c r="H1815" s="1099">
        <v>0.97267195536128981</v>
      </c>
      <c r="I1815" s="1099">
        <v>0.99972192811531368</v>
      </c>
      <c r="K1815">
        <v>1.7968258423507426</v>
      </c>
      <c r="L1815">
        <v>0</v>
      </c>
      <c r="M1815">
        <v>1.3603635344163023E-3</v>
      </c>
      <c r="N1815">
        <v>0.12728962369588026</v>
      </c>
      <c r="O1815">
        <v>0.13229598084145791</v>
      </c>
      <c r="P1815">
        <v>1.9165952680668685E-2</v>
      </c>
      <c r="Q1815">
        <v>9.2815866857355687E-4</v>
      </c>
      <c r="R1815">
        <v>1.3567646485203864E-3</v>
      </c>
      <c r="S1815">
        <v>0.10906254383660978</v>
      </c>
      <c r="T1815">
        <v>1.0758648861039068</v>
      </c>
      <c r="U1815">
        <v>0</v>
      </c>
      <c r="V1815">
        <v>0.21421675345928889</v>
      </c>
      <c r="W1815">
        <v>8.3340042091886932E-2</v>
      </c>
      <c r="X1815">
        <v>3.0972833742440836E-2</v>
      </c>
      <c r="Y1815">
        <v>3.69266611592631E-3</v>
      </c>
    </row>
    <row r="1816" spans="1:25" x14ac:dyDescent="0.25">
      <c r="A1816" s="1095"/>
      <c r="B1816" s="1454">
        <v>1566</v>
      </c>
      <c r="C1816" s="1099">
        <v>1.0121232332325867</v>
      </c>
      <c r="D1816" s="1099">
        <v>0.98038902600582045</v>
      </c>
      <c r="E1816" s="1099">
        <v>0.98565909558451403</v>
      </c>
      <c r="F1816" s="1099">
        <v>1.0312882881188328</v>
      </c>
      <c r="G1816" s="1099">
        <v>0.98845435237437607</v>
      </c>
      <c r="H1816" s="1099">
        <v>0.97730480994320246</v>
      </c>
      <c r="I1816" s="1099">
        <v>0.96751881095811654</v>
      </c>
      <c r="K1816">
        <v>1.7631779547753159</v>
      </c>
      <c r="L1816">
        <v>0</v>
      </c>
      <c r="M1816">
        <v>1.3891439349435599E-3</v>
      </c>
      <c r="N1816">
        <v>0.12235868564595283</v>
      </c>
      <c r="O1816">
        <v>0.13009050637935196</v>
      </c>
      <c r="P1816">
        <v>1.8578523324718158E-2</v>
      </c>
      <c r="Q1816">
        <v>8.8183251590374294E-4</v>
      </c>
      <c r="R1816">
        <v>1.3855049921887269E-3</v>
      </c>
      <c r="S1816">
        <v>0.1031680364452237</v>
      </c>
      <c r="T1816">
        <v>1.0637579977986802</v>
      </c>
      <c r="U1816">
        <v>0</v>
      </c>
      <c r="V1816">
        <v>0.20981372094992295</v>
      </c>
      <c r="W1816">
        <v>8.1073323308730655E-2</v>
      </c>
      <c r="X1816">
        <v>2.9688079492445826E-2</v>
      </c>
      <c r="Y1816">
        <v>3.7708878571397889E-3</v>
      </c>
    </row>
    <row r="1817" spans="1:25" x14ac:dyDescent="0.25">
      <c r="A1817" s="1095"/>
      <c r="B1817" s="1454">
        <v>1567</v>
      </c>
      <c r="C1817" s="1099">
        <v>1.0105522393400224</v>
      </c>
      <c r="D1817" s="1099">
        <v>1.0276971424966315</v>
      </c>
      <c r="E1817" s="1099">
        <v>1.0183952287583753</v>
      </c>
      <c r="F1817" s="1099">
        <v>0.96616739478726676</v>
      </c>
      <c r="G1817" s="1099">
        <v>1.0148465857341145</v>
      </c>
      <c r="H1817" s="1099">
        <v>1.0031789431440015</v>
      </c>
      <c r="I1817" s="1099">
        <v>1.0123049602945666</v>
      </c>
      <c r="K1817">
        <v>1.6907848403490144</v>
      </c>
      <c r="L1817">
        <v>0</v>
      </c>
      <c r="M1817">
        <v>1.2903832876199708E-3</v>
      </c>
      <c r="N1817">
        <v>0.12547751607883328</v>
      </c>
      <c r="O1817">
        <v>0.12324060060163189</v>
      </c>
      <c r="P1817">
        <v>1.8095294790848714E-2</v>
      </c>
      <c r="Q1817">
        <v>8.9660014614600979E-4</v>
      </c>
      <c r="R1817">
        <v>1.2870416181318658E-3</v>
      </c>
      <c r="S1817">
        <v>0.10645395538466522</v>
      </c>
      <c r="T1817">
        <v>0.99564847277571</v>
      </c>
      <c r="U1817">
        <v>0</v>
      </c>
      <c r="V1817">
        <v>0.2065267990244429</v>
      </c>
      <c r="W1817">
        <v>8.1540321978980257E-2</v>
      </c>
      <c r="X1817">
        <v>2.9405718225842845E-2</v>
      </c>
      <c r="Y1817">
        <v>3.502903011399547E-3</v>
      </c>
    </row>
    <row r="1818" spans="1:25" x14ac:dyDescent="0.25">
      <c r="A1818" s="1095"/>
      <c r="B1818" s="1454">
        <v>1568</v>
      </c>
      <c r="C1818" s="1099">
        <v>1.0270044753016616</v>
      </c>
      <c r="D1818" s="1099">
        <v>0.98495310545268477</v>
      </c>
      <c r="E1818" s="1099">
        <v>1.0155653156872693</v>
      </c>
      <c r="F1818" s="1099">
        <v>0.998445604133813</v>
      </c>
      <c r="G1818" s="1099">
        <v>0.963296626070132</v>
      </c>
      <c r="H1818" s="1099">
        <v>0.99933198035465332</v>
      </c>
      <c r="I1818" s="1099">
        <v>1.0171899300191702</v>
      </c>
      <c r="K1818">
        <v>1.7310193926833588</v>
      </c>
      <c r="L1818">
        <v>0</v>
      </c>
      <c r="M1818">
        <v>1.3099780055982819E-3</v>
      </c>
      <c r="N1818">
        <v>0.12630253258036708</v>
      </c>
      <c r="O1818">
        <v>0.12676110685972222</v>
      </c>
      <c r="P1818">
        <v>1.8527513126648503E-2</v>
      </c>
      <c r="Q1818">
        <v>8.9475117129841583E-4</v>
      </c>
      <c r="R1818">
        <v>1.3066137749383625E-3</v>
      </c>
      <c r="S1818">
        <v>0.1080702103836209</v>
      </c>
      <c r="T1818">
        <v>1.0289941706430155</v>
      </c>
      <c r="U1818">
        <v>0</v>
      </c>
      <c r="V1818">
        <v>0.20561510619402015</v>
      </c>
      <c r="W1818">
        <v>8.2212776868017506E-2</v>
      </c>
      <c r="X1818">
        <v>3.0088417117039586E-2</v>
      </c>
      <c r="Y1818">
        <v>3.5561719702670736E-3</v>
      </c>
    </row>
    <row r="1819" spans="1:25" x14ac:dyDescent="0.25">
      <c r="A1819" s="1095"/>
      <c r="B1819" s="1454">
        <v>1569</v>
      </c>
      <c r="C1819" s="1099">
        <v>1.0164045995151747</v>
      </c>
      <c r="D1819" s="1099">
        <v>1.0246621047669151</v>
      </c>
      <c r="E1819" s="1099">
        <v>0.97867745514206383</v>
      </c>
      <c r="F1819" s="1099">
        <v>0.99234940450434106</v>
      </c>
      <c r="G1819" s="1099">
        <v>0.99425813108695715</v>
      </c>
      <c r="H1819" s="1099">
        <v>1.0170848415676639</v>
      </c>
      <c r="I1819" s="1099">
        <v>1.0166236228568266</v>
      </c>
      <c r="K1819">
        <v>1.7174436677412377</v>
      </c>
      <c r="L1819">
        <v>0</v>
      </c>
      <c r="M1819">
        <v>1.4187482596148969E-3</v>
      </c>
      <c r="N1819">
        <v>0.12236363779908843</v>
      </c>
      <c r="O1819">
        <v>0.12489900382791241</v>
      </c>
      <c r="P1819">
        <v>1.7957218331955582E-2</v>
      </c>
      <c r="Q1819">
        <v>8.5645829679868073E-4</v>
      </c>
      <c r="R1819">
        <v>1.4151363158920447E-3</v>
      </c>
      <c r="S1819">
        <v>0.10756579003730876</v>
      </c>
      <c r="T1819">
        <v>1.0238027796647378</v>
      </c>
      <c r="U1819">
        <v>0</v>
      </c>
      <c r="V1819">
        <v>0.20638587912824696</v>
      </c>
      <c r="W1819">
        <v>8.1418530099794495E-2</v>
      </c>
      <c r="X1819">
        <v>2.8346447946817638E-2</v>
      </c>
      <c r="Y1819">
        <v>3.8515345522969861E-3</v>
      </c>
    </row>
    <row r="1820" spans="1:25" x14ac:dyDescent="0.25">
      <c r="A1820" s="1095"/>
      <c r="B1820" s="1454">
        <v>1570</v>
      </c>
      <c r="C1820" s="1099">
        <v>0.99675088052721383</v>
      </c>
      <c r="D1820" s="1099">
        <v>0.96350867617711422</v>
      </c>
      <c r="E1820" s="1099">
        <v>0.97835896745712037</v>
      </c>
      <c r="F1820" s="1099">
        <v>1.0200721869595579</v>
      </c>
      <c r="G1820" s="1099">
        <v>0.99803434173733496</v>
      </c>
      <c r="H1820" s="1099">
        <v>0.99680344726944992</v>
      </c>
      <c r="I1820" s="1099">
        <v>0.96888103389715807</v>
      </c>
      <c r="K1820">
        <v>1.7661041691905379</v>
      </c>
      <c r="L1820">
        <v>0</v>
      </c>
      <c r="M1820">
        <v>1.4723645828369756E-3</v>
      </c>
      <c r="N1820">
        <v>0.12686308841157679</v>
      </c>
      <c r="O1820">
        <v>0.13083418739590222</v>
      </c>
      <c r="P1820">
        <v>1.8401061294111815E-2</v>
      </c>
      <c r="Q1820">
        <v>8.9481070050734864E-4</v>
      </c>
      <c r="R1820">
        <v>1.4685871484470458E-3</v>
      </c>
      <c r="S1820">
        <v>0.10723227583764386</v>
      </c>
      <c r="T1820">
        <v>1.0524141257874766</v>
      </c>
      <c r="U1820">
        <v>0</v>
      </c>
      <c r="V1820">
        <v>0.21150676864485474</v>
      </c>
      <c r="W1820">
        <v>8.4428636388684433E-2</v>
      </c>
      <c r="X1820">
        <v>2.9535982065719339E-2</v>
      </c>
      <c r="Y1820">
        <v>3.9970100984494834E-3</v>
      </c>
    </row>
    <row r="1821" spans="1:25" x14ac:dyDescent="0.25">
      <c r="A1821" s="1095"/>
      <c r="B1821" s="1454">
        <v>1571</v>
      </c>
      <c r="C1821" s="1099">
        <v>1.0041499065463668</v>
      </c>
      <c r="D1821" s="1099">
        <v>1.0326279094784836</v>
      </c>
      <c r="E1821" s="1099">
        <v>0.96910114244286361</v>
      </c>
      <c r="F1821" s="1099">
        <v>1.0044039929188893</v>
      </c>
      <c r="G1821" s="1099">
        <v>1.0434442989390116</v>
      </c>
      <c r="H1821" s="1099">
        <v>1.0134798905481959</v>
      </c>
      <c r="I1821" s="1099">
        <v>1.0288939845544636</v>
      </c>
      <c r="K1821">
        <v>1.736442806451679</v>
      </c>
      <c r="L1821">
        <v>0</v>
      </c>
      <c r="M1821">
        <v>1.4529606519821747E-3</v>
      </c>
      <c r="N1821">
        <v>0.12173239106415722</v>
      </c>
      <c r="O1821">
        <v>0.12602945035593291</v>
      </c>
      <c r="P1821">
        <v>1.8070472875650327E-2</v>
      </c>
      <c r="Q1821">
        <v>8.5557164444083887E-4</v>
      </c>
      <c r="R1821">
        <v>1.4492431163914111E-3</v>
      </c>
      <c r="S1821">
        <v>0.10939893768738322</v>
      </c>
      <c r="T1821">
        <v>1.0365328788453481</v>
      </c>
      <c r="U1821">
        <v>0</v>
      </c>
      <c r="V1821">
        <v>0.2101420283882309</v>
      </c>
      <c r="W1821">
        <v>8.1470522778973084E-2</v>
      </c>
      <c r="X1821">
        <v>2.8269908327200468E-2</v>
      </c>
      <c r="Y1821">
        <v>3.9443620199524987E-3</v>
      </c>
    </row>
    <row r="1822" spans="1:25" x14ac:dyDescent="0.25">
      <c r="A1822" s="1095"/>
      <c r="B1822" s="1454">
        <v>1572</v>
      </c>
      <c r="C1822" s="1099">
        <v>1.0121573756421742</v>
      </c>
      <c r="D1822" s="1099">
        <v>1.003722672533337</v>
      </c>
      <c r="E1822" s="1099">
        <v>0.98305117472484349</v>
      </c>
      <c r="F1822" s="1099">
        <v>0.99464252183436852</v>
      </c>
      <c r="G1822" s="1099">
        <v>0.97227482050279279</v>
      </c>
      <c r="H1822" s="1099">
        <v>0.96364818618420478</v>
      </c>
      <c r="I1822" s="1099">
        <v>1.0063099125963317</v>
      </c>
      <c r="K1822">
        <v>1.7113585401037938</v>
      </c>
      <c r="L1822">
        <v>0</v>
      </c>
      <c r="M1822">
        <v>1.3538866974242831E-3</v>
      </c>
      <c r="N1822">
        <v>0.11830936293487559</v>
      </c>
      <c r="O1822">
        <v>0.12623174307899382</v>
      </c>
      <c r="P1822">
        <v>1.8007176350800604E-2</v>
      </c>
      <c r="Q1822">
        <v>8.7116656825837865E-4</v>
      </c>
      <c r="R1822">
        <v>1.3502624481054487E-3</v>
      </c>
      <c r="S1822">
        <v>0.10458673530034257</v>
      </c>
      <c r="T1822">
        <v>1.0260367744343453</v>
      </c>
      <c r="U1822">
        <v>0</v>
      </c>
      <c r="V1822">
        <v>0.20640854825379884</v>
      </c>
      <c r="W1822">
        <v>7.8513407533848931E-2</v>
      </c>
      <c r="X1822">
        <v>2.8722280628000221E-2</v>
      </c>
      <c r="Y1822">
        <v>3.6749692698466404E-3</v>
      </c>
    </row>
    <row r="1823" spans="1:25" x14ac:dyDescent="0.25">
      <c r="A1823" s="1095"/>
      <c r="B1823" s="1454">
        <v>1573</v>
      </c>
      <c r="C1823" s="1099">
        <v>1.0440599072505128</v>
      </c>
      <c r="D1823" s="1099">
        <v>0.98334904152257041</v>
      </c>
      <c r="E1823" s="1099">
        <v>1.0268606443966231</v>
      </c>
      <c r="F1823" s="1099">
        <v>1.0234241380399782</v>
      </c>
      <c r="G1823" s="1099">
        <v>1.0313222305706975</v>
      </c>
      <c r="H1823" s="1099">
        <v>1.0016401900191183</v>
      </c>
      <c r="I1823" s="1099">
        <v>0.97627115024039124</v>
      </c>
      <c r="K1823">
        <v>1.7560578640727245</v>
      </c>
      <c r="L1823">
        <v>0</v>
      </c>
      <c r="M1823">
        <v>1.2671248503286316E-3</v>
      </c>
      <c r="N1823">
        <v>0.12640717871021651</v>
      </c>
      <c r="O1823">
        <v>0.12790859308284783</v>
      </c>
      <c r="P1823">
        <v>1.9003725052185682E-2</v>
      </c>
      <c r="Q1823">
        <v>8.9096655142040259E-4</v>
      </c>
      <c r="R1823">
        <v>1.2638903494072797E-3</v>
      </c>
      <c r="S1823">
        <v>0.10253159003478489</v>
      </c>
      <c r="T1823">
        <v>1.0544005836201846</v>
      </c>
      <c r="U1823">
        <v>0</v>
      </c>
      <c r="V1823">
        <v>0.20892260506615765</v>
      </c>
      <c r="W1823">
        <v>8.1739456060420573E-2</v>
      </c>
      <c r="X1823">
        <v>3.0816507505680081E-2</v>
      </c>
      <c r="Y1823">
        <v>3.4398928897449092E-3</v>
      </c>
    </row>
    <row r="1824" spans="1:25" x14ac:dyDescent="0.25">
      <c r="A1824" s="1095"/>
      <c r="B1824" s="1454">
        <v>1574</v>
      </c>
      <c r="C1824" s="1099">
        <v>0.95536267169055922</v>
      </c>
      <c r="D1824" s="1099">
        <v>0.99440688488575002</v>
      </c>
      <c r="E1824" s="1099">
        <v>1.0003549541149943</v>
      </c>
      <c r="F1824" s="1099">
        <v>0.95744416005135835</v>
      </c>
      <c r="G1824" s="1099">
        <v>0.99600621591418181</v>
      </c>
      <c r="H1824" s="1099">
        <v>0.97940123548419145</v>
      </c>
      <c r="I1824" s="1099">
        <v>0.98006397468008877</v>
      </c>
      <c r="K1824">
        <v>1.6998659437035553</v>
      </c>
      <c r="L1824">
        <v>0</v>
      </c>
      <c r="M1824">
        <v>1.4024365606500817E-3</v>
      </c>
      <c r="N1824">
        <v>0.12913656933547493</v>
      </c>
      <c r="O1824">
        <v>0.12680991787605286</v>
      </c>
      <c r="P1824">
        <v>1.7834881593231246E-2</v>
      </c>
      <c r="Q1824">
        <v>9.4325027498586749E-4</v>
      </c>
      <c r="R1824">
        <v>1.3987182161495613E-3</v>
      </c>
      <c r="S1824">
        <v>0.10911444577782088</v>
      </c>
      <c r="T1824">
        <v>0.98716771219457944</v>
      </c>
      <c r="U1824">
        <v>0</v>
      </c>
      <c r="V1824">
        <v>0.21083780466737398</v>
      </c>
      <c r="W1824">
        <v>8.481605484055596E-2</v>
      </c>
      <c r="X1824">
        <v>2.9402175590957685E-2</v>
      </c>
      <c r="Y1824">
        <v>3.8068498970230714E-3</v>
      </c>
    </row>
    <row r="1825" spans="1:25" x14ac:dyDescent="0.25">
      <c r="A1825" s="1095"/>
      <c r="B1825" s="1454">
        <v>1575</v>
      </c>
      <c r="C1825" s="1099">
        <v>0.98454493659589204</v>
      </c>
      <c r="D1825" s="1099">
        <v>1.0209338559214081</v>
      </c>
      <c r="E1825" s="1099">
        <v>0.97916726571605783</v>
      </c>
      <c r="F1825" s="1099">
        <v>1.002335587959732</v>
      </c>
      <c r="G1825" s="1099">
        <v>1.0060570649086529</v>
      </c>
      <c r="H1825" s="1099">
        <v>0.99288128176982704</v>
      </c>
      <c r="I1825" s="1099">
        <v>1.0353084400989154</v>
      </c>
      <c r="K1825">
        <v>1.7406368553736284</v>
      </c>
      <c r="L1825">
        <v>0</v>
      </c>
      <c r="M1825">
        <v>1.4289443699796224E-3</v>
      </c>
      <c r="N1825">
        <v>0.12341780650866005</v>
      </c>
      <c r="O1825">
        <v>0.12744661033311777</v>
      </c>
      <c r="P1825">
        <v>1.8206388739327437E-2</v>
      </c>
      <c r="Q1825">
        <v>8.8591810285354878E-4</v>
      </c>
      <c r="R1825">
        <v>1.4252138833006269E-3</v>
      </c>
      <c r="S1825">
        <v>0.11146088857579119</v>
      </c>
      <c r="T1825">
        <v>1.0340905804060758</v>
      </c>
      <c r="U1825">
        <v>0</v>
      </c>
      <c r="V1825">
        <v>0.21025820911799623</v>
      </c>
      <c r="W1825">
        <v>8.2095649827818667E-2</v>
      </c>
      <c r="X1825">
        <v>2.8899571879954528E-2</v>
      </c>
      <c r="Y1825">
        <v>3.878962368713944E-3</v>
      </c>
    </row>
    <row r="1826" spans="1:25" x14ac:dyDescent="0.25">
      <c r="A1826" s="1095"/>
      <c r="B1826" s="1454">
        <v>1576</v>
      </c>
      <c r="C1826" s="1099">
        <v>0.98593047306469161</v>
      </c>
      <c r="D1826" s="1099">
        <v>0.99615085892268507</v>
      </c>
      <c r="E1826" s="1099">
        <v>0.96169538073150984</v>
      </c>
      <c r="F1826" s="1099">
        <v>0.98683962426581917</v>
      </c>
      <c r="G1826" s="1099">
        <v>1.0178811075613696</v>
      </c>
      <c r="H1826" s="1099">
        <v>0.97290933713154659</v>
      </c>
      <c r="I1826" s="1099">
        <v>1.0179340539378605</v>
      </c>
      <c r="K1826">
        <v>1.7179453814493992</v>
      </c>
      <c r="L1826">
        <v>0</v>
      </c>
      <c r="M1826">
        <v>1.4688270624299011E-3</v>
      </c>
      <c r="N1826">
        <v>0.12032032682325196</v>
      </c>
      <c r="O1826">
        <v>0.12724314942247555</v>
      </c>
      <c r="P1826">
        <v>1.773842251149867E-2</v>
      </c>
      <c r="Q1826">
        <v>8.7712026955473487E-4</v>
      </c>
      <c r="R1826">
        <v>1.4649268359939399E-3</v>
      </c>
      <c r="S1826">
        <v>0.1095476041285378</v>
      </c>
      <c r="T1826">
        <v>1.0186314765393834</v>
      </c>
      <c r="U1826">
        <v>0</v>
      </c>
      <c r="V1826">
        <v>0.21058400047113898</v>
      </c>
      <c r="W1826">
        <v>8.089060120946287E-2</v>
      </c>
      <c r="X1826">
        <v>2.8129532365957461E-2</v>
      </c>
      <c r="Y1826">
        <v>3.9870479345738051E-3</v>
      </c>
    </row>
    <row r="1827" spans="1:25" x14ac:dyDescent="0.25">
      <c r="A1827" s="1095"/>
      <c r="B1827" s="1454">
        <v>1577</v>
      </c>
      <c r="C1827" s="1099">
        <v>0.99965684365942598</v>
      </c>
      <c r="D1827" s="1099">
        <v>1.0064967060939092</v>
      </c>
      <c r="E1827" s="1099">
        <v>1.0192885558797575</v>
      </c>
      <c r="F1827" s="1099">
        <v>1.0018594800368004</v>
      </c>
      <c r="G1827" s="1099">
        <v>1.0093025524614645</v>
      </c>
      <c r="H1827" s="1099">
        <v>1.0013362055448056</v>
      </c>
      <c r="I1827" s="1099">
        <v>0.96928882143564632</v>
      </c>
      <c r="K1827">
        <v>1.7394723033020905</v>
      </c>
      <c r="L1827">
        <v>0</v>
      </c>
      <c r="M1827">
        <v>1.318592582221334E-3</v>
      </c>
      <c r="N1827">
        <v>0.12856808302887698</v>
      </c>
      <c r="O1827">
        <v>0.12743810070778819</v>
      </c>
      <c r="P1827">
        <v>1.8630381428259433E-2</v>
      </c>
      <c r="Q1827">
        <v>9.1479964151100534E-4</v>
      </c>
      <c r="R1827">
        <v>1.3151925318791819E-3</v>
      </c>
      <c r="S1827">
        <v>0.10440301369227616</v>
      </c>
      <c r="T1827">
        <v>1.0324035410048844</v>
      </c>
      <c r="U1827">
        <v>0</v>
      </c>
      <c r="V1827">
        <v>0.20964123908616791</v>
      </c>
      <c r="W1827">
        <v>8.3505001761980488E-2</v>
      </c>
      <c r="X1827">
        <v>3.0392022482012275E-2</v>
      </c>
      <c r="Y1827">
        <v>3.5795205186735183E-3</v>
      </c>
    </row>
    <row r="1828" spans="1:25" x14ac:dyDescent="0.25">
      <c r="A1828" s="1095"/>
      <c r="B1828" s="1454">
        <v>1578</v>
      </c>
      <c r="C1828" s="1099">
        <v>1.0063543047589403</v>
      </c>
      <c r="D1828" s="1099">
        <v>0.96985392262557635</v>
      </c>
      <c r="E1828" s="1099">
        <v>0.98401941380770397</v>
      </c>
      <c r="F1828" s="1099">
        <v>0.9997433218901538</v>
      </c>
      <c r="G1828" s="1099">
        <v>1.0258749138648375</v>
      </c>
      <c r="H1828" s="1099">
        <v>1.0235840038464246</v>
      </c>
      <c r="I1828" s="1099">
        <v>0.97258958560973352</v>
      </c>
      <c r="K1828">
        <v>1.7455947248540178</v>
      </c>
      <c r="L1828">
        <v>0</v>
      </c>
      <c r="M1828">
        <v>1.4729208101602832E-3</v>
      </c>
      <c r="N1828">
        <v>0.12911106483539272</v>
      </c>
      <c r="O1828">
        <v>0.12849190876554031</v>
      </c>
      <c r="P1828">
        <v>1.8195509035309816E-2</v>
      </c>
      <c r="Q1828">
        <v>8.8920342399071437E-4</v>
      </c>
      <c r="R1828">
        <v>1.4692326636138475E-3</v>
      </c>
      <c r="S1828">
        <v>0.10796841446269984</v>
      </c>
      <c r="T1828">
        <v>1.031269322024897</v>
      </c>
      <c r="U1828">
        <v>0</v>
      </c>
      <c r="V1828">
        <v>0.21078532367509284</v>
      </c>
      <c r="W1828">
        <v>8.5631780774374111E-2</v>
      </c>
      <c r="X1828">
        <v>2.9257119025328616E-2</v>
      </c>
      <c r="Y1828">
        <v>3.9987669779394993E-3</v>
      </c>
    </row>
    <row r="1829" spans="1:25" x14ac:dyDescent="0.25">
      <c r="A1829" s="1095"/>
      <c r="B1829" s="1454">
        <v>1579</v>
      </c>
      <c r="C1829" s="1099">
        <v>0.99246707442960591</v>
      </c>
      <c r="D1829" s="1099">
        <v>1.0096061986279932</v>
      </c>
      <c r="E1829" s="1099">
        <v>1.005950871657785</v>
      </c>
      <c r="F1829" s="1099">
        <v>1.0033043736295817</v>
      </c>
      <c r="G1829" s="1099">
        <v>1.0289437093772782</v>
      </c>
      <c r="H1829" s="1099">
        <v>0.98139923722798195</v>
      </c>
      <c r="I1829" s="1099">
        <v>1.0238685137117183</v>
      </c>
      <c r="K1829">
        <v>1.7424920265152686</v>
      </c>
      <c r="L1829">
        <v>0</v>
      </c>
      <c r="M1829">
        <v>1.3352336708372279E-3</v>
      </c>
      <c r="N1829">
        <v>0.12504653675767732</v>
      </c>
      <c r="O1829">
        <v>0.12772695180950255</v>
      </c>
      <c r="P1829">
        <v>1.8562684537467736E-2</v>
      </c>
      <c r="Q1829">
        <v>9.0773575569022644E-4</v>
      </c>
      <c r="R1829">
        <v>1.3317170703441761E-3</v>
      </c>
      <c r="S1829">
        <v>0.10938306678865591</v>
      </c>
      <c r="T1829">
        <v>1.0342852690085673</v>
      </c>
      <c r="U1829">
        <v>0</v>
      </c>
      <c r="V1829">
        <v>0.21114763029981648</v>
      </c>
      <c r="W1829">
        <v>8.1857722366644459E-2</v>
      </c>
      <c r="X1829">
        <v>2.9953450926677828E-2</v>
      </c>
      <c r="Y1829">
        <v>3.6244948650625934E-3</v>
      </c>
    </row>
    <row r="1830" spans="1:25" x14ac:dyDescent="0.25">
      <c r="A1830" s="1095"/>
      <c r="B1830" s="1454">
        <v>1580</v>
      </c>
      <c r="C1830" s="1099">
        <v>0.99343182179875089</v>
      </c>
      <c r="D1830" s="1099">
        <v>1.0281260241583865</v>
      </c>
      <c r="E1830" s="1099">
        <v>0.99848697445911738</v>
      </c>
      <c r="F1830" s="1099">
        <v>0.97002261956859448</v>
      </c>
      <c r="G1830" s="1099">
        <v>1.0129904363559181</v>
      </c>
      <c r="H1830" s="1099">
        <v>1.0134596044840989</v>
      </c>
      <c r="I1830" s="1099">
        <v>0.99309561087782705</v>
      </c>
      <c r="K1830">
        <v>1.7002246616251189</v>
      </c>
      <c r="L1830">
        <v>0</v>
      </c>
      <c r="M1830">
        <v>1.3802398865403825E-3</v>
      </c>
      <c r="N1830">
        <v>0.12638820045698812</v>
      </c>
      <c r="O1830">
        <v>0.1242942513637592</v>
      </c>
      <c r="P1830">
        <v>1.7917174732900575E-2</v>
      </c>
      <c r="Q1830">
        <v>8.9335254486223046E-4</v>
      </c>
      <c r="R1830">
        <v>1.3766977151588721E-3</v>
      </c>
      <c r="S1830">
        <v>0.10680291527925756</v>
      </c>
      <c r="T1830">
        <v>1.0001905619271936</v>
      </c>
      <c r="U1830">
        <v>0</v>
      </c>
      <c r="V1830">
        <v>0.20799394464214077</v>
      </c>
      <c r="W1830">
        <v>8.3103198308201703E-2</v>
      </c>
      <c r="X1830">
        <v>2.8897687188814022E-2</v>
      </c>
      <c r="Y1830">
        <v>3.7469173523826181E-3</v>
      </c>
    </row>
    <row r="1831" spans="1:25" x14ac:dyDescent="0.25">
      <c r="A1831" s="1095"/>
      <c r="B1831" s="1454">
        <v>1581</v>
      </c>
      <c r="C1831" s="1099">
        <v>1.0219015003721981</v>
      </c>
      <c r="D1831" s="1099">
        <v>0.9822318132745993</v>
      </c>
      <c r="E1831" s="1099">
        <v>1.0319116977381284</v>
      </c>
      <c r="F1831" s="1099">
        <v>1.034927722206552</v>
      </c>
      <c r="G1831" s="1099">
        <v>1.0036608633834041</v>
      </c>
      <c r="H1831" s="1099">
        <v>0.99926567729776583</v>
      </c>
      <c r="I1831" s="1099">
        <v>1.0205396434680156</v>
      </c>
      <c r="K1831">
        <v>1.7835600460178029</v>
      </c>
      <c r="L1831">
        <v>0</v>
      </c>
      <c r="M1831">
        <v>1.2778741534023382E-3</v>
      </c>
      <c r="N1831">
        <v>0.12943458893603077</v>
      </c>
      <c r="O1831">
        <v>0.12996324139345744</v>
      </c>
      <c r="P1831">
        <v>1.9347655944827825E-2</v>
      </c>
      <c r="Q1831">
        <v>9.1540748089911027E-4</v>
      </c>
      <c r="R1831">
        <v>1.2746026265631444E-3</v>
      </c>
      <c r="S1831">
        <v>0.10936733504601417</v>
      </c>
      <c r="T1831">
        <v>1.0661015059496199</v>
      </c>
      <c r="U1831">
        <v>0</v>
      </c>
      <c r="V1831">
        <v>0.21000792162394125</v>
      </c>
      <c r="W1831">
        <v>8.345192939202084E-2</v>
      </c>
      <c r="X1831">
        <v>3.150468360096647E-2</v>
      </c>
      <c r="Y1831">
        <v>3.4690481768619571E-3</v>
      </c>
    </row>
    <row r="1832" spans="1:25" x14ac:dyDescent="0.25">
      <c r="A1832" s="1095"/>
      <c r="B1832" s="1454">
        <v>1582</v>
      </c>
      <c r="C1832" s="1099">
        <v>0.99766940794324166</v>
      </c>
      <c r="D1832" s="1099">
        <v>1.0430725706339556</v>
      </c>
      <c r="E1832" s="1099">
        <v>0.99177282585305926</v>
      </c>
      <c r="F1832" s="1099">
        <v>0.96229969759849632</v>
      </c>
      <c r="G1832" s="1099">
        <v>0.96779979182068521</v>
      </c>
      <c r="H1832" s="1099">
        <v>0.99836571728636925</v>
      </c>
      <c r="I1832" s="1099">
        <v>0.9913998092417815</v>
      </c>
      <c r="K1832">
        <v>1.6772454773788381</v>
      </c>
      <c r="L1832">
        <v>0</v>
      </c>
      <c r="M1832">
        <v>1.3608486185205336E-3</v>
      </c>
      <c r="N1832">
        <v>0.12210365629386986</v>
      </c>
      <c r="O1832">
        <v>0.1228212465827653</v>
      </c>
      <c r="P1832">
        <v>1.7640355073149528E-2</v>
      </c>
      <c r="Q1832">
        <v>8.7828592394909467E-4</v>
      </c>
      <c r="R1832">
        <v>1.3572926522622403E-3</v>
      </c>
      <c r="S1832">
        <v>0.10417510159783433</v>
      </c>
      <c r="T1832">
        <v>0.99242045874827767</v>
      </c>
      <c r="U1832">
        <v>0</v>
      </c>
      <c r="V1832">
        <v>0.20460597080754969</v>
      </c>
      <c r="W1832">
        <v>8.060827373433424E-2</v>
      </c>
      <c r="X1832">
        <v>2.8301581415311583E-2</v>
      </c>
      <c r="Y1832">
        <v>3.6941031680552505E-3</v>
      </c>
    </row>
    <row r="1833" spans="1:25" x14ac:dyDescent="0.25">
      <c r="A1833" s="1095"/>
      <c r="B1833" s="1454">
        <v>1583</v>
      </c>
      <c r="C1833" s="1099">
        <v>1.0285883143962664</v>
      </c>
      <c r="D1833" s="1099">
        <v>1.0278132808127571</v>
      </c>
      <c r="E1833" s="1099">
        <v>1.0061872468353525</v>
      </c>
      <c r="F1833" s="1099">
        <v>0.98321608923678605</v>
      </c>
      <c r="G1833" s="1099">
        <v>0.99878482551566272</v>
      </c>
      <c r="H1833" s="1099">
        <v>1.0171469025671354</v>
      </c>
      <c r="I1833" s="1099">
        <v>1.0410029528220588</v>
      </c>
      <c r="K1833">
        <v>1.7077584207515137</v>
      </c>
      <c r="L1833">
        <v>0</v>
      </c>
      <c r="M1833">
        <v>1.3221860517001701E-3</v>
      </c>
      <c r="N1833">
        <v>0.12392383073483636</v>
      </c>
      <c r="O1833">
        <v>0.12358180399958547</v>
      </c>
      <c r="P1833">
        <v>1.8190327758783605E-2</v>
      </c>
      <c r="Q1833">
        <v>8.6983157581113949E-4</v>
      </c>
      <c r="R1833">
        <v>1.3188187694045486E-3</v>
      </c>
      <c r="S1833">
        <v>0.10869905891868588</v>
      </c>
      <c r="T1833">
        <v>1.0135698144579735</v>
      </c>
      <c r="U1833">
        <v>0</v>
      </c>
      <c r="V1833">
        <v>0.20513753632369858</v>
      </c>
      <c r="W1833">
        <v>8.1111437140622619E-2</v>
      </c>
      <c r="X1833">
        <v>2.9088757181982349E-2</v>
      </c>
      <c r="Y1833">
        <v>3.5893899418286894E-3</v>
      </c>
    </row>
    <row r="1834" spans="1:25" x14ac:dyDescent="0.25">
      <c r="A1834" s="1095"/>
      <c r="B1834" s="1454">
        <v>1584</v>
      </c>
      <c r="C1834" s="1099">
        <v>0.98830487918123067</v>
      </c>
      <c r="D1834" s="1099">
        <v>0.99471950896681527</v>
      </c>
      <c r="E1834" s="1099">
        <v>0.97454632721897627</v>
      </c>
      <c r="F1834" s="1099">
        <v>1.0179375255586469</v>
      </c>
      <c r="G1834" s="1099">
        <v>0.97950703831288155</v>
      </c>
      <c r="H1834" s="1099">
        <v>0.9548662710960889</v>
      </c>
      <c r="I1834" s="1099">
        <v>1.0001341278421116</v>
      </c>
      <c r="K1834">
        <v>1.7483077885153047</v>
      </c>
      <c r="L1834">
        <v>0</v>
      </c>
      <c r="M1834">
        <v>1.4057834501653369E-3</v>
      </c>
      <c r="N1834">
        <v>0.1197208931607575</v>
      </c>
      <c r="O1834">
        <v>0.12961434375108921</v>
      </c>
      <c r="P1834">
        <v>1.8291821577054876E-2</v>
      </c>
      <c r="Q1834">
        <v>8.8746321753134017E-4</v>
      </c>
      <c r="R1834">
        <v>1.4019922516242637E-3</v>
      </c>
      <c r="S1834">
        <v>0.10641316992786856</v>
      </c>
      <c r="T1834">
        <v>1.0503298837315591</v>
      </c>
      <c r="U1834">
        <v>0</v>
      </c>
      <c r="V1834">
        <v>0.2102365340641372</v>
      </c>
      <c r="W1834">
        <v>7.9859589952224794E-2</v>
      </c>
      <c r="X1834">
        <v>2.9142119589320729E-2</v>
      </c>
      <c r="Y1834">
        <v>3.8157607422997079E-3</v>
      </c>
    </row>
    <row r="1835" spans="1:25" x14ac:dyDescent="0.25">
      <c r="A1835" s="1095"/>
      <c r="B1835" s="1454">
        <v>1585</v>
      </c>
      <c r="C1835" s="1099">
        <v>0.99780064819240999</v>
      </c>
      <c r="D1835" s="1099">
        <v>0.96994296182850859</v>
      </c>
      <c r="E1835" s="1099">
        <v>0.98358191736890843</v>
      </c>
      <c r="F1835" s="1099">
        <v>0.99073350705923313</v>
      </c>
      <c r="G1835" s="1099">
        <v>1.0134592134036784</v>
      </c>
      <c r="H1835" s="1099">
        <v>0.99945223164604358</v>
      </c>
      <c r="I1835" s="1099">
        <v>1.0197432777306596</v>
      </c>
      <c r="K1835">
        <v>1.7361096214908591</v>
      </c>
      <c r="L1835">
        <v>0</v>
      </c>
      <c r="M1835">
        <v>1.4495085389239497E-3</v>
      </c>
      <c r="N1835">
        <v>0.12688259269582652</v>
      </c>
      <c r="O1835">
        <v>0.12823008718166093</v>
      </c>
      <c r="P1835">
        <v>1.8117959099239144E-2</v>
      </c>
      <c r="Q1835">
        <v>8.9638297410626552E-4</v>
      </c>
      <c r="R1835">
        <v>1.4457855437762538E-3</v>
      </c>
      <c r="S1835">
        <v>0.11229862575513108</v>
      </c>
      <c r="T1835">
        <v>1.0219884852012586</v>
      </c>
      <c r="U1835">
        <v>0</v>
      </c>
      <c r="V1835">
        <v>0.21042416644508499</v>
      </c>
      <c r="W1835">
        <v>8.4175933204546069E-2</v>
      </c>
      <c r="X1835">
        <v>2.91641602820671E-2</v>
      </c>
      <c r="Y1835">
        <v>3.9349516470825472E-3</v>
      </c>
    </row>
    <row r="1836" spans="1:25" x14ac:dyDescent="0.25">
      <c r="A1836" s="1095"/>
      <c r="B1836" s="1454">
        <v>1586</v>
      </c>
      <c r="C1836" s="1099">
        <v>1.0023992493675415</v>
      </c>
      <c r="D1836" s="1099">
        <v>1.0117489259819763</v>
      </c>
      <c r="E1836" s="1099">
        <v>0.98109107257132178</v>
      </c>
      <c r="F1836" s="1099">
        <v>1.0296108457949185</v>
      </c>
      <c r="G1836" s="1099">
        <v>1.0027832148974782</v>
      </c>
      <c r="H1836" s="1099">
        <v>1.0137275129118413</v>
      </c>
      <c r="I1836" s="1099">
        <v>1.0111844787203865</v>
      </c>
      <c r="K1836">
        <v>1.7716550941295406</v>
      </c>
      <c r="L1836">
        <v>0</v>
      </c>
      <c r="M1836">
        <v>1.4402560831454868E-3</v>
      </c>
      <c r="N1836">
        <v>0.12512945382510884</v>
      </c>
      <c r="O1836">
        <v>0.12898406263252848</v>
      </c>
      <c r="P1836">
        <v>1.8580895090912611E-2</v>
      </c>
      <c r="Q1836">
        <v>8.7505191854259014E-4</v>
      </c>
      <c r="R1836">
        <v>1.4365933727777279E-3</v>
      </c>
      <c r="S1836">
        <v>0.10924908611442202</v>
      </c>
      <c r="T1836">
        <v>1.062169888691431</v>
      </c>
      <c r="U1836">
        <v>0</v>
      </c>
      <c r="V1836">
        <v>0.21026449044364065</v>
      </c>
      <c r="W1836">
        <v>8.3137589480399635E-2</v>
      </c>
      <c r="X1836">
        <v>2.9358305055097986E-2</v>
      </c>
      <c r="Y1836">
        <v>3.9099335878229127E-3</v>
      </c>
    </row>
    <row r="1837" spans="1:25" x14ac:dyDescent="0.25">
      <c r="A1837" s="1095"/>
      <c r="B1837" s="1454">
        <v>1587</v>
      </c>
      <c r="C1837" s="1099">
        <v>0.99639541282298261</v>
      </c>
      <c r="D1837" s="1099">
        <v>1.0024116427760765</v>
      </c>
      <c r="E1837" s="1099">
        <v>0.99447985564050922</v>
      </c>
      <c r="F1837" s="1099">
        <v>1.0008390816599471</v>
      </c>
      <c r="G1837" s="1099">
        <v>0.98067068462566964</v>
      </c>
      <c r="H1837" s="1099">
        <v>0.96758925104127613</v>
      </c>
      <c r="I1837" s="1099">
        <v>1.0214028626965685</v>
      </c>
      <c r="K1837">
        <v>1.7311350572971771</v>
      </c>
      <c r="L1837">
        <v>0</v>
      </c>
      <c r="M1837">
        <v>1.3486430253950934E-3</v>
      </c>
      <c r="N1837">
        <v>0.12199608117071364</v>
      </c>
      <c r="O1837">
        <v>0.12761376450263809</v>
      </c>
      <c r="P1837">
        <v>1.8322598115315402E-2</v>
      </c>
      <c r="Q1837">
        <v>8.9602808285528513E-4</v>
      </c>
      <c r="R1837">
        <v>1.3450456654464573E-3</v>
      </c>
      <c r="S1837">
        <v>0.10817096802229423</v>
      </c>
      <c r="T1837">
        <v>1.0320850628141258</v>
      </c>
      <c r="U1837">
        <v>0</v>
      </c>
      <c r="V1837">
        <v>0.20852822202743701</v>
      </c>
      <c r="W1837">
        <v>8.0407079155752167E-2</v>
      </c>
      <c r="X1837">
        <v>2.9458079858832576E-2</v>
      </c>
      <c r="Y1837">
        <v>3.6607709071608077E-3</v>
      </c>
    </row>
    <row r="1838" spans="1:25" x14ac:dyDescent="0.25">
      <c r="A1838" s="1095"/>
      <c r="B1838" s="1454">
        <v>1588</v>
      </c>
      <c r="C1838" s="1099">
        <v>0.99247168875139147</v>
      </c>
      <c r="D1838" s="1099">
        <v>1.0019542093904941</v>
      </c>
      <c r="E1838" s="1099">
        <v>0.95620030280005275</v>
      </c>
      <c r="F1838" s="1099">
        <v>1.0124538347705936</v>
      </c>
      <c r="G1838" s="1099">
        <v>1.0338180660266014</v>
      </c>
      <c r="H1838" s="1099">
        <v>0.98759135776509577</v>
      </c>
      <c r="I1838" s="1099">
        <v>0.9738586358337652</v>
      </c>
      <c r="K1838">
        <v>1.743810882272262</v>
      </c>
      <c r="L1838">
        <v>0</v>
      </c>
      <c r="M1838">
        <v>1.4971195063333816E-3</v>
      </c>
      <c r="N1838">
        <v>0.12061798312500466</v>
      </c>
      <c r="O1838">
        <v>0.12856801490202777</v>
      </c>
      <c r="P1838">
        <v>1.7971078318819781E-2</v>
      </c>
      <c r="Q1838">
        <v>8.6426886931853812E-4</v>
      </c>
      <c r="R1838">
        <v>1.4932099560642715E-3</v>
      </c>
      <c r="S1838">
        <v>0.10492319731554231</v>
      </c>
      <c r="T1838">
        <v>1.0452430918075368</v>
      </c>
      <c r="U1838">
        <v>0</v>
      </c>
      <c r="V1838">
        <v>0.21194534571365939</v>
      </c>
      <c r="W1838">
        <v>8.1364776449018433E-2</v>
      </c>
      <c r="X1838">
        <v>2.8253010057723616E-2</v>
      </c>
      <c r="Y1838">
        <v>4.0640252638772228E-3</v>
      </c>
    </row>
    <row r="1839" spans="1:25" x14ac:dyDescent="0.25">
      <c r="A1839" s="1095"/>
      <c r="B1839" s="1454">
        <v>1589</v>
      </c>
      <c r="C1839" s="1099">
        <v>0.99225737540181658</v>
      </c>
      <c r="D1839" s="1099">
        <v>0.99125979968958311</v>
      </c>
      <c r="E1839" s="1099">
        <v>0.98992937547304216</v>
      </c>
      <c r="F1839" s="1099">
        <v>0.99384272686358899</v>
      </c>
      <c r="G1839" s="1099">
        <v>0.97798638603537258</v>
      </c>
      <c r="H1839" s="1099">
        <v>1.026015685735141</v>
      </c>
      <c r="I1839" s="1099">
        <v>1.0058959684005984</v>
      </c>
      <c r="K1839">
        <v>1.7417796832493899</v>
      </c>
      <c r="L1839">
        <v>0</v>
      </c>
      <c r="M1839">
        <v>1.4578036723321415E-3</v>
      </c>
      <c r="N1839">
        <v>0.13008918706132444</v>
      </c>
      <c r="O1839">
        <v>0.12778922578321653</v>
      </c>
      <c r="P1839">
        <v>1.8215762336436903E-2</v>
      </c>
      <c r="Q1839">
        <v>8.9952849966150631E-4</v>
      </c>
      <c r="R1839">
        <v>1.4541407384270305E-3</v>
      </c>
      <c r="S1839">
        <v>0.11179481921418895</v>
      </c>
      <c r="T1839">
        <v>1.0250057726085378</v>
      </c>
      <c r="U1839">
        <v>0</v>
      </c>
      <c r="V1839">
        <v>0.20870802014576156</v>
      </c>
      <c r="W1839">
        <v>8.597485206642666E-2</v>
      </c>
      <c r="X1839">
        <v>2.9348486735106677E-2</v>
      </c>
      <c r="Y1839">
        <v>3.9576917326327845E-3</v>
      </c>
    </row>
    <row r="1840" spans="1:25" x14ac:dyDescent="0.25">
      <c r="A1840" s="1095"/>
      <c r="B1840" s="1454">
        <v>1590</v>
      </c>
      <c r="C1840" s="1099">
        <v>1.0161384789966827</v>
      </c>
      <c r="D1840" s="1099">
        <v>0.99345468815514626</v>
      </c>
      <c r="E1840" s="1099">
        <v>0.98924215911999902</v>
      </c>
      <c r="F1840" s="1099">
        <v>1.0170814060159366</v>
      </c>
      <c r="G1840" s="1099">
        <v>1.0335816280507086</v>
      </c>
      <c r="H1840" s="1099">
        <v>0.96588545022716821</v>
      </c>
      <c r="I1840" s="1099">
        <v>1.0102777810243653</v>
      </c>
      <c r="K1840">
        <v>1.7447817578511753</v>
      </c>
      <c r="L1840">
        <v>0</v>
      </c>
      <c r="M1840">
        <v>1.3456338562279574E-3</v>
      </c>
      <c r="N1840">
        <v>0.11981266106869914</v>
      </c>
      <c r="O1840">
        <v>0.12821956076819066</v>
      </c>
      <c r="P1840">
        <v>1.8471449898269713E-2</v>
      </c>
      <c r="Q1840">
        <v>8.769825965585904E-4</v>
      </c>
      <c r="R1840">
        <v>1.3420550814256945E-3</v>
      </c>
      <c r="S1840">
        <v>0.10557348824223291</v>
      </c>
      <c r="T1840">
        <v>1.0489941211686715</v>
      </c>
      <c r="U1840">
        <v>0</v>
      </c>
      <c r="V1840">
        <v>0.21053916571310577</v>
      </c>
      <c r="W1840">
        <v>7.9215798156025224E-2</v>
      </c>
      <c r="X1840">
        <v>2.9429477490922021E-2</v>
      </c>
      <c r="Y1840">
        <v>3.6526315233020483E-3</v>
      </c>
    </row>
    <row r="1841" spans="1:25" x14ac:dyDescent="0.25">
      <c r="A1841" s="1095"/>
      <c r="B1841" s="1454">
        <v>1591</v>
      </c>
      <c r="C1841" s="1099">
        <v>1.0321064827073367</v>
      </c>
      <c r="D1841" s="1099">
        <v>0.99658524321173547</v>
      </c>
      <c r="E1841" s="1099">
        <v>1.0063079804576585</v>
      </c>
      <c r="F1841" s="1099">
        <v>1.0292559090243594</v>
      </c>
      <c r="G1841" s="1099">
        <v>0.97886632333737955</v>
      </c>
      <c r="H1841" s="1099">
        <v>1.0052632715597138</v>
      </c>
      <c r="I1841" s="1099">
        <v>1.0248748805093846</v>
      </c>
      <c r="K1841">
        <v>1.7646386771654743</v>
      </c>
      <c r="L1841">
        <v>0</v>
      </c>
      <c r="M1841">
        <v>1.3313920641900494E-3</v>
      </c>
      <c r="N1841">
        <v>0.12483162829854512</v>
      </c>
      <c r="O1841">
        <v>0.12823949884440514</v>
      </c>
      <c r="P1841">
        <v>1.8862921728219996E-2</v>
      </c>
      <c r="Q1841">
        <v>8.7774091213088309E-4</v>
      </c>
      <c r="R1841">
        <v>1.327995438834989E-3</v>
      </c>
      <c r="S1841">
        <v>0.10816805179352171</v>
      </c>
      <c r="T1841">
        <v>1.0610272988969744</v>
      </c>
      <c r="U1841">
        <v>0</v>
      </c>
      <c r="V1841">
        <v>0.2071746921234183</v>
      </c>
      <c r="W1841">
        <v>8.1699780797163488E-2</v>
      </c>
      <c r="X1841">
        <v>3.0146094585520419E-2</v>
      </c>
      <c r="Y1841">
        <v>3.6143658109300831E-3</v>
      </c>
    </row>
    <row r="1842" spans="1:25" x14ac:dyDescent="0.25">
      <c r="A1842" s="1095"/>
      <c r="B1842" s="1454">
        <v>1592</v>
      </c>
      <c r="C1842" s="1099">
        <v>1.0217152479784892</v>
      </c>
      <c r="D1842" s="1099">
        <v>0.97581870890418076</v>
      </c>
      <c r="E1842" s="1099">
        <v>1.0332025134501233</v>
      </c>
      <c r="F1842" s="1099">
        <v>1.0067581838690283</v>
      </c>
      <c r="G1842" s="1099">
        <v>0.97050652775313617</v>
      </c>
      <c r="H1842" s="1099">
        <v>1.0095134248991688</v>
      </c>
      <c r="I1842" s="1099">
        <v>0.98989126441797404</v>
      </c>
      <c r="K1842">
        <v>1.7494594156411443</v>
      </c>
      <c r="L1842">
        <v>0</v>
      </c>
      <c r="M1842">
        <v>1.2896627111677532E-3</v>
      </c>
      <c r="N1842">
        <v>0.13114088397597343</v>
      </c>
      <c r="O1842">
        <v>0.12815439000974921</v>
      </c>
      <c r="P1842">
        <v>1.8887782822907824E-2</v>
      </c>
      <c r="Q1842">
        <v>9.1918480888713878E-4</v>
      </c>
      <c r="R1842">
        <v>1.2863908189116263E-3</v>
      </c>
      <c r="S1842">
        <v>0.10707738610136844</v>
      </c>
      <c r="T1842">
        <v>1.0370460746192338</v>
      </c>
      <c r="U1842">
        <v>0</v>
      </c>
      <c r="V1842">
        <v>0.2071557418347339</v>
      </c>
      <c r="W1842">
        <v>8.448884647504297E-2</v>
      </c>
      <c r="X1842">
        <v>3.1091265135045953E-2</v>
      </c>
      <c r="Y1842">
        <v>3.5011317504579612E-3</v>
      </c>
    </row>
    <row r="1843" spans="1:25" x14ac:dyDescent="0.25">
      <c r="A1843" s="1095"/>
      <c r="B1843" s="1454">
        <v>1593</v>
      </c>
      <c r="C1843" s="1099">
        <v>0.98670771313789019</v>
      </c>
      <c r="D1843" s="1099">
        <v>0.99848694438712948</v>
      </c>
      <c r="E1843" s="1099">
        <v>1.0341194189110132</v>
      </c>
      <c r="F1843" s="1099">
        <v>1.0071221753415471</v>
      </c>
      <c r="G1843" s="1099">
        <v>1.0035259199919113</v>
      </c>
      <c r="H1843" s="1099">
        <v>1.0021490363405618</v>
      </c>
      <c r="I1843" s="1099">
        <v>0.99272840495328263</v>
      </c>
      <c r="K1843">
        <v>1.7592300134051984</v>
      </c>
      <c r="L1843">
        <v>0</v>
      </c>
      <c r="M1843">
        <v>1.3016068453130722E-3</v>
      </c>
      <c r="N1843">
        <v>0.13271673897267722</v>
      </c>
      <c r="O1843">
        <v>0.1289437616289828</v>
      </c>
      <c r="P1843">
        <v>1.8984976945435088E-2</v>
      </c>
      <c r="Q1843">
        <v>9.4397490405401479E-4</v>
      </c>
      <c r="R1843">
        <v>1.2982562589290961E-3</v>
      </c>
      <c r="S1843">
        <v>0.10890588626820902</v>
      </c>
      <c r="T1843">
        <v>1.0373944859055542</v>
      </c>
      <c r="U1843">
        <v>0</v>
      </c>
      <c r="V1843">
        <v>0.21102870848096522</v>
      </c>
      <c r="W1843">
        <v>8.5458740775299413E-2</v>
      </c>
      <c r="X1843">
        <v>3.1322664543661699E-2</v>
      </c>
      <c r="Y1843">
        <v>3.5334255667442633E-3</v>
      </c>
    </row>
    <row r="1844" spans="1:25" x14ac:dyDescent="0.25">
      <c r="A1844" s="1095"/>
      <c r="B1844" s="1454">
        <v>1594</v>
      </c>
      <c r="C1844" s="1099">
        <v>1.0170926762779755</v>
      </c>
      <c r="D1844" s="1099">
        <v>1.0108159464502497</v>
      </c>
      <c r="E1844" s="1099">
        <v>1.0089743225368661</v>
      </c>
      <c r="F1844" s="1099">
        <v>1.022924995632718</v>
      </c>
      <c r="G1844" s="1099">
        <v>0.96748469896946543</v>
      </c>
      <c r="H1844" s="1099">
        <v>0.99482311455530759</v>
      </c>
      <c r="I1844" s="1099">
        <v>1.0275288214939138</v>
      </c>
      <c r="K1844">
        <v>1.7567603634058184</v>
      </c>
      <c r="L1844">
        <v>0</v>
      </c>
      <c r="M1844">
        <v>1.3162835313138609E-3</v>
      </c>
      <c r="N1844">
        <v>0.12440792003916502</v>
      </c>
      <c r="O1844">
        <v>0.12788438653169673</v>
      </c>
      <c r="P1844">
        <v>1.8809395922815532E-2</v>
      </c>
      <c r="Q1844">
        <v>8.8810229347948105E-4</v>
      </c>
      <c r="R1844">
        <v>1.3128751848269671E-3</v>
      </c>
      <c r="S1844">
        <v>0.10823623116454878</v>
      </c>
      <c r="T1844">
        <v>1.0544205011691608</v>
      </c>
      <c r="U1844">
        <v>0</v>
      </c>
      <c r="V1844">
        <v>0.207098253461448</v>
      </c>
      <c r="W1844">
        <v>8.1294316242769185E-2</v>
      </c>
      <c r="X1844">
        <v>3.0151451463310185E-2</v>
      </c>
      <c r="Y1844">
        <v>3.5732134639106412E-3</v>
      </c>
    </row>
    <row r="1845" spans="1:25" x14ac:dyDescent="0.25">
      <c r="A1845" s="1095"/>
      <c r="B1845" s="1454">
        <v>1595</v>
      </c>
      <c r="C1845" s="1099">
        <v>0.98538577663081472</v>
      </c>
      <c r="D1845" s="1099">
        <v>1.0034765719005354</v>
      </c>
      <c r="E1845" s="1099">
        <v>1.030788671007445</v>
      </c>
      <c r="F1845" s="1099">
        <v>0.99783565106952821</v>
      </c>
      <c r="G1845" s="1099">
        <v>0.98358805889564227</v>
      </c>
      <c r="H1845" s="1099">
        <v>1.0061924249318721</v>
      </c>
      <c r="I1845" s="1099">
        <v>1.0093610289529733</v>
      </c>
      <c r="K1845">
        <v>1.7485614551964799</v>
      </c>
      <c r="L1845">
        <v>0</v>
      </c>
      <c r="M1845">
        <v>1.3126547131653201E-3</v>
      </c>
      <c r="N1845">
        <v>0.1325070327676236</v>
      </c>
      <c r="O1845">
        <v>0.1280550946855071</v>
      </c>
      <c r="P1845">
        <v>1.8811927908485945E-2</v>
      </c>
      <c r="Q1845">
        <v>9.4016173930550583E-4</v>
      </c>
      <c r="R1845">
        <v>1.309282985786027E-3</v>
      </c>
      <c r="S1845">
        <v>0.11075470175641342</v>
      </c>
      <c r="T1845">
        <v>1.0279244300054942</v>
      </c>
      <c r="U1845">
        <v>0</v>
      </c>
      <c r="V1845">
        <v>0.20952718340021378</v>
      </c>
      <c r="W1845">
        <v>8.5488515255646783E-2</v>
      </c>
      <c r="X1845">
        <v>3.0992342722877691E-2</v>
      </c>
      <c r="Y1845">
        <v>3.5634366822892981E-3</v>
      </c>
    </row>
    <row r="1846" spans="1:25" x14ac:dyDescent="0.25">
      <c r="A1846" s="1095"/>
      <c r="B1846" s="1454">
        <v>1596</v>
      </c>
      <c r="C1846" s="1099">
        <v>1.0351860320041426</v>
      </c>
      <c r="D1846" s="1099">
        <v>0.96643715517434514</v>
      </c>
      <c r="E1846" s="1099">
        <v>1.0112281793736171</v>
      </c>
      <c r="F1846" s="1099">
        <v>1.021085050364005</v>
      </c>
      <c r="G1846" s="1099">
        <v>1.0076345091930405</v>
      </c>
      <c r="H1846" s="1099">
        <v>1.0185834036471961</v>
      </c>
      <c r="I1846" s="1099">
        <v>0.99556392534747729</v>
      </c>
      <c r="K1846">
        <v>1.7648885694638712</v>
      </c>
      <c r="L1846">
        <v>0</v>
      </c>
      <c r="M1846">
        <v>1.355267265927007E-3</v>
      </c>
      <c r="N1846">
        <v>0.12897805012848512</v>
      </c>
      <c r="O1846">
        <v>0.12891971168718777</v>
      </c>
      <c r="P1846">
        <v>1.8830019650995136E-2</v>
      </c>
      <c r="Q1846">
        <v>8.9045899646544998E-4</v>
      </c>
      <c r="R1846">
        <v>1.3518737360524113E-3</v>
      </c>
      <c r="S1846">
        <v>0.10767592412215918</v>
      </c>
      <c r="T1846">
        <v>1.0524561824405538</v>
      </c>
      <c r="U1846">
        <v>0</v>
      </c>
      <c r="V1846">
        <v>0.20884129833623971</v>
      </c>
      <c r="W1846">
        <v>8.416873677636541E-2</v>
      </c>
      <c r="X1846">
        <v>3.0452226190817337E-2</v>
      </c>
      <c r="Y1846">
        <v>3.6793546644773448E-3</v>
      </c>
    </row>
    <row r="1847" spans="1:25" x14ac:dyDescent="0.25">
      <c r="A1847" s="1095"/>
      <c r="B1847" s="1454">
        <v>1597</v>
      </c>
      <c r="C1847" s="1099">
        <v>1.0059291320562813</v>
      </c>
      <c r="D1847" s="1099">
        <v>0.99245574075464049</v>
      </c>
      <c r="E1847" s="1099">
        <v>1.0005336476130635</v>
      </c>
      <c r="F1847" s="1099">
        <v>0.99789784704484286</v>
      </c>
      <c r="G1847" s="1099">
        <v>1.0363860028046492</v>
      </c>
      <c r="H1847" s="1099">
        <v>0.98798818164846836</v>
      </c>
      <c r="I1847" s="1099">
        <v>1.0191110570672723</v>
      </c>
      <c r="K1847">
        <v>1.7354686619638835</v>
      </c>
      <c r="L1847">
        <v>0</v>
      </c>
      <c r="M1847">
        <v>1.3556779751882806E-3</v>
      </c>
      <c r="N1847">
        <v>0.1249041193520834</v>
      </c>
      <c r="O1847">
        <v>0.12738124248006724</v>
      </c>
      <c r="P1847">
        <v>1.8402156559584427E-2</v>
      </c>
      <c r="Q1847">
        <v>8.9670471990422164E-4</v>
      </c>
      <c r="R1847">
        <v>1.3521450803701707E-3</v>
      </c>
      <c r="S1847">
        <v>0.10906570091408868</v>
      </c>
      <c r="T1847">
        <v>1.0288719726642979</v>
      </c>
      <c r="U1847">
        <v>0</v>
      </c>
      <c r="V1847">
        <v>0.21058435544391221</v>
      </c>
      <c r="W1847">
        <v>8.2027500160959499E-2</v>
      </c>
      <c r="X1847">
        <v>2.9658349389542617E-2</v>
      </c>
      <c r="Y1847">
        <v>3.6800931742616552E-3</v>
      </c>
    </row>
    <row r="1848" spans="1:25" x14ac:dyDescent="0.25">
      <c r="A1848" s="1095"/>
      <c r="B1848" s="1454">
        <v>1598</v>
      </c>
      <c r="C1848" s="1099">
        <v>1.0112809860564815</v>
      </c>
      <c r="D1848" s="1099">
        <v>1.0365393115988228</v>
      </c>
      <c r="E1848" s="1099">
        <v>0.96315503282779757</v>
      </c>
      <c r="F1848" s="1099">
        <v>1.0246091696594577</v>
      </c>
      <c r="G1848" s="1099">
        <v>0.97541055815187749</v>
      </c>
      <c r="H1848" s="1099">
        <v>1.017767772013088</v>
      </c>
      <c r="I1848" s="1099">
        <v>1.0037733608509982</v>
      </c>
      <c r="K1848">
        <v>1.7508859698982595</v>
      </c>
      <c r="L1848">
        <v>0</v>
      </c>
      <c r="M1848">
        <v>1.466612393265518E-3</v>
      </c>
      <c r="N1848">
        <v>0.12068481228346785</v>
      </c>
      <c r="O1848">
        <v>0.12696393995788499</v>
      </c>
      <c r="P1848">
        <v>1.8184552617510973E-2</v>
      </c>
      <c r="Q1848">
        <v>8.4294635675998865E-4</v>
      </c>
      <c r="R1848">
        <v>1.4628811555747843E-3</v>
      </c>
      <c r="S1848">
        <v>0.10615921862821037</v>
      </c>
      <c r="T1848">
        <v>1.0575716590517281</v>
      </c>
      <c r="U1848">
        <v>0</v>
      </c>
      <c r="V1848">
        <v>0.20716601198425152</v>
      </c>
      <c r="W1848">
        <v>8.1063159319418904E-2</v>
      </c>
      <c r="X1848">
        <v>2.8271920669886361E-2</v>
      </c>
      <c r="Y1848">
        <v>3.9814802668312315E-3</v>
      </c>
    </row>
    <row r="1849" spans="1:25" x14ac:dyDescent="0.25">
      <c r="A1849" s="1095"/>
      <c r="B1849" s="1454">
        <v>1599</v>
      </c>
      <c r="C1849" s="1099">
        <v>0.98154288383125554</v>
      </c>
      <c r="D1849" s="1099">
        <v>1.0099603569754265</v>
      </c>
      <c r="E1849" s="1099">
        <v>0.99651273214194358</v>
      </c>
      <c r="F1849" s="1099">
        <v>0.95489249830770551</v>
      </c>
      <c r="G1849" s="1099">
        <v>1.0171352705219745</v>
      </c>
      <c r="H1849" s="1099">
        <v>1.0140922258919911</v>
      </c>
      <c r="I1849" s="1099">
        <v>0.97607106208211047</v>
      </c>
      <c r="K1849">
        <v>1.6902101073660769</v>
      </c>
      <c r="L1849">
        <v>0</v>
      </c>
      <c r="M1849">
        <v>1.4148580088214114E-3</v>
      </c>
      <c r="N1849">
        <v>0.1287880668297432</v>
      </c>
      <c r="O1849">
        <v>0.12451980104938735</v>
      </c>
      <c r="P1849">
        <v>1.7698569218895104E-2</v>
      </c>
      <c r="Q1849">
        <v>9.0877910524762428E-4</v>
      </c>
      <c r="R1849">
        <v>1.4112324663851552E-3</v>
      </c>
      <c r="S1849">
        <v>0.1072863780295457</v>
      </c>
      <c r="T1849">
        <v>0.98464607137316285</v>
      </c>
      <c r="U1849">
        <v>0</v>
      </c>
      <c r="V1849">
        <v>0.20892685951120873</v>
      </c>
      <c r="W1849">
        <v>8.478078483249496E-2</v>
      </c>
      <c r="X1849">
        <v>2.8817513397982497E-2</v>
      </c>
      <c r="Y1849">
        <v>3.8409095608428778E-3</v>
      </c>
    </row>
    <row r="1850" spans="1:25" x14ac:dyDescent="0.25">
      <c r="A1850" s="1095"/>
      <c r="B1850" s="1454">
        <v>1600</v>
      </c>
      <c r="C1850" s="1099">
        <v>0.99745411036346443</v>
      </c>
      <c r="D1850" s="1099">
        <v>1.0160363097542191</v>
      </c>
      <c r="E1850" s="1099">
        <v>1.0398017892319977</v>
      </c>
      <c r="F1850" s="1099">
        <v>1.0287968800388156</v>
      </c>
      <c r="G1850" s="1099">
        <v>0.97837980452232076</v>
      </c>
      <c r="H1850" s="1099">
        <v>0.97961708477457676</v>
      </c>
      <c r="I1850" s="1099">
        <v>1.0135560573628841</v>
      </c>
      <c r="K1850">
        <v>1.7711364072302931</v>
      </c>
      <c r="L1850">
        <v>0</v>
      </c>
      <c r="M1850">
        <v>1.2344181683785576E-3</v>
      </c>
      <c r="N1850">
        <v>0.12803165067033473</v>
      </c>
      <c r="O1850">
        <v>0.12922625298742685</v>
      </c>
      <c r="P1850">
        <v>1.9331960058776024E-2</v>
      </c>
      <c r="Q1850">
        <v>9.3269215928505254E-4</v>
      </c>
      <c r="R1850">
        <v>1.2311654835014171E-3</v>
      </c>
      <c r="S1850">
        <v>0.10742561077081134</v>
      </c>
      <c r="T1850">
        <v>1.0595533031025575</v>
      </c>
      <c r="U1850">
        <v>0</v>
      </c>
      <c r="V1850">
        <v>0.20950323111127231</v>
      </c>
      <c r="W1850">
        <v>8.2171916635029901E-2</v>
      </c>
      <c r="X1850">
        <v>3.1612215827176854E-2</v>
      </c>
      <c r="Y1850">
        <v>3.350826592498296E-3</v>
      </c>
    </row>
    <row r="1851" spans="1:25" x14ac:dyDescent="0.25">
      <c r="A1851" s="1095"/>
      <c r="B1851" s="1454">
        <v>1601</v>
      </c>
      <c r="C1851" s="1099">
        <v>0.99421153570918575</v>
      </c>
      <c r="D1851" s="1099">
        <v>1.0046248264555291</v>
      </c>
      <c r="E1851" s="1099">
        <v>1.0281863723922116</v>
      </c>
      <c r="F1851" s="1099">
        <v>1.0376866887473517</v>
      </c>
      <c r="G1851" s="1099">
        <v>1.0100984331914444</v>
      </c>
      <c r="H1851" s="1099">
        <v>0.97611337592885628</v>
      </c>
      <c r="I1851" s="1099">
        <v>1.0048365203580902</v>
      </c>
      <c r="K1851">
        <v>1.7841570482546794</v>
      </c>
      <c r="L1851">
        <v>0</v>
      </c>
      <c r="M1851">
        <v>1.2733330731850756E-3</v>
      </c>
      <c r="N1851">
        <v>0.12752442248878748</v>
      </c>
      <c r="O1851">
        <v>0.13054568749650325</v>
      </c>
      <c r="P1851">
        <v>1.9337538761272033E-2</v>
      </c>
      <c r="Q1851">
        <v>9.2891896198979038E-4</v>
      </c>
      <c r="R1851">
        <v>1.2699746446611633E-3</v>
      </c>
      <c r="S1851">
        <v>0.10736384772941794</v>
      </c>
      <c r="T1851">
        <v>1.0690550524423099</v>
      </c>
      <c r="U1851">
        <v>0</v>
      </c>
      <c r="V1851">
        <v>0.21208570144995428</v>
      </c>
      <c r="W1851">
        <v>8.2398348562899681E-2</v>
      </c>
      <c r="X1851">
        <v>3.1464436454329607E-2</v>
      </c>
      <c r="Y1851">
        <v>3.4564523357385876E-3</v>
      </c>
    </row>
    <row r="1852" spans="1:25" x14ac:dyDescent="0.25">
      <c r="A1852" s="1095"/>
      <c r="B1852" s="1454">
        <v>1602</v>
      </c>
      <c r="C1852" s="1099">
        <v>0.99774366207020448</v>
      </c>
      <c r="D1852" s="1099">
        <v>0.97800740715945833</v>
      </c>
      <c r="E1852" s="1099">
        <v>1.0251256206989015</v>
      </c>
      <c r="F1852" s="1099">
        <v>0.95976592178755071</v>
      </c>
      <c r="G1852" s="1099">
        <v>0.99831317091469729</v>
      </c>
      <c r="H1852" s="1099">
        <v>0.98458444529167621</v>
      </c>
      <c r="I1852" s="1099">
        <v>1.0258262905613733</v>
      </c>
      <c r="K1852">
        <v>1.6988463255064379</v>
      </c>
      <c r="L1852">
        <v>0</v>
      </c>
      <c r="M1852">
        <v>1.2999628408434535E-3</v>
      </c>
      <c r="N1852">
        <v>0.12899779469116798</v>
      </c>
      <c r="O1852">
        <v>0.12562264274380067</v>
      </c>
      <c r="P1852">
        <v>1.8175610229676366E-2</v>
      </c>
      <c r="Q1852">
        <v>9.3270332531882711E-4</v>
      </c>
      <c r="R1852">
        <v>1.2965585304058611E-3</v>
      </c>
      <c r="S1852">
        <v>0.11118827514441484</v>
      </c>
      <c r="T1852">
        <v>0.98886381388550448</v>
      </c>
      <c r="U1852">
        <v>0</v>
      </c>
      <c r="V1852">
        <v>0.20792515607933681</v>
      </c>
      <c r="W1852">
        <v>8.3498959490120331E-2</v>
      </c>
      <c r="X1852">
        <v>3.0115969318173889E-2</v>
      </c>
      <c r="Y1852">
        <v>3.5288049093600759E-3</v>
      </c>
    </row>
    <row r="1853" spans="1:25" x14ac:dyDescent="0.25">
      <c r="A1853" s="1095"/>
      <c r="B1853" s="1454">
        <v>1603</v>
      </c>
      <c r="C1853" s="1099">
        <v>0.98054634248702166</v>
      </c>
      <c r="D1853" s="1099">
        <v>1.0165677526537771</v>
      </c>
      <c r="E1853" s="1099">
        <v>0.98835138690937485</v>
      </c>
      <c r="F1853" s="1099">
        <v>0.99430273699134009</v>
      </c>
      <c r="G1853" s="1099">
        <v>1.0089808479793358</v>
      </c>
      <c r="H1853" s="1099">
        <v>1.005391561535155</v>
      </c>
      <c r="I1853" s="1099">
        <v>1.0077609902226325</v>
      </c>
      <c r="K1853">
        <v>1.7361558903932384</v>
      </c>
      <c r="L1853">
        <v>0</v>
      </c>
      <c r="M1853">
        <v>1.4276236182646147E-3</v>
      </c>
      <c r="N1853">
        <v>0.12678123174657074</v>
      </c>
      <c r="O1853">
        <v>0.12727986487816365</v>
      </c>
      <c r="P1853">
        <v>1.8201664924883953E-2</v>
      </c>
      <c r="Q1853">
        <v>8.9965695508837837E-4</v>
      </c>
      <c r="R1853">
        <v>1.4239421175106007E-3</v>
      </c>
      <c r="S1853">
        <v>0.11005709949016826</v>
      </c>
      <c r="T1853">
        <v>1.0255273562401241</v>
      </c>
      <c r="U1853">
        <v>0</v>
      </c>
      <c r="V1853">
        <v>0.21048213575915214</v>
      </c>
      <c r="W1853">
        <v>8.3867949895831628E-2</v>
      </c>
      <c r="X1853">
        <v>2.9187110962536834E-2</v>
      </c>
      <c r="Y1853">
        <v>3.8755010414709742E-3</v>
      </c>
    </row>
    <row r="1854" spans="1:25" x14ac:dyDescent="0.25">
      <c r="A1854" s="1095"/>
      <c r="B1854" s="1454">
        <v>1604</v>
      </c>
      <c r="C1854" s="1099">
        <v>0.96244374337855998</v>
      </c>
      <c r="D1854" s="1099">
        <v>0.99305620500597125</v>
      </c>
      <c r="E1854" s="1099">
        <v>0.97856778161649627</v>
      </c>
      <c r="F1854" s="1099">
        <v>1.0119797231433665</v>
      </c>
      <c r="G1854" s="1099">
        <v>0.98430753033225871</v>
      </c>
      <c r="H1854" s="1099">
        <v>0.99321997803442608</v>
      </c>
      <c r="I1854" s="1099">
        <v>0.99331071994011944</v>
      </c>
      <c r="K1854">
        <v>1.7646865506702387</v>
      </c>
      <c r="L1854">
        <v>0</v>
      </c>
      <c r="M1854">
        <v>1.4864729409456098E-3</v>
      </c>
      <c r="N1854">
        <v>0.12815535434360459</v>
      </c>
      <c r="O1854">
        <v>0.13064653309818294</v>
      </c>
      <c r="P1854">
        <v>1.83589352562765E-2</v>
      </c>
      <c r="Q1854">
        <v>9.1577814780448318E-4</v>
      </c>
      <c r="R1854">
        <v>1.4826095073724563E-3</v>
      </c>
      <c r="S1854">
        <v>0.11122595542218537</v>
      </c>
      <c r="T1854">
        <v>1.0440586684196955</v>
      </c>
      <c r="U1854">
        <v>0</v>
      </c>
      <c r="V1854">
        <v>0.2125087093913309</v>
      </c>
      <c r="W1854">
        <v>8.5277885902668479E-2</v>
      </c>
      <c r="X1854">
        <v>2.9507419785087058E-2</v>
      </c>
      <c r="Y1854">
        <v>4.0351743369750736E-3</v>
      </c>
    </row>
    <row r="1855" spans="1:25" x14ac:dyDescent="0.25">
      <c r="A1855" s="1095"/>
      <c r="B1855" s="1454">
        <v>1605</v>
      </c>
      <c r="C1855" s="1099">
        <v>1.0017040383521894</v>
      </c>
      <c r="D1855" s="1099">
        <v>0.97311495531734904</v>
      </c>
      <c r="E1855" s="1099">
        <v>0.96040907077896165</v>
      </c>
      <c r="F1855" s="1099">
        <v>0.97994309008021241</v>
      </c>
      <c r="G1855" s="1099">
        <v>1.0115048956953143</v>
      </c>
      <c r="H1855" s="1099">
        <v>0.99127594647024297</v>
      </c>
      <c r="I1855" s="1099">
        <v>0.97191506117206528</v>
      </c>
      <c r="K1855">
        <v>1.7085426634034049</v>
      </c>
      <c r="L1855">
        <v>0</v>
      </c>
      <c r="M1855">
        <v>1.4984071919193558E-3</v>
      </c>
      <c r="N1855">
        <v>0.12227362116487361</v>
      </c>
      <c r="O1855">
        <v>0.1269583220586315</v>
      </c>
      <c r="P1855">
        <v>1.7559430383044389E-2</v>
      </c>
      <c r="Q1855">
        <v>8.7023990290717706E-4</v>
      </c>
      <c r="R1855">
        <v>1.4945219981935568E-3</v>
      </c>
      <c r="S1855">
        <v>0.10575436226864991</v>
      </c>
      <c r="T1855">
        <v>1.011551704873946</v>
      </c>
      <c r="U1855">
        <v>0</v>
      </c>
      <c r="V1855">
        <v>0.20926759061420408</v>
      </c>
      <c r="W1855">
        <v>8.2268630277758131E-2</v>
      </c>
      <c r="X1855">
        <v>2.7975050843077186E-2</v>
      </c>
      <c r="Y1855">
        <v>4.0675962100385644E-3</v>
      </c>
    </row>
    <row r="1856" spans="1:25" x14ac:dyDescent="0.25">
      <c r="A1856" s="1095"/>
      <c r="B1856" s="1454">
        <v>1606</v>
      </c>
      <c r="C1856" s="1099">
        <v>0.99072405839653899</v>
      </c>
      <c r="D1856" s="1099">
        <v>1.047787374672432</v>
      </c>
      <c r="E1856" s="1099">
        <v>1.0007964071230384</v>
      </c>
      <c r="F1856" s="1099">
        <v>1.0101235922212515</v>
      </c>
      <c r="G1856" s="1099">
        <v>1.0394845013433847</v>
      </c>
      <c r="H1856" s="1099">
        <v>1.0041263300540568</v>
      </c>
      <c r="I1856" s="1099">
        <v>1.002452893823532</v>
      </c>
      <c r="K1856">
        <v>1.7450586721930688</v>
      </c>
      <c r="L1856">
        <v>0</v>
      </c>
      <c r="M1856">
        <v>1.3539188173335073E-3</v>
      </c>
      <c r="N1856">
        <v>0.12484296186848337</v>
      </c>
      <c r="O1856">
        <v>0.12660953582123941</v>
      </c>
      <c r="P1856">
        <v>1.8547913023135455E-2</v>
      </c>
      <c r="Q1856">
        <v>8.9116392969165162E-4</v>
      </c>
      <c r="R1856">
        <v>1.350410621366596E-3</v>
      </c>
      <c r="S1856">
        <v>0.10643279359956044</v>
      </c>
      <c r="T1856">
        <v>1.0414693124749088</v>
      </c>
      <c r="U1856">
        <v>0</v>
      </c>
      <c r="V1856">
        <v>0.21103751366715265</v>
      </c>
      <c r="W1856">
        <v>8.1974540357738532E-2</v>
      </c>
      <c r="X1856">
        <v>2.9581073098505242E-2</v>
      </c>
      <c r="Y1856">
        <v>3.6753725486181809E-3</v>
      </c>
    </row>
    <row r="1857" spans="1:25" x14ac:dyDescent="0.25">
      <c r="A1857" s="1095"/>
      <c r="B1857" s="1454">
        <v>1607</v>
      </c>
      <c r="C1857" s="1099">
        <v>1.0328110453243793</v>
      </c>
      <c r="D1857" s="1099">
        <v>0.95851322936238503</v>
      </c>
      <c r="E1857" s="1099">
        <v>0.96761683554871536</v>
      </c>
      <c r="F1857" s="1099">
        <v>1.0169190264784633</v>
      </c>
      <c r="G1857" s="1099">
        <v>0.99702284710936828</v>
      </c>
      <c r="H1857" s="1099">
        <v>1.0032179288229508</v>
      </c>
      <c r="I1857" s="1099">
        <v>0.97483575181474169</v>
      </c>
      <c r="K1857">
        <v>1.7484816765621281</v>
      </c>
      <c r="L1857">
        <v>0</v>
      </c>
      <c r="M1857">
        <v>1.4707007592927202E-3</v>
      </c>
      <c r="N1857">
        <v>0.12266841781345841</v>
      </c>
      <c r="O1857">
        <v>0.12892865564728268</v>
      </c>
      <c r="P1857">
        <v>1.8141811800255193E-2</v>
      </c>
      <c r="Q1857">
        <v>8.5564299103345223E-4</v>
      </c>
      <c r="R1857">
        <v>1.46696566504274E-3</v>
      </c>
      <c r="S1857">
        <v>0.1050622421735693</v>
      </c>
      <c r="T1857">
        <v>1.0494945415050847</v>
      </c>
      <c r="U1857">
        <v>0</v>
      </c>
      <c r="V1857">
        <v>0.20842732980818143</v>
      </c>
      <c r="W1857">
        <v>8.2171263913702788E-2</v>
      </c>
      <c r="X1857">
        <v>2.8742909048663418E-2</v>
      </c>
      <c r="Y1857">
        <v>3.9925969551448228E-3</v>
      </c>
    </row>
    <row r="1858" spans="1:25" x14ac:dyDescent="0.25">
      <c r="A1858" s="1095"/>
      <c r="B1858" s="1454">
        <v>1608</v>
      </c>
      <c r="C1858" s="1099">
        <v>0.98912819532125384</v>
      </c>
      <c r="D1858" s="1099">
        <v>1.0265483988941053</v>
      </c>
      <c r="E1858" s="1099">
        <v>1.0190504033347298</v>
      </c>
      <c r="F1858" s="1099">
        <v>0.98437813490819859</v>
      </c>
      <c r="G1858" s="1099">
        <v>1.0434942761286785</v>
      </c>
      <c r="H1858" s="1099">
        <v>1.0415788012122913</v>
      </c>
      <c r="I1858" s="1099">
        <v>1.0150203722683473</v>
      </c>
      <c r="K1858">
        <v>1.7357067884939639</v>
      </c>
      <c r="L1858">
        <v>0</v>
      </c>
      <c r="M1858">
        <v>1.3676073581763383E-3</v>
      </c>
      <c r="N1858">
        <v>0.13326272955802815</v>
      </c>
      <c r="O1858">
        <v>0.12575649579234582</v>
      </c>
      <c r="P1858">
        <v>1.849523598248241E-2</v>
      </c>
      <c r="Q1858">
        <v>9.1704652709271662E-4</v>
      </c>
      <c r="R1858">
        <v>1.3641964340971515E-3</v>
      </c>
      <c r="S1858">
        <v>0.11182218727839639</v>
      </c>
      <c r="T1858">
        <v>1.0143960712344977</v>
      </c>
      <c r="U1858">
        <v>0</v>
      </c>
      <c r="V1858">
        <v>0.21068995311252256</v>
      </c>
      <c r="W1858">
        <v>8.6566244320696151E-2</v>
      </c>
      <c r="X1858">
        <v>3.0091342625603971E-2</v>
      </c>
      <c r="Y1858">
        <v>3.7128929863788074E-3</v>
      </c>
    </row>
    <row r="1859" spans="1:25" x14ac:dyDescent="0.25">
      <c r="A1859" s="1095"/>
      <c r="B1859" s="1454">
        <v>1609</v>
      </c>
      <c r="C1859" s="1099">
        <v>1.0110756661211246</v>
      </c>
      <c r="D1859" s="1099">
        <v>1.0110865644952101</v>
      </c>
      <c r="E1859" s="1099">
        <v>0.98186819011675974</v>
      </c>
      <c r="F1859" s="1099">
        <v>0.99310189948729077</v>
      </c>
      <c r="G1859" s="1099">
        <v>1.0250247181061376</v>
      </c>
      <c r="H1859" s="1099">
        <v>1.0029253196430128</v>
      </c>
      <c r="I1859" s="1099">
        <v>0.98201879264882208</v>
      </c>
      <c r="K1859">
        <v>1.7187097148629744</v>
      </c>
      <c r="L1859">
        <v>0</v>
      </c>
      <c r="M1859">
        <v>1.4076450934674318E-3</v>
      </c>
      <c r="N1859">
        <v>0.12258000195930735</v>
      </c>
      <c r="O1859">
        <v>0.12583539008280617</v>
      </c>
      <c r="P1859">
        <v>1.7998364519288716E-2</v>
      </c>
      <c r="Q1859">
        <v>8.6847647485746885E-4</v>
      </c>
      <c r="R1859">
        <v>1.4040186961940819E-3</v>
      </c>
      <c r="S1859">
        <v>0.10434227602734068</v>
      </c>
      <c r="T1859">
        <v>1.0244830636023776</v>
      </c>
      <c r="U1859">
        <v>0</v>
      </c>
      <c r="V1859">
        <v>0.20875015517087175</v>
      </c>
      <c r="W1859">
        <v>8.140553841008874E-2</v>
      </c>
      <c r="X1859">
        <v>2.8628798956907574E-2</v>
      </c>
      <c r="Y1859">
        <v>3.8212760564014792E-3</v>
      </c>
    </row>
    <row r="1860" spans="1:25" x14ac:dyDescent="0.25">
      <c r="A1860" s="1095"/>
      <c r="B1860" s="1454">
        <v>1610</v>
      </c>
      <c r="C1860" s="1099">
        <v>1.0020646896088579</v>
      </c>
      <c r="D1860" s="1099">
        <v>0.99305077232134387</v>
      </c>
      <c r="E1860" s="1099">
        <v>1.0181444956858936</v>
      </c>
      <c r="F1860" s="1099">
        <v>1.0300885820610823</v>
      </c>
      <c r="G1860" s="1099">
        <v>0.97202400177853687</v>
      </c>
      <c r="H1860" s="1099">
        <v>1.0232819566876943</v>
      </c>
      <c r="I1860" s="1099">
        <v>1.0228434074289701</v>
      </c>
      <c r="K1860">
        <v>1.7867621785432743</v>
      </c>
      <c r="L1860">
        <v>0</v>
      </c>
      <c r="M1860">
        <v>1.3616990593699617E-3</v>
      </c>
      <c r="N1860">
        <v>0.13232269119359155</v>
      </c>
      <c r="O1860">
        <v>0.13005978766143608</v>
      </c>
      <c r="P1860">
        <v>1.9128601107058895E-2</v>
      </c>
      <c r="Q1860">
        <v>9.1644727568117497E-4</v>
      </c>
      <c r="R1860">
        <v>1.3582807568931099E-3</v>
      </c>
      <c r="S1860">
        <v>0.11258438900221933</v>
      </c>
      <c r="T1860">
        <v>1.0615276522666452</v>
      </c>
      <c r="U1860">
        <v>0</v>
      </c>
      <c r="V1860">
        <v>0.20950376047539393</v>
      </c>
      <c r="W1860">
        <v>8.600122323456498E-2</v>
      </c>
      <c r="X1860">
        <v>3.1024252166028051E-2</v>
      </c>
      <c r="Y1860">
        <v>3.6967924631318727E-3</v>
      </c>
    </row>
    <row r="1861" spans="1:25" x14ac:dyDescent="0.25">
      <c r="A1861" s="1095"/>
      <c r="B1861" s="1454">
        <v>1611</v>
      </c>
      <c r="C1861" s="1099">
        <v>0.99739555613255848</v>
      </c>
      <c r="D1861" s="1099">
        <v>1.0008054380891627</v>
      </c>
      <c r="E1861" s="1099">
        <v>0.9969243121382082</v>
      </c>
      <c r="F1861" s="1099">
        <v>1.021609074971557</v>
      </c>
      <c r="G1861" s="1099">
        <v>1.0254279397462391</v>
      </c>
      <c r="H1861" s="1099">
        <v>0.9823746537381014</v>
      </c>
      <c r="I1861" s="1099">
        <v>1.0424179466608345</v>
      </c>
      <c r="K1861">
        <v>1.7655422592453696</v>
      </c>
      <c r="L1861">
        <v>0</v>
      </c>
      <c r="M1861">
        <v>1.3647739088669252E-3</v>
      </c>
      <c r="N1861">
        <v>0.12437637665862768</v>
      </c>
      <c r="O1861">
        <v>0.12921540620754091</v>
      </c>
      <c r="P1861">
        <v>1.8737239004163273E-2</v>
      </c>
      <c r="Q1861">
        <v>8.9798214472030288E-4</v>
      </c>
      <c r="R1861">
        <v>1.3611960259522224E-3</v>
      </c>
      <c r="S1861">
        <v>0.11161131627930591</v>
      </c>
      <c r="T1861">
        <v>1.0534289348006134</v>
      </c>
      <c r="U1861">
        <v>0</v>
      </c>
      <c r="V1861">
        <v>0.2117445466282924</v>
      </c>
      <c r="W1861">
        <v>8.1856504670244787E-2</v>
      </c>
      <c r="X1861">
        <v>2.9972803870284143E-2</v>
      </c>
      <c r="Y1861">
        <v>3.7047268644925901E-3</v>
      </c>
    </row>
    <row r="1862" spans="1:25" x14ac:dyDescent="0.25">
      <c r="A1862" s="1095"/>
      <c r="B1862" s="1454">
        <v>1612</v>
      </c>
      <c r="C1862" s="1099">
        <v>0.99290035248122233</v>
      </c>
      <c r="D1862" s="1099">
        <v>1.0193797682246084</v>
      </c>
      <c r="E1862" s="1099">
        <v>1.0314112985246691</v>
      </c>
      <c r="F1862" s="1099">
        <v>0.98048833691860304</v>
      </c>
      <c r="G1862" s="1099">
        <v>1.0131013486117273</v>
      </c>
      <c r="H1862" s="1099">
        <v>0.98410115660462449</v>
      </c>
      <c r="I1862" s="1099">
        <v>0.95419933694525916</v>
      </c>
      <c r="K1862">
        <v>1.7086859136229631</v>
      </c>
      <c r="L1862">
        <v>0</v>
      </c>
      <c r="M1862">
        <v>1.2596495217880757E-3</v>
      </c>
      <c r="N1862">
        <v>0.1273865978061394</v>
      </c>
      <c r="O1862">
        <v>0.12562706590563283</v>
      </c>
      <c r="P1862">
        <v>1.8431605595318704E-2</v>
      </c>
      <c r="Q1862">
        <v>9.2778523589034446E-4</v>
      </c>
      <c r="R1862">
        <v>1.2563286048436313E-3</v>
      </c>
      <c r="S1862">
        <v>0.10138457993335881</v>
      </c>
      <c r="T1862">
        <v>1.0100364388238627</v>
      </c>
      <c r="U1862">
        <v>0</v>
      </c>
      <c r="V1862">
        <v>0.20893386774179923</v>
      </c>
      <c r="W1862">
        <v>8.2155332360339645E-2</v>
      </c>
      <c r="X1862">
        <v>3.0386648823793102E-2</v>
      </c>
      <c r="Y1862">
        <v>3.4193123137710832E-3</v>
      </c>
    </row>
    <row r="1863" spans="1:25" x14ac:dyDescent="0.25">
      <c r="A1863" s="1095"/>
      <c r="B1863" s="1454">
        <v>1613</v>
      </c>
      <c r="C1863" s="1099">
        <v>1.0049247395633971</v>
      </c>
      <c r="D1863" s="1099">
        <v>0.99620010284057792</v>
      </c>
      <c r="E1863" s="1099">
        <v>1.011254981213507</v>
      </c>
      <c r="F1863" s="1099">
        <v>0.99741577246646596</v>
      </c>
      <c r="G1863" s="1099">
        <v>1.0228016991215891</v>
      </c>
      <c r="H1863" s="1099">
        <v>1.0206148041500982</v>
      </c>
      <c r="I1863" s="1099">
        <v>0.99863775478643091</v>
      </c>
      <c r="K1863">
        <v>1.7425860667149498</v>
      </c>
      <c r="L1863">
        <v>0</v>
      </c>
      <c r="M1863">
        <v>1.3677759572326301E-3</v>
      </c>
      <c r="N1863">
        <v>0.13017628787675417</v>
      </c>
      <c r="O1863">
        <v>0.12726532665290255</v>
      </c>
      <c r="P1863">
        <v>1.8527864369118328E-2</v>
      </c>
      <c r="Q1863">
        <v>9.0623660874797134E-4</v>
      </c>
      <c r="R1863">
        <v>1.3643225867700128E-3</v>
      </c>
      <c r="S1863">
        <v>0.10901373417365841</v>
      </c>
      <c r="T1863">
        <v>1.0280589197784749</v>
      </c>
      <c r="U1863">
        <v>0</v>
      </c>
      <c r="V1863">
        <v>0.20990275130929587</v>
      </c>
      <c r="W1863">
        <v>8.4949343731574894E-2</v>
      </c>
      <c r="X1863">
        <v>3.0075819252515644E-2</v>
      </c>
      <c r="Y1863">
        <v>3.7132363323681178E-3</v>
      </c>
    </row>
    <row r="1864" spans="1:25" x14ac:dyDescent="0.25">
      <c r="A1864" s="1095"/>
      <c r="B1864" s="1454">
        <v>1614</v>
      </c>
      <c r="C1864" s="1099">
        <v>1.0030674837563547</v>
      </c>
      <c r="D1864" s="1099">
        <v>0.99698524975315983</v>
      </c>
      <c r="E1864" s="1099">
        <v>1.0349088643982072</v>
      </c>
      <c r="F1864" s="1099">
        <v>1.011731008917844</v>
      </c>
      <c r="G1864" s="1099">
        <v>0.99909873187869547</v>
      </c>
      <c r="H1864" s="1099">
        <v>1.0264411964390738</v>
      </c>
      <c r="I1864" s="1099">
        <v>1.0157899065597813</v>
      </c>
      <c r="K1864">
        <v>1.7673304984440024</v>
      </c>
      <c r="L1864">
        <v>0</v>
      </c>
      <c r="M1864">
        <v>1.3127262374450579E-3</v>
      </c>
      <c r="N1864">
        <v>0.13417821599616003</v>
      </c>
      <c r="O1864">
        <v>0.1285073716819144</v>
      </c>
      <c r="P1864">
        <v>1.9080710181875172E-2</v>
      </c>
      <c r="Q1864">
        <v>9.2988513871707318E-4</v>
      </c>
      <c r="R1864">
        <v>1.3094337377181743E-3</v>
      </c>
      <c r="S1864">
        <v>0.11157185910238178</v>
      </c>
      <c r="T1864">
        <v>1.0421189257373116</v>
      </c>
      <c r="U1864">
        <v>0</v>
      </c>
      <c r="V1864">
        <v>0.2097038149344089</v>
      </c>
      <c r="W1864">
        <v>8.6360368500896553E-2</v>
      </c>
      <c r="X1864">
        <v>3.1318792690710716E-2</v>
      </c>
      <c r="Y1864">
        <v>3.563846979353242E-3</v>
      </c>
    </row>
    <row r="1865" spans="1:25" x14ac:dyDescent="0.25">
      <c r="A1865" s="1095"/>
      <c r="B1865" s="1454">
        <v>1615</v>
      </c>
      <c r="C1865" s="1099">
        <v>0.99678785347493715</v>
      </c>
      <c r="D1865" s="1099">
        <v>0.99274791306096333</v>
      </c>
      <c r="E1865" s="1099">
        <v>0.99551301280515025</v>
      </c>
      <c r="F1865" s="1099">
        <v>1.0226243876020351</v>
      </c>
      <c r="G1865" s="1099">
        <v>1.0097261337681211</v>
      </c>
      <c r="H1865" s="1099">
        <v>0.98072207057877803</v>
      </c>
      <c r="I1865" s="1099">
        <v>0.98887064769382649</v>
      </c>
      <c r="K1865">
        <v>1.761968299860047</v>
      </c>
      <c r="L1865">
        <v>0</v>
      </c>
      <c r="M1865">
        <v>1.3738942139265423E-3</v>
      </c>
      <c r="N1865">
        <v>0.1246746288859579</v>
      </c>
      <c r="O1865">
        <v>0.12969588211617447</v>
      </c>
      <c r="P1865">
        <v>1.8655230150602831E-2</v>
      </c>
      <c r="Q1865">
        <v>9.0011894512269646E-4</v>
      </c>
      <c r="R1865">
        <v>1.3702920313564775E-3</v>
      </c>
      <c r="S1865">
        <v>0.10635898230652747</v>
      </c>
      <c r="T1865">
        <v>1.0545189364464913</v>
      </c>
      <c r="U1865">
        <v>0</v>
      </c>
      <c r="V1865">
        <v>0.21133240699693656</v>
      </c>
      <c r="W1865">
        <v>8.2121855746824582E-2</v>
      </c>
      <c r="X1865">
        <v>2.9984377255273253E-2</v>
      </c>
      <c r="Y1865">
        <v>3.7294831927055972E-3</v>
      </c>
    </row>
    <row r="1866" spans="1:25" x14ac:dyDescent="0.25">
      <c r="A1866" s="1095"/>
      <c r="B1866" s="1454">
        <v>1616</v>
      </c>
      <c r="C1866" s="1099">
        <v>1.0022191486513392</v>
      </c>
      <c r="D1866" s="1099">
        <v>1.0064204425029852</v>
      </c>
      <c r="E1866" s="1099">
        <v>0.96529849525598166</v>
      </c>
      <c r="F1866" s="1099">
        <v>0.96020495411881468</v>
      </c>
      <c r="G1866" s="1099">
        <v>0.99444855073803795</v>
      </c>
      <c r="H1866" s="1099">
        <v>1.0343003058497602</v>
      </c>
      <c r="I1866" s="1099">
        <v>0.98551810097993187</v>
      </c>
      <c r="K1866">
        <v>1.6885029376495566</v>
      </c>
      <c r="L1866">
        <v>0</v>
      </c>
      <c r="M1866">
        <v>1.5140660492970529E-3</v>
      </c>
      <c r="N1866">
        <v>0.12540617809545579</v>
      </c>
      <c r="O1866">
        <v>0.12391651426644693</v>
      </c>
      <c r="P1866">
        <v>1.7341919018494793E-2</v>
      </c>
      <c r="Q1866">
        <v>8.6261187367093171E-4</v>
      </c>
      <c r="R1866">
        <v>1.5102732086155898E-3</v>
      </c>
      <c r="S1866">
        <v>0.10780104840110498</v>
      </c>
      <c r="T1866">
        <v>0.99103212386153183</v>
      </c>
      <c r="U1866">
        <v>0</v>
      </c>
      <c r="V1866">
        <v>0.20637197010981004</v>
      </c>
      <c r="W1866">
        <v>8.4124144485390379E-2</v>
      </c>
      <c r="X1866">
        <v>2.7539754565909201E-2</v>
      </c>
      <c r="Y1866">
        <v>4.1104658124222196E-3</v>
      </c>
    </row>
    <row r="1867" spans="1:25" x14ac:dyDescent="0.25">
      <c r="A1867" s="1095"/>
      <c r="B1867" s="1454">
        <v>1617</v>
      </c>
      <c r="C1867" s="1099">
        <v>1.0056725642196922</v>
      </c>
      <c r="D1867" s="1099">
        <v>0.99462731945763516</v>
      </c>
      <c r="E1867" s="1099">
        <v>1.0150331068898368</v>
      </c>
      <c r="F1867" s="1099">
        <v>0.96154973191062953</v>
      </c>
      <c r="G1867" s="1099">
        <v>0.99072794310676859</v>
      </c>
      <c r="H1867" s="1099">
        <v>0.97877987191260585</v>
      </c>
      <c r="I1867" s="1099">
        <v>0.98113732176594926</v>
      </c>
      <c r="K1867">
        <v>1.6841619607603631</v>
      </c>
      <c r="L1867">
        <v>0</v>
      </c>
      <c r="M1867">
        <v>1.2975838720359592E-3</v>
      </c>
      <c r="N1867">
        <v>0.12489773645276446</v>
      </c>
      <c r="O1867">
        <v>0.1245692111846555</v>
      </c>
      <c r="P1867">
        <v>1.7952425757713639E-2</v>
      </c>
      <c r="Q1867">
        <v>9.0966686672867641E-4</v>
      </c>
      <c r="R1867">
        <v>1.2941578974339804E-3</v>
      </c>
      <c r="S1867">
        <v>0.10406132773991111</v>
      </c>
      <c r="T1867">
        <v>0.99098440785840902</v>
      </c>
      <c r="U1867">
        <v>0</v>
      </c>
      <c r="V1867">
        <v>0.20646363285771083</v>
      </c>
      <c r="W1867">
        <v>8.1323779382407896E-2</v>
      </c>
      <c r="X1867">
        <v>2.9480927456884774E-2</v>
      </c>
      <c r="Y1867">
        <v>3.5222711777790614E-3</v>
      </c>
    </row>
    <row r="1868" spans="1:25" x14ac:dyDescent="0.25">
      <c r="A1868" s="1095"/>
      <c r="B1868" s="1454">
        <v>1618</v>
      </c>
      <c r="C1868" s="1099">
        <v>1.0099887468062216</v>
      </c>
      <c r="D1868" s="1099">
        <v>0.99012507424907226</v>
      </c>
      <c r="E1868" s="1099">
        <v>0.9799117283907246</v>
      </c>
      <c r="F1868" s="1099">
        <v>1.0083630069952829</v>
      </c>
      <c r="G1868" s="1099">
        <v>1.0126973037535396</v>
      </c>
      <c r="H1868" s="1099">
        <v>0.99575278786781285</v>
      </c>
      <c r="I1868" s="1099">
        <v>1.0288538956342284</v>
      </c>
      <c r="K1868">
        <v>1.7456492753985402</v>
      </c>
      <c r="L1868">
        <v>0</v>
      </c>
      <c r="M1868">
        <v>1.4239581336131131E-3</v>
      </c>
      <c r="N1868">
        <v>0.12326812074198105</v>
      </c>
      <c r="O1868">
        <v>0.12799187960894312</v>
      </c>
      <c r="P1868">
        <v>1.8278039820640475E-2</v>
      </c>
      <c r="Q1868">
        <v>8.7493240727536581E-4</v>
      </c>
      <c r="R1868">
        <v>1.4202824423885289E-3</v>
      </c>
      <c r="S1868">
        <v>0.11043336800705456</v>
      </c>
      <c r="T1868">
        <v>1.0402861799928764</v>
      </c>
      <c r="U1868">
        <v>0</v>
      </c>
      <c r="V1868">
        <v>0.20965777349541123</v>
      </c>
      <c r="W1868">
        <v>8.1959216758867429E-2</v>
      </c>
      <c r="X1868">
        <v>2.9037899644512477E-2</v>
      </c>
      <c r="Y1868">
        <v>3.8655406122002729E-3</v>
      </c>
    </row>
    <row r="1869" spans="1:25" x14ac:dyDescent="0.25">
      <c r="A1869" s="1095"/>
      <c r="B1869" s="1454">
        <v>1619</v>
      </c>
      <c r="C1869" s="1099">
        <v>0.99973827991320352</v>
      </c>
      <c r="D1869" s="1099">
        <v>0.98146139171640545</v>
      </c>
      <c r="E1869" s="1099">
        <v>1.0125338202995626</v>
      </c>
      <c r="F1869" s="1099">
        <v>1.0065929020874884</v>
      </c>
      <c r="G1869" s="1099">
        <v>0.99261228661570455</v>
      </c>
      <c r="H1869" s="1099">
        <v>0.96974451293864905</v>
      </c>
      <c r="I1869" s="1099">
        <v>1.0210842395777</v>
      </c>
      <c r="K1869">
        <v>1.7467500201350976</v>
      </c>
      <c r="L1869">
        <v>0</v>
      </c>
      <c r="M1869">
        <v>1.3148443984953915E-3</v>
      </c>
      <c r="N1869">
        <v>0.12560698179197605</v>
      </c>
      <c r="O1869">
        <v>0.12892371157741558</v>
      </c>
      <c r="P1869">
        <v>1.86796213292756E-2</v>
      </c>
      <c r="Q1869">
        <v>9.1759357856073401E-4</v>
      </c>
      <c r="R1869">
        <v>1.3113616223110359E-3</v>
      </c>
      <c r="S1869">
        <v>0.10943449857782846</v>
      </c>
      <c r="T1869">
        <v>1.0374801823908433</v>
      </c>
      <c r="U1869">
        <v>0</v>
      </c>
      <c r="V1869">
        <v>0.20981323802709936</v>
      </c>
      <c r="W1869">
        <v>8.1905848119134234E-2</v>
      </c>
      <c r="X1869">
        <v>3.0422733473460695E-2</v>
      </c>
      <c r="Y1869">
        <v>3.5690940456880255E-3</v>
      </c>
    </row>
    <row r="1870" spans="1:25" x14ac:dyDescent="0.25">
      <c r="A1870" s="1095"/>
      <c r="B1870" s="1454">
        <v>1620</v>
      </c>
      <c r="C1870" s="1099">
        <v>0.99435117585726851</v>
      </c>
      <c r="D1870" s="1099">
        <v>1.0341930334071381</v>
      </c>
      <c r="E1870" s="1099">
        <v>0.98304132841270142</v>
      </c>
      <c r="F1870" s="1099">
        <v>0.99885278171257053</v>
      </c>
      <c r="G1870" s="1099">
        <v>1.000471708178883</v>
      </c>
      <c r="H1870" s="1099">
        <v>0.98584518587902681</v>
      </c>
      <c r="I1870" s="1099">
        <v>1.0139447524755025</v>
      </c>
      <c r="K1870">
        <v>1.724532263972246</v>
      </c>
      <c r="L1870">
        <v>0</v>
      </c>
      <c r="M1870">
        <v>1.3837773405123185E-3</v>
      </c>
      <c r="N1870">
        <v>0.12092291593398839</v>
      </c>
      <c r="O1870">
        <v>0.12610253986316008</v>
      </c>
      <c r="P1870">
        <v>1.8124510176076091E-2</v>
      </c>
      <c r="Q1870">
        <v>8.7621327742932098E-4</v>
      </c>
      <c r="R1870">
        <v>1.3801319839388071E-3</v>
      </c>
      <c r="S1870">
        <v>0.10677746915860943</v>
      </c>
      <c r="T1870">
        <v>1.0303802215686253</v>
      </c>
      <c r="U1870">
        <v>0</v>
      </c>
      <c r="V1870">
        <v>0.20859512080218801</v>
      </c>
      <c r="W1870">
        <v>8.02483104787899E-2</v>
      </c>
      <c r="X1870">
        <v>2.8752343770055474E-2</v>
      </c>
      <c r="Y1870">
        <v>3.7562642998952012E-3</v>
      </c>
    </row>
    <row r="1871" spans="1:25" x14ac:dyDescent="0.25">
      <c r="A1871" s="1095"/>
      <c r="B1871" s="1454">
        <v>1621</v>
      </c>
      <c r="C1871" s="1099">
        <v>0.98441847374092672</v>
      </c>
      <c r="D1871" s="1099">
        <v>1.0281857926071458</v>
      </c>
      <c r="E1871" s="1099">
        <v>0.97278213730721186</v>
      </c>
      <c r="F1871" s="1099">
        <v>1.0039809964990507</v>
      </c>
      <c r="G1871" s="1099">
        <v>1.006100194252548</v>
      </c>
      <c r="H1871" s="1099">
        <v>1.0115668149636192</v>
      </c>
      <c r="I1871" s="1099">
        <v>1.0059941958020826</v>
      </c>
      <c r="K1871">
        <v>1.7417046165754231</v>
      </c>
      <c r="L1871">
        <v>0</v>
      </c>
      <c r="M1871">
        <v>1.4694197908524218E-3</v>
      </c>
      <c r="N1871">
        <v>0.12449024450768337</v>
      </c>
      <c r="O1871">
        <v>0.12722626087966887</v>
      </c>
      <c r="P1871">
        <v>1.8110669452161905E-2</v>
      </c>
      <c r="Q1871">
        <v>8.776220363938042E-4</v>
      </c>
      <c r="R1871">
        <v>1.4656499587368764E-3</v>
      </c>
      <c r="S1871">
        <v>0.10915508374989615</v>
      </c>
      <c r="T1871">
        <v>1.0359832822773611</v>
      </c>
      <c r="U1871">
        <v>0</v>
      </c>
      <c r="V1871">
        <v>0.21012569374332271</v>
      </c>
      <c r="W1871">
        <v>8.3129929945233189E-2</v>
      </c>
      <c r="X1871">
        <v>2.8620583779514361E-2</v>
      </c>
      <c r="Y1871">
        <v>3.9890160363027305E-3</v>
      </c>
    </row>
    <row r="1872" spans="1:25" x14ac:dyDescent="0.25">
      <c r="A1872" s="1095"/>
      <c r="B1872" s="1454">
        <v>1622</v>
      </c>
      <c r="C1872" s="1099">
        <v>1.0259857882630301</v>
      </c>
      <c r="D1872" s="1099">
        <v>0.99282714650620218</v>
      </c>
      <c r="E1872" s="1099">
        <v>0.95366277015304068</v>
      </c>
      <c r="F1872" s="1099">
        <v>1.0043193351278088</v>
      </c>
      <c r="G1872" s="1099">
        <v>1.0037820769781296</v>
      </c>
      <c r="H1872" s="1099">
        <v>0.96732811034887289</v>
      </c>
      <c r="I1872" s="1099">
        <v>0.95657702789978105</v>
      </c>
      <c r="K1872">
        <v>1.7127955714180363</v>
      </c>
      <c r="L1872">
        <v>0</v>
      </c>
      <c r="M1872">
        <v>1.4365796409867332E-3</v>
      </c>
      <c r="N1872">
        <v>0.11484849567038671</v>
      </c>
      <c r="O1872">
        <v>0.1266478846953504</v>
      </c>
      <c r="P1872">
        <v>1.7691021608658746E-2</v>
      </c>
      <c r="Q1872">
        <v>8.3684458462277597E-4</v>
      </c>
      <c r="R1872">
        <v>1.4327640414828785E-3</v>
      </c>
      <c r="S1872">
        <v>9.9060726596859383E-2</v>
      </c>
      <c r="T1872">
        <v>1.036924347045848</v>
      </c>
      <c r="U1872">
        <v>0</v>
      </c>
      <c r="V1872">
        <v>0.20755077663837099</v>
      </c>
      <c r="W1872">
        <v>7.7594065544052307E-2</v>
      </c>
      <c r="X1872">
        <v>2.774571322301141E-2</v>
      </c>
      <c r="Y1872">
        <v>3.8995114103770566E-3</v>
      </c>
    </row>
    <row r="1873" spans="1:25" x14ac:dyDescent="0.25">
      <c r="A1873" s="1095"/>
      <c r="B1873" s="1454">
        <v>1623</v>
      </c>
      <c r="C1873" s="1099">
        <v>1.0110951995800894</v>
      </c>
      <c r="D1873" s="1099">
        <v>1.0239961244750007</v>
      </c>
      <c r="E1873" s="1099">
        <v>0.96908993353768647</v>
      </c>
      <c r="F1873" s="1099">
        <v>0.98203794800503907</v>
      </c>
      <c r="G1873" s="1099">
        <v>0.97369003619098582</v>
      </c>
      <c r="H1873" s="1099">
        <v>0.99067963135976445</v>
      </c>
      <c r="I1873" s="1099">
        <v>0.99195317540215522</v>
      </c>
      <c r="K1873">
        <v>1.6948846288895094</v>
      </c>
      <c r="L1873">
        <v>0</v>
      </c>
      <c r="M1873">
        <v>1.4156556669992287E-3</v>
      </c>
      <c r="N1873">
        <v>0.11859594541419267</v>
      </c>
      <c r="O1873">
        <v>0.12438135012399378</v>
      </c>
      <c r="P1873">
        <v>1.762151736073133E-2</v>
      </c>
      <c r="Q1873">
        <v>8.5254237289056854E-4</v>
      </c>
      <c r="R1873">
        <v>1.4119511643871422E-3</v>
      </c>
      <c r="S1873">
        <v>0.10366027695769771</v>
      </c>
      <c r="T1873">
        <v>1.0134517260309825</v>
      </c>
      <c r="U1873">
        <v>0</v>
      </c>
      <c r="V1873">
        <v>0.20528340139196985</v>
      </c>
      <c r="W1873">
        <v>7.937196954108354E-2</v>
      </c>
      <c r="X1873">
        <v>2.782673857869437E-2</v>
      </c>
      <c r="Y1873">
        <v>3.8428656198855535E-3</v>
      </c>
    </row>
    <row r="1874" spans="1:25" x14ac:dyDescent="0.25">
      <c r="A1874" s="1095"/>
      <c r="B1874" s="1454">
        <v>1624</v>
      </c>
      <c r="C1874" s="1099">
        <v>0.99432867009670622</v>
      </c>
      <c r="D1874" s="1099">
        <v>1.0147173483652421</v>
      </c>
      <c r="E1874" s="1099">
        <v>1.0035775112644432</v>
      </c>
      <c r="F1874" s="1099">
        <v>0.99996035309904363</v>
      </c>
      <c r="G1874" s="1099">
        <v>0.97463046396215247</v>
      </c>
      <c r="H1874" s="1099">
        <v>1.0175048961619189</v>
      </c>
      <c r="I1874" s="1099">
        <v>1.0245521684042387</v>
      </c>
      <c r="K1874">
        <v>1.7435420198237079</v>
      </c>
      <c r="L1874">
        <v>0</v>
      </c>
      <c r="M1874">
        <v>1.3842780833019253E-3</v>
      </c>
      <c r="N1874">
        <v>0.12872539464584309</v>
      </c>
      <c r="O1874">
        <v>0.12713189361209726</v>
      </c>
      <c r="P1874">
        <v>1.8469694927940369E-2</v>
      </c>
      <c r="Q1874">
        <v>9.0199138915074883E-4</v>
      </c>
      <c r="R1874">
        <v>1.3807578488525137E-3</v>
      </c>
      <c r="S1874">
        <v>0.11147308527397926</v>
      </c>
      <c r="T1874">
        <v>1.0309082026152052</v>
      </c>
      <c r="U1874">
        <v>0</v>
      </c>
      <c r="V1874">
        <v>0.20802602532460063</v>
      </c>
      <c r="W1874">
        <v>8.4384471639175465E-2</v>
      </c>
      <c r="X1874">
        <v>2.976681293228919E-2</v>
      </c>
      <c r="Y1874">
        <v>3.7579676978739974E-3</v>
      </c>
    </row>
    <row r="1875" spans="1:25" x14ac:dyDescent="0.25">
      <c r="A1875" s="1095"/>
      <c r="B1875" s="1454">
        <v>1625</v>
      </c>
      <c r="C1875" s="1099">
        <v>0.98050961217906007</v>
      </c>
      <c r="D1875" s="1099">
        <v>0.98121042301405337</v>
      </c>
      <c r="E1875" s="1099">
        <v>1.0237452290619466</v>
      </c>
      <c r="F1875" s="1099">
        <v>0.97955748581567703</v>
      </c>
      <c r="G1875" s="1099">
        <v>0.98092510093513596</v>
      </c>
      <c r="H1875" s="1099">
        <v>1.0344818789340231</v>
      </c>
      <c r="I1875" s="1099">
        <v>1.0317673264482456</v>
      </c>
      <c r="K1875">
        <v>1.744613421010464</v>
      </c>
      <c r="L1875">
        <v>0</v>
      </c>
      <c r="M1875">
        <v>1.3916511874280161E-3</v>
      </c>
      <c r="N1875">
        <v>0.13753982990338373</v>
      </c>
      <c r="O1875">
        <v>0.12790550014188981</v>
      </c>
      <c r="P1875">
        <v>1.8547720119273168E-2</v>
      </c>
      <c r="Q1875">
        <v>9.4651847501547317E-4</v>
      </c>
      <c r="R1875">
        <v>1.3881816110135842E-3</v>
      </c>
      <c r="S1875">
        <v>0.11728879838991023</v>
      </c>
      <c r="T1875">
        <v>1.0092946289029217</v>
      </c>
      <c r="U1875">
        <v>0</v>
      </c>
      <c r="V1875">
        <v>0.20951698326337162</v>
      </c>
      <c r="W1875">
        <v>8.9099809912838612E-2</v>
      </c>
      <c r="X1875">
        <v>3.0698928747039288E-2</v>
      </c>
      <c r="Y1875">
        <v>3.7781727312338922E-3</v>
      </c>
    </row>
    <row r="1876" spans="1:25" x14ac:dyDescent="0.25">
      <c r="A1876" s="1095"/>
      <c r="B1876" s="1454">
        <v>1626</v>
      </c>
      <c r="C1876" s="1099">
        <v>1.0162995207551442</v>
      </c>
      <c r="D1876" s="1099">
        <v>1.0174030524624893</v>
      </c>
      <c r="E1876" s="1099">
        <v>0.98065074602276814</v>
      </c>
      <c r="F1876" s="1099">
        <v>0.98080755934166541</v>
      </c>
      <c r="G1876" s="1099">
        <v>0.97995900486918075</v>
      </c>
      <c r="H1876" s="1099">
        <v>0.98755432211468974</v>
      </c>
      <c r="I1876" s="1099">
        <v>0.98424038611586362</v>
      </c>
      <c r="K1876">
        <v>1.6934301507602993</v>
      </c>
      <c r="L1876">
        <v>0</v>
      </c>
      <c r="M1876">
        <v>1.3764718618545038E-3</v>
      </c>
      <c r="N1876">
        <v>0.1194193341959134</v>
      </c>
      <c r="O1876">
        <v>0.12435893938009382</v>
      </c>
      <c r="P1876">
        <v>1.7741678583781256E-2</v>
      </c>
      <c r="Q1876">
        <v>8.6076463158454863E-4</v>
      </c>
      <c r="R1876">
        <v>1.3728640078380112E-3</v>
      </c>
      <c r="S1876">
        <v>0.10256696135374559</v>
      </c>
      <c r="T1876">
        <v>1.0118363969369102</v>
      </c>
      <c r="U1876">
        <v>0</v>
      </c>
      <c r="V1876">
        <v>0.20531504045765442</v>
      </c>
      <c r="W1876">
        <v>7.9364797989126823E-2</v>
      </c>
      <c r="X1876">
        <v>2.8233361820666131E-2</v>
      </c>
      <c r="Y1876">
        <v>3.73648326483651E-3</v>
      </c>
    </row>
    <row r="1877" spans="1:25" x14ac:dyDescent="0.25">
      <c r="A1877" s="1095"/>
      <c r="B1877" s="1454">
        <v>1627</v>
      </c>
      <c r="C1877" s="1099">
        <v>0.96123508289979331</v>
      </c>
      <c r="D1877" s="1099">
        <v>0.99664809308683922</v>
      </c>
      <c r="E1877" s="1099">
        <v>1.0030082336120529</v>
      </c>
      <c r="F1877" s="1099">
        <v>1.0111591444192174</v>
      </c>
      <c r="G1877" s="1099">
        <v>0.98157592229926904</v>
      </c>
      <c r="H1877" s="1099">
        <v>1.008048595167615</v>
      </c>
      <c r="I1877" s="1099">
        <v>1.0491834617050857</v>
      </c>
      <c r="K1877">
        <v>1.7782942183749886</v>
      </c>
      <c r="L1877">
        <v>0</v>
      </c>
      <c r="M1877">
        <v>1.4327007050209089E-3</v>
      </c>
      <c r="N1877">
        <v>0.13299670686396781</v>
      </c>
      <c r="O1877">
        <v>0.1305801368217257</v>
      </c>
      <c r="P1877">
        <v>1.8776326191603153E-2</v>
      </c>
      <c r="Q1877">
        <v>9.3922177766924992E-4</v>
      </c>
      <c r="R1877">
        <v>1.429028674042429E-3</v>
      </c>
      <c r="S1877">
        <v>0.11853158116845915</v>
      </c>
      <c r="T1877">
        <v>1.0424706415253193</v>
      </c>
      <c r="U1877">
        <v>0</v>
      </c>
      <c r="V1877">
        <v>0.21240222133858069</v>
      </c>
      <c r="W1877">
        <v>8.7213908942173568E-2</v>
      </c>
      <c r="X1877">
        <v>3.0497800804899514E-2</v>
      </c>
      <c r="Y1877">
        <v>3.8893449715676994E-3</v>
      </c>
    </row>
    <row r="1878" spans="1:25" x14ac:dyDescent="0.25">
      <c r="A1878" s="1095"/>
      <c r="B1878" s="1454">
        <v>1628</v>
      </c>
      <c r="C1878" s="1099">
        <v>0.99066969797962834</v>
      </c>
      <c r="D1878" s="1099">
        <v>0.9889192417759064</v>
      </c>
      <c r="E1878" s="1099">
        <v>0.99390372133255689</v>
      </c>
      <c r="F1878" s="1099">
        <v>1.0031821261631841</v>
      </c>
      <c r="G1878" s="1099">
        <v>1.0282449632841351</v>
      </c>
      <c r="H1878" s="1099">
        <v>1.0084442759427454</v>
      </c>
      <c r="I1878" s="1099">
        <v>1.0018109718635795</v>
      </c>
      <c r="K1878">
        <v>1.7522207182024616</v>
      </c>
      <c r="L1878">
        <v>0</v>
      </c>
      <c r="M1878">
        <v>1.426329101250822E-3</v>
      </c>
      <c r="N1878">
        <v>0.1288136624606159</v>
      </c>
      <c r="O1878">
        <v>0.12871264671878219</v>
      </c>
      <c r="P1878">
        <v>1.8424349617541982E-2</v>
      </c>
      <c r="Q1878">
        <v>9.0556232530567557E-4</v>
      </c>
      <c r="R1878">
        <v>1.4226869381344367E-3</v>
      </c>
      <c r="S1878">
        <v>0.11049049061244336</v>
      </c>
      <c r="T1878">
        <v>1.0345185378538684</v>
      </c>
      <c r="U1878">
        <v>0</v>
      </c>
      <c r="V1878">
        <v>0.21184951438248736</v>
      </c>
      <c r="W1878">
        <v>8.4929727501832405E-2</v>
      </c>
      <c r="X1878">
        <v>2.9707784035721732E-2</v>
      </c>
      <c r="Y1878">
        <v>3.8720848569788243E-3</v>
      </c>
    </row>
    <row r="1879" spans="1:25" x14ac:dyDescent="0.25">
      <c r="A1879" s="1095"/>
      <c r="B1879" s="1454">
        <v>1629</v>
      </c>
      <c r="C1879" s="1099">
        <v>0.96975988486872688</v>
      </c>
      <c r="D1879" s="1099">
        <v>1.0328646176659768</v>
      </c>
      <c r="E1879" s="1099">
        <v>1.0328490231407561</v>
      </c>
      <c r="F1879" s="1099">
        <v>1.0333518358440092</v>
      </c>
      <c r="G1879" s="1099">
        <v>0.97725139665043848</v>
      </c>
      <c r="H1879" s="1099">
        <v>0.9834790511569661</v>
      </c>
      <c r="I1879" s="1099">
        <v>1.0040103193488932</v>
      </c>
      <c r="K1879">
        <v>1.7836294163724771</v>
      </c>
      <c r="L1879">
        <v>0</v>
      </c>
      <c r="M1879">
        <v>1.278398140061768E-3</v>
      </c>
      <c r="N1879">
        <v>0.12984388451660051</v>
      </c>
      <c r="O1879">
        <v>0.13024987683118994</v>
      </c>
      <c r="P1879">
        <v>1.9347213977915802E-2</v>
      </c>
      <c r="Q1879">
        <v>9.4632952138532932E-4</v>
      </c>
      <c r="R1879">
        <v>1.2750259271046436E-3</v>
      </c>
      <c r="S1879">
        <v>0.10847628156734707</v>
      </c>
      <c r="T1879">
        <v>1.0644502867577275</v>
      </c>
      <c r="U1879">
        <v>0</v>
      </c>
      <c r="V1879">
        <v>0.21157696633378723</v>
      </c>
      <c r="W1879">
        <v>8.367036748020408E-2</v>
      </c>
      <c r="X1879">
        <v>3.1601381337881179E-2</v>
      </c>
      <c r="Y1879">
        <v>3.4702002613949305E-3</v>
      </c>
    </row>
    <row r="1880" spans="1:25" x14ac:dyDescent="0.25">
      <c r="A1880" s="1095"/>
      <c r="B1880" s="1454">
        <v>1630</v>
      </c>
      <c r="C1880" s="1099">
        <v>0.97237532936017379</v>
      </c>
      <c r="D1880" s="1099">
        <v>1.0014955241164316</v>
      </c>
      <c r="E1880" s="1099">
        <v>1.0049191630194472</v>
      </c>
      <c r="F1880" s="1099">
        <v>0.98927816693651183</v>
      </c>
      <c r="G1880" s="1099">
        <v>0.99451477964692192</v>
      </c>
      <c r="H1880" s="1099">
        <v>0.97617982917048085</v>
      </c>
      <c r="I1880" s="1099">
        <v>0.99802492183106772</v>
      </c>
      <c r="K1880">
        <v>1.730605146578504</v>
      </c>
      <c r="L1880">
        <v>0</v>
      </c>
      <c r="M1880">
        <v>1.3608998287757386E-3</v>
      </c>
      <c r="N1880">
        <v>0.12705143888699463</v>
      </c>
      <c r="O1880">
        <v>0.12807670943928576</v>
      </c>
      <c r="P1880">
        <v>1.8337089930873154E-2</v>
      </c>
      <c r="Q1880">
        <v>9.2849507183857436E-4</v>
      </c>
      <c r="R1880">
        <v>1.3572912464875065E-3</v>
      </c>
      <c r="S1880">
        <v>0.10878598501424602</v>
      </c>
      <c r="T1880">
        <v>1.0198561247878541</v>
      </c>
      <c r="U1880">
        <v>0</v>
      </c>
      <c r="V1880">
        <v>0.21073238072980219</v>
      </c>
      <c r="W1880">
        <v>8.3220963997041306E-2</v>
      </c>
      <c r="X1880">
        <v>2.9925467960856197E-2</v>
      </c>
      <c r="Y1880">
        <v>3.6940993419998379E-3</v>
      </c>
    </row>
    <row r="1881" spans="1:25" x14ac:dyDescent="0.25">
      <c r="A1881" s="1095"/>
      <c r="B1881" s="1454">
        <v>1631</v>
      </c>
      <c r="C1881" s="1099">
        <v>0.98066332319399674</v>
      </c>
      <c r="D1881" s="1099">
        <v>0.99256735383661088</v>
      </c>
      <c r="E1881" s="1099">
        <v>1.0163083053760535</v>
      </c>
      <c r="F1881" s="1099">
        <v>1.0166202035687388</v>
      </c>
      <c r="G1881" s="1099">
        <v>1.0065493996315236</v>
      </c>
      <c r="H1881" s="1099">
        <v>0.99762622982475235</v>
      </c>
      <c r="I1881" s="1099">
        <v>0.99260983061386021</v>
      </c>
      <c r="K1881">
        <v>1.7709208422414626</v>
      </c>
      <c r="L1881">
        <v>0</v>
      </c>
      <c r="M1881">
        <v>1.3581329230324352E-3</v>
      </c>
      <c r="N1881">
        <v>0.13123750345165022</v>
      </c>
      <c r="O1881">
        <v>0.13019325954799466</v>
      </c>
      <c r="P1881">
        <v>1.8910259771896157E-2</v>
      </c>
      <c r="Q1881">
        <v>9.3486442894299352E-4</v>
      </c>
      <c r="R1881">
        <v>1.3546259742269031E-3</v>
      </c>
      <c r="S1881">
        <v>0.1096357275434026</v>
      </c>
      <c r="T1881">
        <v>1.0477027458763044</v>
      </c>
      <c r="U1881">
        <v>0</v>
      </c>
      <c r="V1881">
        <v>0.21232883765385277</v>
      </c>
      <c r="W1881">
        <v>8.5387801436324143E-2</v>
      </c>
      <c r="X1881">
        <v>3.0906504130384708E-2</v>
      </c>
      <c r="Y1881">
        <v>3.6868453495132406E-3</v>
      </c>
    </row>
    <row r="1882" spans="1:25" x14ac:dyDescent="0.25">
      <c r="A1882" s="1095"/>
      <c r="B1882" s="1454">
        <v>1632</v>
      </c>
      <c r="C1882" s="1099">
        <v>1.0085866206798186</v>
      </c>
      <c r="D1882" s="1099">
        <v>1.0112288713823538</v>
      </c>
      <c r="E1882" s="1099">
        <v>0.98789367823753826</v>
      </c>
      <c r="F1882" s="1099">
        <v>1.0251924297884389</v>
      </c>
      <c r="G1882" s="1099">
        <v>0.96221235259346927</v>
      </c>
      <c r="H1882" s="1099">
        <v>0.98572714191714084</v>
      </c>
      <c r="I1882" s="1099">
        <v>0.99802981066168883</v>
      </c>
      <c r="K1882">
        <v>1.7535606027157034</v>
      </c>
      <c r="L1882">
        <v>0</v>
      </c>
      <c r="M1882">
        <v>1.3730250540372815E-3</v>
      </c>
      <c r="N1882">
        <v>0.12175952867070992</v>
      </c>
      <c r="O1882">
        <v>0.12838432392755603</v>
      </c>
      <c r="P1882">
        <v>1.8522644626536848E-2</v>
      </c>
      <c r="Q1882">
        <v>8.7607079666886332E-4</v>
      </c>
      <c r="R1882">
        <v>1.3694349574910182E-3</v>
      </c>
      <c r="S1882">
        <v>0.1052931296650893</v>
      </c>
      <c r="T1882">
        <v>1.0574012097349099</v>
      </c>
      <c r="U1882">
        <v>0</v>
      </c>
      <c r="V1882">
        <v>0.20759016884660711</v>
      </c>
      <c r="W1882">
        <v>8.0568128762344579E-2</v>
      </c>
      <c r="X1882">
        <v>2.9441837261647823E-2</v>
      </c>
      <c r="Y1882">
        <v>3.7271505201781395E-3</v>
      </c>
    </row>
    <row r="1883" spans="1:25" x14ac:dyDescent="0.25">
      <c r="A1883" s="1095"/>
      <c r="B1883" s="1454">
        <v>1633</v>
      </c>
      <c r="C1883" s="1099">
        <v>1.0363534450144349</v>
      </c>
      <c r="D1883" s="1099">
        <v>1.0280303013285028</v>
      </c>
      <c r="E1883" s="1099">
        <v>1.0003976486205923</v>
      </c>
      <c r="F1883" s="1099">
        <v>0.98658683685617654</v>
      </c>
      <c r="G1883" s="1099">
        <v>1.0103522897087043</v>
      </c>
      <c r="H1883" s="1099">
        <v>0.96961088619477509</v>
      </c>
      <c r="I1883" s="1099">
        <v>1.043808791181418</v>
      </c>
      <c r="K1883">
        <v>1.6953120375753894</v>
      </c>
      <c r="L1883">
        <v>0</v>
      </c>
      <c r="M1883">
        <v>1.2670315363810143E-3</v>
      </c>
      <c r="N1883">
        <v>0.11668139617718236</v>
      </c>
      <c r="O1883">
        <v>0.12342731829229249</v>
      </c>
      <c r="P1883">
        <v>1.8111601431946681E-2</v>
      </c>
      <c r="Q1883">
        <v>8.5808402489724578E-4</v>
      </c>
      <c r="R1883">
        <v>1.2636493711872523E-3</v>
      </c>
      <c r="S1883">
        <v>0.1049164886692075</v>
      </c>
      <c r="T1883">
        <v>1.0172138625332643</v>
      </c>
      <c r="U1883">
        <v>0</v>
      </c>
      <c r="V1883">
        <v>0.20523677920410252</v>
      </c>
      <c r="W1883">
        <v>7.6633634457279817E-2</v>
      </c>
      <c r="X1883">
        <v>2.8797017923941567E-2</v>
      </c>
      <c r="Y1883">
        <v>3.4392370264684428E-3</v>
      </c>
    </row>
    <row r="1884" spans="1:25" x14ac:dyDescent="0.25">
      <c r="A1884" s="1095"/>
      <c r="B1884" s="1454">
        <v>1634</v>
      </c>
      <c r="C1884" s="1099">
        <v>1.0000234173769742</v>
      </c>
      <c r="D1884" s="1099">
        <v>1.00253380394064</v>
      </c>
      <c r="E1884" s="1099">
        <v>0.98227115610280324</v>
      </c>
      <c r="F1884" s="1099">
        <v>1.0174244329641853</v>
      </c>
      <c r="G1884" s="1099">
        <v>1.0383121588072399</v>
      </c>
      <c r="H1884" s="1099">
        <v>0.98503196946861671</v>
      </c>
      <c r="I1884" s="1099">
        <v>1.022539027731892</v>
      </c>
      <c r="K1884">
        <v>1.7555405022325352</v>
      </c>
      <c r="L1884">
        <v>0</v>
      </c>
      <c r="M1884">
        <v>1.4052996511207617E-3</v>
      </c>
      <c r="N1884">
        <v>0.12252017594466162</v>
      </c>
      <c r="O1884">
        <v>0.12862341811466133</v>
      </c>
      <c r="P1884">
        <v>1.8448755695269513E-2</v>
      </c>
      <c r="Q1884">
        <v>8.814353534566064E-4</v>
      </c>
      <c r="R1884">
        <v>1.4016237603369469E-3</v>
      </c>
      <c r="S1884">
        <v>0.10923317037962176</v>
      </c>
      <c r="T1884">
        <v>1.0495617611719112</v>
      </c>
      <c r="U1884">
        <v>0</v>
      </c>
      <c r="V1884">
        <v>0.21183306635792498</v>
      </c>
      <c r="W1884">
        <v>8.134604477104182E-2</v>
      </c>
      <c r="X1884">
        <v>2.9281592504279457E-2</v>
      </c>
      <c r="Y1884">
        <v>3.8147578304887513E-3</v>
      </c>
    </row>
    <row r="1885" spans="1:25" x14ac:dyDescent="0.25">
      <c r="A1885" s="1095"/>
      <c r="B1885" s="1454">
        <v>1635</v>
      </c>
      <c r="C1885" s="1099">
        <v>0.98298533777654062</v>
      </c>
      <c r="D1885" s="1099">
        <v>1.0267365190382354</v>
      </c>
      <c r="E1885" s="1099">
        <v>0.98148163866527194</v>
      </c>
      <c r="F1885" s="1099">
        <v>0.97988432901902511</v>
      </c>
      <c r="G1885" s="1099">
        <v>0.96348153754459565</v>
      </c>
      <c r="H1885" s="1099">
        <v>1.0083133468625445</v>
      </c>
      <c r="I1885" s="1099">
        <v>0.99955467851724455</v>
      </c>
      <c r="K1885">
        <v>1.7111952517001874</v>
      </c>
      <c r="L1885">
        <v>0</v>
      </c>
      <c r="M1885">
        <v>1.4387070273585176E-3</v>
      </c>
      <c r="N1885">
        <v>0.12513817404005279</v>
      </c>
      <c r="O1885">
        <v>0.12557294546946654</v>
      </c>
      <c r="P1885">
        <v>1.7840090166049177E-2</v>
      </c>
      <c r="Q1885">
        <v>8.8746378853088047E-4</v>
      </c>
      <c r="R1885">
        <v>1.43499688173094E-3</v>
      </c>
      <c r="S1885">
        <v>0.10834160639000162</v>
      </c>
      <c r="T1885">
        <v>1.0108592962478702</v>
      </c>
      <c r="U1885">
        <v>0</v>
      </c>
      <c r="V1885">
        <v>0.20699773440740626</v>
      </c>
      <c r="W1885">
        <v>8.3123797640452135E-2</v>
      </c>
      <c r="X1885">
        <v>2.8532265230507246E-2</v>
      </c>
      <c r="Y1885">
        <v>3.9055884654766904E-3</v>
      </c>
    </row>
    <row r="1886" spans="1:25" x14ac:dyDescent="0.25">
      <c r="A1886" s="1095"/>
      <c r="B1886" s="1454">
        <v>1636</v>
      </c>
      <c r="C1886" s="1099">
        <v>0.98771855556592025</v>
      </c>
      <c r="D1886" s="1099">
        <v>0.98397135839407379</v>
      </c>
      <c r="E1886" s="1099">
        <v>1.0093392548049007</v>
      </c>
      <c r="F1886" s="1099">
        <v>1.036315623104227</v>
      </c>
      <c r="G1886" s="1099">
        <v>1.0312423687559646</v>
      </c>
      <c r="H1886" s="1099">
        <v>0.99416104357572332</v>
      </c>
      <c r="I1886" s="1099">
        <v>0.96086591511003017</v>
      </c>
      <c r="K1886">
        <v>1.7894815067213885</v>
      </c>
      <c r="L1886">
        <v>0</v>
      </c>
      <c r="M1886">
        <v>1.3734741383775236E-3</v>
      </c>
      <c r="N1886">
        <v>0.12995745380632151</v>
      </c>
      <c r="O1886">
        <v>0.13168901798057048</v>
      </c>
      <c r="P1886">
        <v>1.9068367119738146E-2</v>
      </c>
      <c r="Q1886">
        <v>9.2476136983648605E-4</v>
      </c>
      <c r="R1886">
        <v>1.36992912656844E-3</v>
      </c>
      <c r="S1886">
        <v>0.10584500604560854</v>
      </c>
      <c r="T1886">
        <v>1.0682122820481887</v>
      </c>
      <c r="U1886">
        <v>0</v>
      </c>
      <c r="V1886">
        <v>0.21418181882562756</v>
      </c>
      <c r="W1886">
        <v>8.4902372928699538E-2</v>
      </c>
      <c r="X1886">
        <v>3.0975476123100504E-2</v>
      </c>
      <c r="Y1886">
        <v>3.7284954855040906E-3</v>
      </c>
    </row>
    <row r="1887" spans="1:25" x14ac:dyDescent="0.25">
      <c r="A1887" s="1095"/>
      <c r="B1887" s="1454">
        <v>1637</v>
      </c>
      <c r="C1887" s="1099">
        <v>0.98627887104322154</v>
      </c>
      <c r="D1887" s="1099">
        <v>1.0133365642094969</v>
      </c>
      <c r="E1887" s="1099">
        <v>0.97741733438720724</v>
      </c>
      <c r="F1887" s="1099">
        <v>1.0293274883857362</v>
      </c>
      <c r="G1887" s="1099">
        <v>1.0240649429947608</v>
      </c>
      <c r="H1887" s="1099">
        <v>0.9702817453000474</v>
      </c>
      <c r="I1887" s="1099">
        <v>1.0394673768979117</v>
      </c>
      <c r="K1887">
        <v>1.7692960024726929</v>
      </c>
      <c r="L1887">
        <v>0</v>
      </c>
      <c r="M1887">
        <v>1.4085729550516281E-3</v>
      </c>
      <c r="N1887">
        <v>0.12100966486281753</v>
      </c>
      <c r="O1887">
        <v>0.12972715669527443</v>
      </c>
      <c r="P1887">
        <v>1.8578158169547679E-2</v>
      </c>
      <c r="Q1887">
        <v>8.8538018307216556E-4</v>
      </c>
      <c r="R1887">
        <v>1.4048243479638492E-3</v>
      </c>
      <c r="S1887">
        <v>0.11074734401385559</v>
      </c>
      <c r="T1887">
        <v>1.0619923241532971</v>
      </c>
      <c r="U1887">
        <v>0</v>
      </c>
      <c r="V1887">
        <v>0.21260153143289276</v>
      </c>
      <c r="W1887">
        <v>8.0579004615633026E-2</v>
      </c>
      <c r="X1887">
        <v>2.9355718178453814E-2</v>
      </c>
      <c r="Y1887">
        <v>3.8234687749357519E-3</v>
      </c>
    </row>
    <row r="1888" spans="1:25" x14ac:dyDescent="0.25">
      <c r="A1888" s="1095"/>
      <c r="B1888" s="1454">
        <v>1638</v>
      </c>
      <c r="C1888" s="1099">
        <v>1.0156546418074481</v>
      </c>
      <c r="D1888" s="1099">
        <v>1.0033261473338941</v>
      </c>
      <c r="E1888" s="1099">
        <v>0.98854685342805626</v>
      </c>
      <c r="F1888" s="1099">
        <v>0.99510371754006477</v>
      </c>
      <c r="G1888" s="1099">
        <v>0.98670393795181488</v>
      </c>
      <c r="H1888" s="1099">
        <v>1.0114366213372461</v>
      </c>
      <c r="I1888" s="1099">
        <v>0.96810368642741873</v>
      </c>
      <c r="K1888">
        <v>1.7213565040924526</v>
      </c>
      <c r="L1888">
        <v>0</v>
      </c>
      <c r="M1888">
        <v>1.4008967010608903E-3</v>
      </c>
      <c r="N1888">
        <v>0.12448494052818483</v>
      </c>
      <c r="O1888">
        <v>0.12612973306581671</v>
      </c>
      <c r="P1888">
        <v>1.8077879154769824E-2</v>
      </c>
      <c r="Q1888">
        <v>8.7330359130003451E-4</v>
      </c>
      <c r="R1888">
        <v>1.3973252157386694E-3</v>
      </c>
      <c r="S1888">
        <v>0.10350215695921489</v>
      </c>
      <c r="T1888">
        <v>1.0263476412641723</v>
      </c>
      <c r="U1888">
        <v>0</v>
      </c>
      <c r="V1888">
        <v>0.20687017679621722</v>
      </c>
      <c r="W1888">
        <v>8.2339260010668214E-2</v>
      </c>
      <c r="X1888">
        <v>2.893192559832233E-2</v>
      </c>
      <c r="Y1888">
        <v>3.8030586091070862E-3</v>
      </c>
    </row>
    <row r="1889" spans="1:25" x14ac:dyDescent="0.25">
      <c r="A1889" s="1095"/>
      <c r="B1889" s="1454">
        <v>1639</v>
      </c>
      <c r="C1889" s="1099">
        <v>1.0037794942270832</v>
      </c>
      <c r="D1889" s="1099">
        <v>1.0370689585875963</v>
      </c>
      <c r="E1889" s="1099">
        <v>1.0062648869537545</v>
      </c>
      <c r="F1889" s="1099">
        <v>1.0002087186251063</v>
      </c>
      <c r="G1889" s="1099">
        <v>1.0024638729595134</v>
      </c>
      <c r="H1889" s="1099">
        <v>0.9730227101797605</v>
      </c>
      <c r="I1889" s="1099">
        <v>1.0277847222892758</v>
      </c>
      <c r="K1889">
        <v>1.7231183948020294</v>
      </c>
      <c r="L1889">
        <v>0</v>
      </c>
      <c r="M1889">
        <v>1.2883795479062426E-3</v>
      </c>
      <c r="N1889">
        <v>0.12076888100215108</v>
      </c>
      <c r="O1889">
        <v>0.12568903501256662</v>
      </c>
      <c r="P1889">
        <v>1.8436224673754151E-2</v>
      </c>
      <c r="Q1889">
        <v>8.8821052594248114E-4</v>
      </c>
      <c r="R1889">
        <v>1.2849419472835096E-3</v>
      </c>
      <c r="S1889">
        <v>0.10623606099529222</v>
      </c>
      <c r="T1889">
        <v>1.031084744085458</v>
      </c>
      <c r="U1889">
        <v>0</v>
      </c>
      <c r="V1889">
        <v>0.20795420112534543</v>
      </c>
      <c r="W1889">
        <v>7.9042809140104378E-2</v>
      </c>
      <c r="X1889">
        <v>2.9524477442531394E-2</v>
      </c>
      <c r="Y1889">
        <v>3.4971883995066301E-3</v>
      </c>
    </row>
    <row r="1890" spans="1:25" x14ac:dyDescent="0.25">
      <c r="A1890" s="1095"/>
      <c r="B1890" s="1454">
        <v>1640</v>
      </c>
      <c r="C1890" s="1099">
        <v>1.0072606093113827</v>
      </c>
      <c r="D1890" s="1099">
        <v>1.0240960260446683</v>
      </c>
      <c r="E1890" s="1099">
        <v>1.0015810504688114</v>
      </c>
      <c r="F1890" s="1099">
        <v>0.98935280648341706</v>
      </c>
      <c r="G1890" s="1099">
        <v>1.0162943231970425</v>
      </c>
      <c r="H1890" s="1099">
        <v>1.0100453559668716</v>
      </c>
      <c r="I1890" s="1099">
        <v>0.97245648297647036</v>
      </c>
      <c r="K1890">
        <v>1.7161891006516707</v>
      </c>
      <c r="L1890">
        <v>0</v>
      </c>
      <c r="M1890">
        <v>1.3549562500740442E-3</v>
      </c>
      <c r="N1890">
        <v>0.12523829665591341</v>
      </c>
      <c r="O1890">
        <v>0.12524403447465041</v>
      </c>
      <c r="P1890">
        <v>1.8184334432913878E-2</v>
      </c>
      <c r="Q1890">
        <v>8.8530829894569905E-4</v>
      </c>
      <c r="R1890">
        <v>1.3514796021534806E-3</v>
      </c>
      <c r="S1890">
        <v>0.10336548669047857</v>
      </c>
      <c r="T1890">
        <v>1.0200309274263268</v>
      </c>
      <c r="U1890">
        <v>0</v>
      </c>
      <c r="V1890">
        <v>0.20812608423105458</v>
      </c>
      <c r="W1890">
        <v>8.2195820664330232E-2</v>
      </c>
      <c r="X1890">
        <v>2.9244002463043348E-2</v>
      </c>
      <c r="Y1890">
        <v>3.6782819619306591E-3</v>
      </c>
    </row>
    <row r="1891" spans="1:25" x14ac:dyDescent="0.25">
      <c r="A1891" s="1095"/>
      <c r="B1891" s="1454">
        <v>1641</v>
      </c>
      <c r="C1891" s="1099">
        <v>1.0098396737121351</v>
      </c>
      <c r="D1891" s="1099">
        <v>0.98019601188024352</v>
      </c>
      <c r="E1891" s="1099">
        <v>1.0140158643192587</v>
      </c>
      <c r="F1891" s="1099">
        <v>0.96553090297948951</v>
      </c>
      <c r="G1891" s="1099">
        <v>1.006596407799524</v>
      </c>
      <c r="H1891" s="1099">
        <v>1.008030959916983</v>
      </c>
      <c r="I1891" s="1099">
        <v>1.032394994944428</v>
      </c>
      <c r="K1891">
        <v>1.7058482141991549</v>
      </c>
      <c r="L1891">
        <v>0</v>
      </c>
      <c r="M1891">
        <v>1.3461020849906513E-3</v>
      </c>
      <c r="N1891">
        <v>0.12918170609039981</v>
      </c>
      <c r="O1891">
        <v>0.12531246663215326</v>
      </c>
      <c r="P1891">
        <v>1.8122625150312793E-2</v>
      </c>
      <c r="Q1891">
        <v>9.1027163971746177E-4</v>
      </c>
      <c r="R1891">
        <v>1.3426629776347651E-3</v>
      </c>
      <c r="S1891">
        <v>0.11219168949500684</v>
      </c>
      <c r="T1891">
        <v>0.99511622292090129</v>
      </c>
      <c r="U1891">
        <v>0</v>
      </c>
      <c r="V1891">
        <v>0.20752161455133158</v>
      </c>
      <c r="W1891">
        <v>8.4163460541924778E-2</v>
      </c>
      <c r="X1891">
        <v>2.9677310268372243E-2</v>
      </c>
      <c r="Y1891">
        <v>3.6542860163902074E-3</v>
      </c>
    </row>
    <row r="1892" spans="1:25" x14ac:dyDescent="0.25">
      <c r="A1892" s="1095"/>
      <c r="B1892" s="1454">
        <v>1642</v>
      </c>
      <c r="C1892" s="1099">
        <v>1.0323052273043314</v>
      </c>
      <c r="D1892" s="1099">
        <v>1.0134180504936923</v>
      </c>
      <c r="E1892" s="1099">
        <v>0.97632101824177708</v>
      </c>
      <c r="F1892" s="1099">
        <v>0.99084505199794937</v>
      </c>
      <c r="G1892" s="1099">
        <v>0.96183728867974183</v>
      </c>
      <c r="H1892" s="1099">
        <v>1.0013069418163885</v>
      </c>
      <c r="I1892" s="1099">
        <v>0.97007024466536595</v>
      </c>
      <c r="K1892">
        <v>1.7006038208081435</v>
      </c>
      <c r="L1892">
        <v>0</v>
      </c>
      <c r="M1892">
        <v>1.392530736789619E-3</v>
      </c>
      <c r="N1892">
        <v>0.11924522276991105</v>
      </c>
      <c r="O1892">
        <v>0.12448511014053994</v>
      </c>
      <c r="P1892">
        <v>1.7779401092969431E-2</v>
      </c>
      <c r="Q1892">
        <v>8.4490453909013587E-4</v>
      </c>
      <c r="R1892">
        <v>1.388941256397679E-3</v>
      </c>
      <c r="S1892">
        <v>0.10079211838415426</v>
      </c>
      <c r="T1892">
        <v>1.0223217222327652</v>
      </c>
      <c r="U1892">
        <v>0</v>
      </c>
      <c r="V1892">
        <v>0.20377609409354239</v>
      </c>
      <c r="W1892">
        <v>7.9456794190307281E-2</v>
      </c>
      <c r="X1892">
        <v>2.8125802609700563E-2</v>
      </c>
      <c r="Y1892">
        <v>3.7802402355523639E-3</v>
      </c>
    </row>
    <row r="1893" spans="1:25" x14ac:dyDescent="0.25">
      <c r="A1893" s="1095"/>
      <c r="B1893" s="1454">
        <v>1643</v>
      </c>
      <c r="C1893" s="1099">
        <v>0.95754803448321946</v>
      </c>
      <c r="D1893" s="1099">
        <v>1.0007072132445936</v>
      </c>
      <c r="E1893" s="1099">
        <v>0.99809236113131217</v>
      </c>
      <c r="F1893" s="1099">
        <v>0.9813513383305732</v>
      </c>
      <c r="G1893" s="1099">
        <v>1.0306533582145252</v>
      </c>
      <c r="H1893" s="1099">
        <v>0.99000235100317524</v>
      </c>
      <c r="I1893" s="1099">
        <v>0.97745824846223794</v>
      </c>
      <c r="K1893">
        <v>1.7304479904772923</v>
      </c>
      <c r="L1893">
        <v>0</v>
      </c>
      <c r="M1893">
        <v>1.4192823803973939E-3</v>
      </c>
      <c r="N1893">
        <v>0.12980151397660517</v>
      </c>
      <c r="O1893">
        <v>0.12826675759030104</v>
      </c>
      <c r="P1893">
        <v>1.8175671686532256E-2</v>
      </c>
      <c r="Q1893">
        <v>9.3652259080905279E-4</v>
      </c>
      <c r="R1893">
        <v>1.4155644762089649E-3</v>
      </c>
      <c r="S1893">
        <v>0.10907293954201637</v>
      </c>
      <c r="T1893">
        <v>1.0118831382300739</v>
      </c>
      <c r="U1893">
        <v>0</v>
      </c>
      <c r="V1893">
        <v>0.21339466166414173</v>
      </c>
      <c r="W1893">
        <v>8.536757831375727E-2</v>
      </c>
      <c r="X1893">
        <v>2.9700224923705783E-2</v>
      </c>
      <c r="Y1893">
        <v>3.8526998635366322E-3</v>
      </c>
    </row>
    <row r="1894" spans="1:25" x14ac:dyDescent="0.25">
      <c r="A1894" s="1095"/>
      <c r="B1894" s="1454">
        <v>1644</v>
      </c>
      <c r="C1894" s="1099">
        <v>1.0432744532616003</v>
      </c>
      <c r="D1894" s="1099">
        <v>0.97196785357345294</v>
      </c>
      <c r="E1894" s="1099">
        <v>1.0368420966037684</v>
      </c>
      <c r="F1894" s="1099">
        <v>1.0377970153124099</v>
      </c>
      <c r="G1894" s="1099">
        <v>1.0061104963542706</v>
      </c>
      <c r="H1894" s="1099">
        <v>0.96867158979486945</v>
      </c>
      <c r="I1894" s="1099">
        <v>0.98549530146275421</v>
      </c>
      <c r="K1894">
        <v>1.7691333625085728</v>
      </c>
      <c r="L1894">
        <v>0</v>
      </c>
      <c r="M1894">
        <v>1.2107810224261846E-3</v>
      </c>
      <c r="N1894">
        <v>0.1244658050240265</v>
      </c>
      <c r="O1894">
        <v>0.12960055429884754</v>
      </c>
      <c r="P1894">
        <v>1.9339847579756243E-2</v>
      </c>
      <c r="Q1894">
        <v>9.0496068694566226E-4</v>
      </c>
      <c r="R1894">
        <v>1.2075959375306684E-3</v>
      </c>
      <c r="S1894">
        <v>0.10219385714842026</v>
      </c>
      <c r="T1894">
        <v>1.068910328275025</v>
      </c>
      <c r="U1894">
        <v>0</v>
      </c>
      <c r="V1894">
        <v>0.20888534937911757</v>
      </c>
      <c r="W1894">
        <v>8.001978928339909E-2</v>
      </c>
      <c r="X1894">
        <v>3.1529377859864968E-2</v>
      </c>
      <c r="Y1894">
        <v>3.2866780580646598E-3</v>
      </c>
    </row>
    <row r="1895" spans="1:25" x14ac:dyDescent="0.25">
      <c r="A1895" s="1095"/>
      <c r="B1895" s="1454">
        <v>1645</v>
      </c>
      <c r="C1895" s="1099">
        <v>0.96288197039866863</v>
      </c>
      <c r="D1895" s="1099">
        <v>0.95219284860936371</v>
      </c>
      <c r="E1895" s="1099">
        <v>1.0083343986118196</v>
      </c>
      <c r="F1895" s="1099">
        <v>1.0224557629345661</v>
      </c>
      <c r="G1895" s="1099">
        <v>0.98921333405640322</v>
      </c>
      <c r="H1895" s="1099">
        <v>0.97570376336302034</v>
      </c>
      <c r="I1895" s="1099">
        <v>1.0184455176134837</v>
      </c>
      <c r="K1895">
        <v>1.7926221266334452</v>
      </c>
      <c r="L1895">
        <v>0</v>
      </c>
      <c r="M1895">
        <v>1.4078737532142527E-3</v>
      </c>
      <c r="N1895">
        <v>0.13280326073481691</v>
      </c>
      <c r="O1895">
        <v>0.13354783017470673</v>
      </c>
      <c r="P1895">
        <v>1.9001586821489485E-2</v>
      </c>
      <c r="Q1895">
        <v>9.6015757280327389E-4</v>
      </c>
      <c r="R1895">
        <v>1.4041815352600735E-3</v>
      </c>
      <c r="S1895">
        <v>0.11577885098258296</v>
      </c>
      <c r="T1895">
        <v>1.0539561028125393</v>
      </c>
      <c r="U1895">
        <v>0</v>
      </c>
      <c r="V1895">
        <v>0.21466483302094899</v>
      </c>
      <c r="W1895">
        <v>8.6813036256143936E-2</v>
      </c>
      <c r="X1895">
        <v>3.1278441224708103E-2</v>
      </c>
      <c r="Y1895">
        <v>3.8217192506592255E-3</v>
      </c>
    </row>
    <row r="1896" spans="1:25" x14ac:dyDescent="0.25">
      <c r="A1896" s="1095"/>
      <c r="B1896" s="1454">
        <v>1646</v>
      </c>
      <c r="C1896" s="1099">
        <v>1.0057395332456509</v>
      </c>
      <c r="D1896" s="1099">
        <v>1.0035008567782753</v>
      </c>
      <c r="E1896" s="1099">
        <v>0.98366175224397279</v>
      </c>
      <c r="F1896" s="1099">
        <v>1.0202355613170857</v>
      </c>
      <c r="G1896" s="1099">
        <v>1.0339509302167462</v>
      </c>
      <c r="H1896" s="1099">
        <v>1.0013354996048525</v>
      </c>
      <c r="I1896" s="1099">
        <v>0.98550687515296476</v>
      </c>
      <c r="K1896">
        <v>1.7567559212461401</v>
      </c>
      <c r="L1896">
        <v>0</v>
      </c>
      <c r="M1896">
        <v>1.4165480830925581E-3</v>
      </c>
      <c r="N1896">
        <v>0.12402693241423643</v>
      </c>
      <c r="O1896">
        <v>0.12850295300127737</v>
      </c>
      <c r="P1896">
        <v>1.8452501659010589E-2</v>
      </c>
      <c r="Q1896">
        <v>8.7736337719816857E-4</v>
      </c>
      <c r="R1896">
        <v>1.4129049891155124E-3</v>
      </c>
      <c r="S1896">
        <v>0.10578214659091</v>
      </c>
      <c r="T1896">
        <v>1.0524187888789516</v>
      </c>
      <c r="U1896">
        <v>0</v>
      </c>
      <c r="V1896">
        <v>0.21126424073897659</v>
      </c>
      <c r="W1896">
        <v>8.2277487672773722E-2</v>
      </c>
      <c r="X1896">
        <v>2.9311688390414124E-2</v>
      </c>
      <c r="Y1896">
        <v>3.8454616163679394E-3</v>
      </c>
    </row>
    <row r="1897" spans="1:25" x14ac:dyDescent="0.25">
      <c r="A1897" s="1095"/>
      <c r="B1897" s="1454">
        <v>1647</v>
      </c>
      <c r="C1897" s="1099">
        <v>0.98357947761016606</v>
      </c>
      <c r="D1897" s="1099">
        <v>0.98701432821533441</v>
      </c>
      <c r="E1897" s="1099">
        <v>0.98219118473452582</v>
      </c>
      <c r="F1897" s="1099">
        <v>0.97203143370740286</v>
      </c>
      <c r="G1897" s="1099">
        <v>0.98210543644318793</v>
      </c>
      <c r="H1897" s="1099">
        <v>1.0276994481304222</v>
      </c>
      <c r="I1897" s="1099">
        <v>1.025308813931604</v>
      </c>
      <c r="K1897">
        <v>1.7219027605103827</v>
      </c>
      <c r="L1897">
        <v>0</v>
      </c>
      <c r="M1897">
        <v>1.4965234139519266E-3</v>
      </c>
      <c r="N1897">
        <v>0.13045528532020603</v>
      </c>
      <c r="O1897">
        <v>0.12672151296913944</v>
      </c>
      <c r="P1897">
        <v>1.7853950034864327E-2</v>
      </c>
      <c r="Q1897">
        <v>9.0170619085455693E-4</v>
      </c>
      <c r="R1897">
        <v>1.4927620498102914E-3</v>
      </c>
      <c r="S1897">
        <v>0.11516471428534458</v>
      </c>
      <c r="T1897">
        <v>1.0027372878310468</v>
      </c>
      <c r="U1897">
        <v>0</v>
      </c>
      <c r="V1897">
        <v>0.20860807989372557</v>
      </c>
      <c r="W1897">
        <v>8.6618656437420505E-2</v>
      </c>
      <c r="X1897">
        <v>2.8782522701215146E-2</v>
      </c>
      <c r="Y1897">
        <v>4.0628062107061456E-3</v>
      </c>
    </row>
    <row r="1898" spans="1:25" x14ac:dyDescent="0.25">
      <c r="A1898" s="1095"/>
      <c r="B1898" s="1454">
        <v>1648</v>
      </c>
      <c r="C1898" s="1099">
        <v>1.0061457825436992</v>
      </c>
      <c r="D1898" s="1099">
        <v>0.97498185755526412</v>
      </c>
      <c r="E1898" s="1099">
        <v>1.0080271053188921</v>
      </c>
      <c r="F1898" s="1099">
        <v>0.99591865146936398</v>
      </c>
      <c r="G1898" s="1099">
        <v>1.0211701230458259</v>
      </c>
      <c r="H1898" s="1099">
        <v>1.0042511790804589</v>
      </c>
      <c r="I1898" s="1099">
        <v>0.98360734073168743</v>
      </c>
      <c r="K1898">
        <v>1.7392584874645816</v>
      </c>
      <c r="L1898">
        <v>0</v>
      </c>
      <c r="M1898">
        <v>1.3704760927021231E-3</v>
      </c>
      <c r="N1898">
        <v>0.12916435362808454</v>
      </c>
      <c r="O1898">
        <v>0.12806499296654442</v>
      </c>
      <c r="P1898">
        <v>1.8448750000890544E-2</v>
      </c>
      <c r="Q1898">
        <v>9.0993053922996557E-4</v>
      </c>
      <c r="R1898">
        <v>1.3669736744803638E-3</v>
      </c>
      <c r="S1898">
        <v>0.10753518621944397</v>
      </c>
      <c r="T1898">
        <v>1.0266104456375997</v>
      </c>
      <c r="U1898">
        <v>0</v>
      </c>
      <c r="V1898">
        <v>0.210284022264836</v>
      </c>
      <c r="W1898">
        <v>8.4449618287063516E-2</v>
      </c>
      <c r="X1898">
        <v>3.0074238619924077E-2</v>
      </c>
      <c r="Y1898">
        <v>3.7204517191848649E-3</v>
      </c>
    </row>
    <row r="1899" spans="1:25" x14ac:dyDescent="0.25">
      <c r="A1899" s="1095"/>
      <c r="B1899" s="1454">
        <v>1649</v>
      </c>
      <c r="C1899" s="1099">
        <v>0.97838488055554507</v>
      </c>
      <c r="D1899" s="1099">
        <v>1.0007141508906197</v>
      </c>
      <c r="E1899" s="1099">
        <v>0.96530373678796222</v>
      </c>
      <c r="F1899" s="1099">
        <v>0.98563062249952815</v>
      </c>
      <c r="G1899" s="1099">
        <v>1.0149351309845192</v>
      </c>
      <c r="H1899" s="1099">
        <v>0.96685996982689582</v>
      </c>
      <c r="I1899" s="1099">
        <v>0.99948154243070908</v>
      </c>
      <c r="K1899">
        <v>1.7153276068286518</v>
      </c>
      <c r="L1899">
        <v>0</v>
      </c>
      <c r="M1899">
        <v>1.4550347849202991E-3</v>
      </c>
      <c r="N1899">
        <v>0.12049800170368569</v>
      </c>
      <c r="O1899">
        <v>0.1273547541209977</v>
      </c>
      <c r="P1899">
        <v>1.7748372855228206E-2</v>
      </c>
      <c r="Q1899">
        <v>8.856427323549825E-4</v>
      </c>
      <c r="R1899">
        <v>1.4511407429189022E-3</v>
      </c>
      <c r="S1899">
        <v>0.1076099621128539</v>
      </c>
      <c r="T1899">
        <v>1.0172739188203141</v>
      </c>
      <c r="U1899">
        <v>0</v>
      </c>
      <c r="V1899">
        <v>0.21090867195096433</v>
      </c>
      <c r="W1899">
        <v>8.0831415170022028E-2</v>
      </c>
      <c r="X1899">
        <v>2.8271234670422373E-2</v>
      </c>
      <c r="Y1899">
        <v>3.9495267338079138E-3</v>
      </c>
    </row>
    <row r="1900" spans="1:25" x14ac:dyDescent="0.25">
      <c r="A1900" s="1095"/>
      <c r="B1900" s="1454">
        <v>1650</v>
      </c>
      <c r="C1900" s="1099">
        <v>1.0370029778565908</v>
      </c>
      <c r="D1900" s="1099">
        <v>1.0085163460172861</v>
      </c>
      <c r="E1900" s="1099">
        <v>0.97845518095731354</v>
      </c>
      <c r="F1900" s="1099">
        <v>0.96842960826503299</v>
      </c>
      <c r="G1900" s="1099">
        <v>0.99299550714689111</v>
      </c>
      <c r="H1900" s="1099">
        <v>0.98296945874105013</v>
      </c>
      <c r="I1900" s="1099">
        <v>0.97444447293691838</v>
      </c>
      <c r="K1900">
        <v>1.6701430812365907</v>
      </c>
      <c r="L1900">
        <v>0</v>
      </c>
      <c r="M1900">
        <v>1.3565992908113208E-3</v>
      </c>
      <c r="N1900">
        <v>0.11691520483264647</v>
      </c>
      <c r="O1900">
        <v>0.12279787126283204</v>
      </c>
      <c r="P1900">
        <v>1.7485348710975453E-2</v>
      </c>
      <c r="Q1900">
        <v>8.4459925548637329E-4</v>
      </c>
      <c r="R1900">
        <v>1.3530348923365629E-3</v>
      </c>
      <c r="S1900">
        <v>9.9793643812239125E-2</v>
      </c>
      <c r="T1900">
        <v>0.99913136138733127</v>
      </c>
      <c r="U1900">
        <v>0</v>
      </c>
      <c r="V1900">
        <v>0.20389827892243567</v>
      </c>
      <c r="W1900">
        <v>7.780369584301855E-2</v>
      </c>
      <c r="X1900">
        <v>2.779412665899058E-2</v>
      </c>
      <c r="Y1900">
        <v>3.682514949107739E-3</v>
      </c>
    </row>
    <row r="1901" spans="1:25" x14ac:dyDescent="0.25">
      <c r="A1901" s="1095"/>
      <c r="B1901" s="1454">
        <v>1651</v>
      </c>
      <c r="C1901" s="1099">
        <v>1.0029443505816082</v>
      </c>
      <c r="D1901" s="1099">
        <v>1.0056069598600039</v>
      </c>
      <c r="E1901" s="1099">
        <v>0.97809295094645821</v>
      </c>
      <c r="F1901" s="1099">
        <v>1.0156876570350111</v>
      </c>
      <c r="G1901" s="1099">
        <v>1.0306938903741933</v>
      </c>
      <c r="H1901" s="1099">
        <v>1.0131136892869803</v>
      </c>
      <c r="I1901" s="1099">
        <v>1.0423418035636363</v>
      </c>
      <c r="K1901">
        <v>1.7603391906779857</v>
      </c>
      <c r="L1901">
        <v>0</v>
      </c>
      <c r="M1901">
        <v>1.4511744616646169E-3</v>
      </c>
      <c r="N1901">
        <v>0.12493931726063713</v>
      </c>
      <c r="O1901">
        <v>0.12818712370227614</v>
      </c>
      <c r="P1901">
        <v>1.8405707764568877E-2</v>
      </c>
      <c r="Q1901">
        <v>8.7395831948744983E-4</v>
      </c>
      <c r="R1901">
        <v>1.4474819958130135E-3</v>
      </c>
      <c r="S1901">
        <v>0.11284857090912047</v>
      </c>
      <c r="T1901">
        <v>1.0478987895127323</v>
      </c>
      <c r="U1901">
        <v>0</v>
      </c>
      <c r="V1901">
        <v>0.21102675690321915</v>
      </c>
      <c r="W1901">
        <v>8.3161723457818457E-2</v>
      </c>
      <c r="X1901">
        <v>2.9061366483686811E-2</v>
      </c>
      <c r="Y1901">
        <v>3.9395688302913427E-3</v>
      </c>
    </row>
    <row r="1902" spans="1:25" x14ac:dyDescent="0.25">
      <c r="A1902" s="1095"/>
      <c r="B1902" s="1454">
        <v>1652</v>
      </c>
      <c r="C1902" s="1099">
        <v>0.99133406778699029</v>
      </c>
      <c r="D1902" s="1099">
        <v>1.0204070501035079</v>
      </c>
      <c r="E1902" s="1099">
        <v>1.0005268971934398</v>
      </c>
      <c r="F1902" s="1099">
        <v>0.99889392092421647</v>
      </c>
      <c r="G1902" s="1099">
        <v>1.0105629136134227</v>
      </c>
      <c r="H1902" s="1099">
        <v>0.96120895034748954</v>
      </c>
      <c r="I1902" s="1099">
        <v>0.99514774745681844</v>
      </c>
      <c r="K1902">
        <v>1.7240020093170285</v>
      </c>
      <c r="L1902">
        <v>0</v>
      </c>
      <c r="M1902">
        <v>1.3151907941896313E-3</v>
      </c>
      <c r="N1902">
        <v>0.12116050290543989</v>
      </c>
      <c r="O1902">
        <v>0.12694173780734336</v>
      </c>
      <c r="P1902">
        <v>1.8340166109238176E-2</v>
      </c>
      <c r="Q1902">
        <v>8.9984736757590304E-4</v>
      </c>
      <c r="R1902">
        <v>1.3116454433131971E-3</v>
      </c>
      <c r="S1902">
        <v>0.10429907953910399</v>
      </c>
      <c r="T1902">
        <v>1.0298991643953628</v>
      </c>
      <c r="U1902">
        <v>0</v>
      </c>
      <c r="V1902">
        <v>0.20979036912855387</v>
      </c>
      <c r="W1902">
        <v>7.9569297478337297E-2</v>
      </c>
      <c r="X1902">
        <v>2.9535523424054896E-2</v>
      </c>
      <c r="Y1902">
        <v>3.5698665128943391E-3</v>
      </c>
    </row>
    <row r="1903" spans="1:25" x14ac:dyDescent="0.25">
      <c r="A1903" s="1095"/>
      <c r="B1903" s="1454">
        <v>1653</v>
      </c>
      <c r="C1903" s="1099">
        <v>0.99074303603687175</v>
      </c>
      <c r="D1903" s="1099">
        <v>0.98350350679741561</v>
      </c>
      <c r="E1903" s="1099">
        <v>1.0387846522551312</v>
      </c>
      <c r="F1903" s="1099">
        <v>1.0115642989774356</v>
      </c>
      <c r="G1903" s="1099">
        <v>1.0139675055083996</v>
      </c>
      <c r="H1903" s="1099">
        <v>1.0046277796084675</v>
      </c>
      <c r="I1903" s="1099">
        <v>0.979104893373001</v>
      </c>
      <c r="K1903">
        <v>1.7676606233414882</v>
      </c>
      <c r="L1903">
        <v>0</v>
      </c>
      <c r="M1903">
        <v>1.2993692781409262E-3</v>
      </c>
      <c r="N1903">
        <v>0.13436622628809827</v>
      </c>
      <c r="O1903">
        <v>0.12978854343032784</v>
      </c>
      <c r="P1903">
        <v>1.9113687990716402E-2</v>
      </c>
      <c r="Q1903">
        <v>9.5033120509604519E-4</v>
      </c>
      <c r="R1903">
        <v>1.2960446049681831E-3</v>
      </c>
      <c r="S1903">
        <v>0.10820922041727946</v>
      </c>
      <c r="T1903">
        <v>1.0418349352668408</v>
      </c>
      <c r="U1903">
        <v>0</v>
      </c>
      <c r="V1903">
        <v>0.21189082087092637</v>
      </c>
      <c r="W1903">
        <v>8.6288068669642531E-2</v>
      </c>
      <c r="X1903">
        <v>3.1694707701998094E-2</v>
      </c>
      <c r="Y1903">
        <v>3.5274061737341897E-3</v>
      </c>
    </row>
    <row r="1904" spans="1:25" x14ac:dyDescent="0.25">
      <c r="A1904" s="1095"/>
      <c r="B1904" s="1454">
        <v>1654</v>
      </c>
      <c r="C1904" s="1099">
        <v>1.0037374040245783</v>
      </c>
      <c r="D1904" s="1099">
        <v>0.98347638310618679</v>
      </c>
      <c r="E1904" s="1099">
        <v>0.99345023122280007</v>
      </c>
      <c r="F1904" s="1099">
        <v>1.0032881393992314</v>
      </c>
      <c r="G1904" s="1099">
        <v>1.0413036908893327</v>
      </c>
      <c r="H1904" s="1099">
        <v>1.0152211118597847</v>
      </c>
      <c r="I1904" s="1099">
        <v>1.0104371312168094</v>
      </c>
      <c r="K1904">
        <v>1.7514318435763416</v>
      </c>
      <c r="L1904">
        <v>0</v>
      </c>
      <c r="M1904">
        <v>1.4247487922751123E-3</v>
      </c>
      <c r="N1904">
        <v>0.12849758858854343</v>
      </c>
      <c r="O1904">
        <v>0.12828887265281444</v>
      </c>
      <c r="P1904">
        <v>1.8421453988340442E-2</v>
      </c>
      <c r="Q1904">
        <v>8.9532556847846285E-4</v>
      </c>
      <c r="R1904">
        <v>1.4211427148409636E-3</v>
      </c>
      <c r="S1904">
        <v>0.11092688089904526</v>
      </c>
      <c r="T1904">
        <v>1.0346414735157792</v>
      </c>
      <c r="U1904">
        <v>0</v>
      </c>
      <c r="V1904">
        <v>0.21153858410038051</v>
      </c>
      <c r="W1904">
        <v>8.4744285302839215E-2</v>
      </c>
      <c r="X1904">
        <v>2.961310304732645E-2</v>
      </c>
      <c r="Y1904">
        <v>3.8678819902270615E-3</v>
      </c>
    </row>
    <row r="1905" spans="1:25" x14ac:dyDescent="0.25">
      <c r="A1905" s="1095"/>
      <c r="B1905" s="1454">
        <v>1655</v>
      </c>
      <c r="C1905" s="1099">
        <v>1.0074654731515769</v>
      </c>
      <c r="D1905" s="1099">
        <v>1.0159207619449555</v>
      </c>
      <c r="E1905" s="1099">
        <v>0.99720848342685797</v>
      </c>
      <c r="F1905" s="1099">
        <v>0.99289560668904675</v>
      </c>
      <c r="G1905" s="1099">
        <v>0.97988234021041365</v>
      </c>
      <c r="H1905" s="1099">
        <v>0.95374387619558831</v>
      </c>
      <c r="I1905" s="1099">
        <v>1.0016662184049292</v>
      </c>
      <c r="K1905">
        <v>1.7074317073581937</v>
      </c>
      <c r="L1905">
        <v>0</v>
      </c>
      <c r="M1905">
        <v>1.2973553362212792E-3</v>
      </c>
      <c r="N1905">
        <v>0.11832310446314745</v>
      </c>
      <c r="O1905">
        <v>0.1258502615169895</v>
      </c>
      <c r="P1905">
        <v>1.8154559571730133E-2</v>
      </c>
      <c r="Q1905">
        <v>8.8395273437937309E-4</v>
      </c>
      <c r="R1905">
        <v>1.293836464555037E-3</v>
      </c>
      <c r="S1905">
        <v>0.10311725524879516</v>
      </c>
      <c r="T1905">
        <v>1.023812721518804</v>
      </c>
      <c r="U1905">
        <v>0</v>
      </c>
      <c r="V1905">
        <v>0.20675881345866476</v>
      </c>
      <c r="W1905">
        <v>7.7859449795957922E-2</v>
      </c>
      <c r="X1905">
        <v>2.9153711577947217E-2</v>
      </c>
      <c r="Y1905">
        <v>3.5213963434428974E-3</v>
      </c>
    </row>
    <row r="1906" spans="1:25" x14ac:dyDescent="0.25">
      <c r="A1906" s="1095"/>
      <c r="B1906" s="1454">
        <v>1656</v>
      </c>
      <c r="C1906" s="1099">
        <v>0.9886568810665427</v>
      </c>
      <c r="D1906" s="1099">
        <v>1.0062875126649322</v>
      </c>
      <c r="E1906" s="1099">
        <v>0.98022329618251502</v>
      </c>
      <c r="F1906" s="1099">
        <v>0.9942006855786375</v>
      </c>
      <c r="G1906" s="1099">
        <v>1.0387475203999463</v>
      </c>
      <c r="H1906" s="1099">
        <v>0.97531795126948884</v>
      </c>
      <c r="I1906" s="1099">
        <v>0.98717104522080157</v>
      </c>
      <c r="K1906">
        <v>1.724402711350606</v>
      </c>
      <c r="L1906">
        <v>0</v>
      </c>
      <c r="M1906">
        <v>1.4061716948026409E-3</v>
      </c>
      <c r="N1906">
        <v>0.12183464086541228</v>
      </c>
      <c r="O1906">
        <v>0.12728018020152329</v>
      </c>
      <c r="P1906">
        <v>1.8044882223484694E-2</v>
      </c>
      <c r="Q1906">
        <v>8.8833020417752049E-4</v>
      </c>
      <c r="R1906">
        <v>1.402443338977754E-3</v>
      </c>
      <c r="S1906">
        <v>0.10554287139559694</v>
      </c>
      <c r="T1906">
        <v>1.0256661094368034</v>
      </c>
      <c r="U1906">
        <v>0</v>
      </c>
      <c r="V1906">
        <v>0.21149688002810535</v>
      </c>
      <c r="W1906">
        <v>8.0990878831032689E-2</v>
      </c>
      <c r="X1906">
        <v>2.884467806692104E-2</v>
      </c>
      <c r="Y1906">
        <v>3.8169884533750024E-3</v>
      </c>
    </row>
    <row r="1907" spans="1:25" x14ac:dyDescent="0.25">
      <c r="A1907" s="1095"/>
      <c r="B1907" s="1454">
        <v>1657</v>
      </c>
      <c r="C1907" s="1099">
        <v>0.99597365851094855</v>
      </c>
      <c r="D1907" s="1099">
        <v>1.0052779624900599</v>
      </c>
      <c r="E1907" s="1099">
        <v>0.99090667842700442</v>
      </c>
      <c r="F1907" s="1099">
        <v>1.0020886791312758</v>
      </c>
      <c r="G1907" s="1099">
        <v>1.0036292481481608</v>
      </c>
      <c r="H1907" s="1099">
        <v>1.0117053033331846</v>
      </c>
      <c r="I1907" s="1099">
        <v>0.97875962616237522</v>
      </c>
      <c r="K1907">
        <v>1.7404949371764973</v>
      </c>
      <c r="L1907">
        <v>0</v>
      </c>
      <c r="M1907">
        <v>1.4189351417627613E-3</v>
      </c>
      <c r="N1907">
        <v>0.12699033658071118</v>
      </c>
      <c r="O1907">
        <v>0.12758846698013124</v>
      </c>
      <c r="P1907">
        <v>1.8285373732668007E-2</v>
      </c>
      <c r="Q1907">
        <v>8.9206039297002801E-4</v>
      </c>
      <c r="R1907">
        <v>1.415313654162746E-3</v>
      </c>
      <c r="S1907">
        <v>0.10653383729427097</v>
      </c>
      <c r="T1907">
        <v>1.0334808933407862</v>
      </c>
      <c r="U1907">
        <v>0</v>
      </c>
      <c r="V1907">
        <v>0.20964616168997757</v>
      </c>
      <c r="W1907">
        <v>8.3877742262201974E-2</v>
      </c>
      <c r="X1907">
        <v>2.9351669181769884E-2</v>
      </c>
      <c r="Y1907">
        <v>3.8520172086102902E-3</v>
      </c>
    </row>
    <row r="1908" spans="1:25" x14ac:dyDescent="0.25">
      <c r="A1908" s="1095"/>
      <c r="B1908" s="1454">
        <v>1658</v>
      </c>
      <c r="C1908" s="1099">
        <v>0.99523597996104518</v>
      </c>
      <c r="D1908" s="1099">
        <v>0.98645888530920134</v>
      </c>
      <c r="E1908" s="1099">
        <v>0.99221335270518307</v>
      </c>
      <c r="F1908" s="1099">
        <v>1.0137489693815509</v>
      </c>
      <c r="G1908" s="1099">
        <v>0.99309543141607592</v>
      </c>
      <c r="H1908" s="1099">
        <v>1.003766919487634</v>
      </c>
      <c r="I1908" s="1099">
        <v>0.9941186125983178</v>
      </c>
      <c r="K1908">
        <v>1.7594748463259362</v>
      </c>
      <c r="L1908">
        <v>0</v>
      </c>
      <c r="M1908">
        <v>1.4221012966882274E-3</v>
      </c>
      <c r="N1908">
        <v>0.12777634589997955</v>
      </c>
      <c r="O1908">
        <v>0.12939000738170159</v>
      </c>
      <c r="P1908">
        <v>1.8510255426076486E-2</v>
      </c>
      <c r="Q1908">
        <v>9.0072026253593097E-4</v>
      </c>
      <c r="R1908">
        <v>1.4184594968217536E-3</v>
      </c>
      <c r="S1908">
        <v>0.10906778437013953</v>
      </c>
      <c r="T1908">
        <v>1.0454667523752317</v>
      </c>
      <c r="U1908">
        <v>0</v>
      </c>
      <c r="V1908">
        <v>0.21038394658169729</v>
      </c>
      <c r="W1908">
        <v>8.4330948545410941E-2</v>
      </c>
      <c r="X1908">
        <v>2.9791148127727662E-2</v>
      </c>
      <c r="Y1908">
        <v>3.8605791553013554E-3</v>
      </c>
    </row>
    <row r="1909" spans="1:25" x14ac:dyDescent="0.25">
      <c r="A1909" s="1095"/>
      <c r="B1909" s="1454">
        <v>1659</v>
      </c>
      <c r="C1909" s="1099">
        <v>0.98874247165382723</v>
      </c>
      <c r="D1909" s="1099">
        <v>1.0004526954154436</v>
      </c>
      <c r="E1909" s="1099">
        <v>1.0395194446123204</v>
      </c>
      <c r="F1909" s="1099">
        <v>1.0209259921015437</v>
      </c>
      <c r="G1909" s="1099">
        <v>1.0204563576441783</v>
      </c>
      <c r="H1909" s="1099">
        <v>1.0027477424246019</v>
      </c>
      <c r="I1909" s="1099">
        <v>1.0442808274335167</v>
      </c>
      <c r="K1909">
        <v>1.7822514443964641</v>
      </c>
      <c r="L1909">
        <v>0</v>
      </c>
      <c r="M1909">
        <v>1.2853899628774326E-3</v>
      </c>
      <c r="N1909">
        <v>0.1332136700290896</v>
      </c>
      <c r="O1909">
        <v>0.12981152716847877</v>
      </c>
      <c r="P1909">
        <v>1.9351405273656887E-2</v>
      </c>
      <c r="Q1909">
        <v>9.4647389115314366E-4</v>
      </c>
      <c r="R1909">
        <v>1.282086323210062E-3</v>
      </c>
      <c r="S1909">
        <v>0.11434071060641866</v>
      </c>
      <c r="T1909">
        <v>1.0514553416074524</v>
      </c>
      <c r="U1909">
        <v>0</v>
      </c>
      <c r="V1909">
        <v>0.21234592727659957</v>
      </c>
      <c r="W1909">
        <v>8.5511693368614666E-2</v>
      </c>
      <c r="X1909">
        <v>3.1788582482534002E-2</v>
      </c>
      <c r="Y1909">
        <v>3.4894163321349293E-3</v>
      </c>
    </row>
    <row r="1910" spans="1:25" x14ac:dyDescent="0.25">
      <c r="A1910" s="1095"/>
      <c r="B1910" s="1454">
        <v>1660</v>
      </c>
      <c r="C1910" s="1099">
        <v>0.98612889367334644</v>
      </c>
      <c r="D1910" s="1099">
        <v>1.0336669653536918</v>
      </c>
      <c r="E1910" s="1099">
        <v>1.0074267498677452</v>
      </c>
      <c r="F1910" s="1099">
        <v>0.98832271686192086</v>
      </c>
      <c r="G1910" s="1099">
        <v>1.0052023262578718</v>
      </c>
      <c r="H1910" s="1099">
        <v>1.0118725695861381</v>
      </c>
      <c r="I1910" s="1099">
        <v>1.0310322507347112</v>
      </c>
      <c r="K1910">
        <v>1.7292109023600708</v>
      </c>
      <c r="L1910">
        <v>0</v>
      </c>
      <c r="M1910">
        <v>1.3598301551522719E-3</v>
      </c>
      <c r="N1910">
        <v>0.12792698726292198</v>
      </c>
      <c r="O1910">
        <v>0.12585133345359903</v>
      </c>
      <c r="P1910">
        <v>1.8368427770509028E-2</v>
      </c>
      <c r="Q1910">
        <v>9.0638479105484792E-4</v>
      </c>
      <c r="R1910">
        <v>1.3563348663037493E-3</v>
      </c>
      <c r="S1910">
        <v>0.11130958301398657</v>
      </c>
      <c r="T1910">
        <v>1.0187979248134422</v>
      </c>
      <c r="U1910">
        <v>0</v>
      </c>
      <c r="V1910">
        <v>0.20906199222831659</v>
      </c>
      <c r="W1910">
        <v>8.3670277747247626E-2</v>
      </c>
      <c r="X1910">
        <v>2.9629990177429406E-2</v>
      </c>
      <c r="Y1910">
        <v>3.6914963904102933E-3</v>
      </c>
    </row>
    <row r="1911" spans="1:25" x14ac:dyDescent="0.25">
      <c r="A1911" s="1095"/>
      <c r="B1911" s="1454">
        <v>1661</v>
      </c>
      <c r="C1911" s="1099">
        <v>1.0058726556552582</v>
      </c>
      <c r="D1911" s="1099">
        <v>1.0384443671889152</v>
      </c>
      <c r="E1911" s="1099">
        <v>0.98234539669691423</v>
      </c>
      <c r="F1911" s="1099">
        <v>1.0274031701452417</v>
      </c>
      <c r="G1911" s="1099">
        <v>0.99091339844818538</v>
      </c>
      <c r="H1911" s="1099">
        <v>1.0100257125394549</v>
      </c>
      <c r="I1911" s="1099">
        <v>1.0272150218495135</v>
      </c>
      <c r="K1911">
        <v>1.7605076666587036</v>
      </c>
      <c r="L1911">
        <v>0</v>
      </c>
      <c r="M1911">
        <v>1.404615708693721E-3</v>
      </c>
      <c r="N1911">
        <v>0.12249428059513366</v>
      </c>
      <c r="O1911">
        <v>0.12743905071786968</v>
      </c>
      <c r="P1911">
        <v>1.8534675124510656E-2</v>
      </c>
      <c r="Q1911">
        <v>8.6412724031316131E-4</v>
      </c>
      <c r="R1911">
        <v>1.4010128320852493E-3</v>
      </c>
      <c r="S1911">
        <v>0.10857657523318191</v>
      </c>
      <c r="T1911">
        <v>1.059853388478323</v>
      </c>
      <c r="U1911">
        <v>0</v>
      </c>
      <c r="V1911">
        <v>0.20850688294905789</v>
      </c>
      <c r="W1911">
        <v>8.1325212730719035E-2</v>
      </c>
      <c r="X1911">
        <v>2.9103981381021909E-2</v>
      </c>
      <c r="Y1911">
        <v>3.8130950851800747E-3</v>
      </c>
    </row>
    <row r="1912" spans="1:25" x14ac:dyDescent="0.25">
      <c r="A1912" s="1095"/>
      <c r="B1912" s="1454">
        <v>1662</v>
      </c>
      <c r="C1912" s="1099">
        <v>0.99489553155555699</v>
      </c>
      <c r="D1912" s="1099">
        <v>1.0280352078266954</v>
      </c>
      <c r="E1912" s="1099">
        <v>0.99485212678660362</v>
      </c>
      <c r="F1912" s="1099">
        <v>1.0155433421640701</v>
      </c>
      <c r="G1912" s="1099">
        <v>0.99546894194339486</v>
      </c>
      <c r="H1912" s="1099">
        <v>0.98390244317440889</v>
      </c>
      <c r="I1912" s="1099">
        <v>0.99075432033480992</v>
      </c>
      <c r="K1912">
        <v>1.7448780068898821</v>
      </c>
      <c r="L1912">
        <v>0</v>
      </c>
      <c r="M1912">
        <v>1.3536378569696784E-3</v>
      </c>
      <c r="N1912">
        <v>0.12259000906602187</v>
      </c>
      <c r="O1912">
        <v>0.12764629978883366</v>
      </c>
      <c r="P1912">
        <v>1.8497287192530756E-2</v>
      </c>
      <c r="Q1912">
        <v>8.8870824445104978E-4</v>
      </c>
      <c r="R1912">
        <v>1.3500740161797805E-3</v>
      </c>
      <c r="S1912">
        <v>0.10464759528185116</v>
      </c>
      <c r="T1912">
        <v>1.0472370886254434</v>
      </c>
      <c r="U1912">
        <v>0</v>
      </c>
      <c r="V1912">
        <v>0.2093824178187102</v>
      </c>
      <c r="W1912">
        <v>8.0780583635785344E-2</v>
      </c>
      <c r="X1912">
        <v>2.9537124656780826E-2</v>
      </c>
      <c r="Y1912">
        <v>3.6744564202615391E-3</v>
      </c>
    </row>
    <row r="1913" spans="1:25" x14ac:dyDescent="0.25">
      <c r="A1913" s="1095"/>
      <c r="B1913" s="1454">
        <v>1663</v>
      </c>
      <c r="C1913" s="1099">
        <v>0.99915888010898901</v>
      </c>
      <c r="D1913" s="1099">
        <v>0.99656075474954753</v>
      </c>
      <c r="E1913" s="1099">
        <v>1.0147692329247604</v>
      </c>
      <c r="F1913" s="1099">
        <v>1.0100529372384983</v>
      </c>
      <c r="G1913" s="1099">
        <v>0.9952545391171268</v>
      </c>
      <c r="H1913" s="1099">
        <v>0.96417323265859367</v>
      </c>
      <c r="I1913" s="1099">
        <v>0.97312551212165388</v>
      </c>
      <c r="K1913">
        <v>1.740677520951041</v>
      </c>
      <c r="L1913">
        <v>0</v>
      </c>
      <c r="M1913">
        <v>1.2906491295711527E-3</v>
      </c>
      <c r="N1913">
        <v>0.12412750451713545</v>
      </c>
      <c r="O1913">
        <v>0.12851885776606811</v>
      </c>
      <c r="P1913">
        <v>1.8668721689571986E-2</v>
      </c>
      <c r="Q1913">
        <v>9.1463788961970586E-4</v>
      </c>
      <c r="R1913">
        <v>1.2872016072385984E-3</v>
      </c>
      <c r="S1913">
        <v>0.10301396462787235</v>
      </c>
      <c r="T1913">
        <v>1.0409801840535917</v>
      </c>
      <c r="U1913">
        <v>0</v>
      </c>
      <c r="V1913">
        <v>0.20971361758943369</v>
      </c>
      <c r="W1913">
        <v>8.0834792196085609E-2</v>
      </c>
      <c r="X1913">
        <v>3.040534969498743E-2</v>
      </c>
      <c r="Y1913">
        <v>3.5033384490076791E-3</v>
      </c>
    </row>
    <row r="1914" spans="1:25" x14ac:dyDescent="0.25">
      <c r="A1914" s="1095"/>
      <c r="B1914" s="1454">
        <v>1664</v>
      </c>
      <c r="C1914" s="1099">
        <v>1.0133560228503968</v>
      </c>
      <c r="D1914" s="1099">
        <v>0.99404033947424708</v>
      </c>
      <c r="E1914" s="1099">
        <v>0.9956610857330348</v>
      </c>
      <c r="F1914" s="1099">
        <v>0.97316606756937307</v>
      </c>
      <c r="G1914" s="1099">
        <v>1.0021175936745306</v>
      </c>
      <c r="H1914" s="1099">
        <v>0.99941948265753755</v>
      </c>
      <c r="I1914" s="1099">
        <v>0.97239908888529913</v>
      </c>
      <c r="K1914">
        <v>1.6972866885544966</v>
      </c>
      <c r="L1914">
        <v>0</v>
      </c>
      <c r="M1914">
        <v>1.3716781113148823E-3</v>
      </c>
      <c r="N1914">
        <v>0.12453434145564228</v>
      </c>
      <c r="O1914">
        <v>0.12502676527615317</v>
      </c>
      <c r="P1914">
        <v>1.7870311300632328E-2</v>
      </c>
      <c r="Q1914">
        <v>8.8507771766951958E-4</v>
      </c>
      <c r="R1914">
        <v>1.3681377540259167E-3</v>
      </c>
      <c r="S1914">
        <v>0.10385710402562826</v>
      </c>
      <c r="T1914">
        <v>1.0035137623196042</v>
      </c>
      <c r="U1914">
        <v>0</v>
      </c>
      <c r="V1914">
        <v>0.2069542615168998</v>
      </c>
      <c r="W1914">
        <v>8.2022205898269959E-2</v>
      </c>
      <c r="X1914">
        <v>2.8902779441315987E-2</v>
      </c>
      <c r="Y1914">
        <v>3.723619959969142E-3</v>
      </c>
    </row>
    <row r="1915" spans="1:25" x14ac:dyDescent="0.25">
      <c r="A1915" s="1095"/>
      <c r="B1915" s="1454">
        <v>1665</v>
      </c>
      <c r="C1915" s="1099">
        <v>1.0042627018380312</v>
      </c>
      <c r="D1915" s="1099">
        <v>0.99927275159395712</v>
      </c>
      <c r="E1915" s="1099">
        <v>1.0186309536115152</v>
      </c>
      <c r="F1915" s="1099">
        <v>0.9899756068635952</v>
      </c>
      <c r="G1915" s="1099">
        <v>1.0112752400189944</v>
      </c>
      <c r="H1915" s="1099">
        <v>0.98647438924613384</v>
      </c>
      <c r="I1915" s="1099">
        <v>0.9847162699528913</v>
      </c>
      <c r="K1915">
        <v>1.72236699317927</v>
      </c>
      <c r="L1915">
        <v>0</v>
      </c>
      <c r="M1915">
        <v>1.2994864351519369E-3</v>
      </c>
      <c r="N1915">
        <v>0.12644933233609501</v>
      </c>
      <c r="O1915">
        <v>0.12662353377272717</v>
      </c>
      <c r="P1915">
        <v>1.8450682214090859E-2</v>
      </c>
      <c r="Q1915">
        <v>9.1261538316842221E-4</v>
      </c>
      <c r="R1915">
        <v>1.2960875662614568E-3</v>
      </c>
      <c r="S1915">
        <v>0.10498462119170598</v>
      </c>
      <c r="T1915">
        <v>1.0201763460616784</v>
      </c>
      <c r="U1915">
        <v>0</v>
      </c>
      <c r="V1915">
        <v>0.20894147853952913</v>
      </c>
      <c r="W1915">
        <v>8.2160502233458305E-2</v>
      </c>
      <c r="X1915">
        <v>3.0143757215495157E-2</v>
      </c>
      <c r="Y1915">
        <v>3.5275231002122949E-3</v>
      </c>
    </row>
    <row r="1916" spans="1:25" x14ac:dyDescent="0.25">
      <c r="A1916" s="1095"/>
      <c r="B1916" s="1454">
        <v>1666</v>
      </c>
      <c r="C1916" s="1099">
        <v>0.97087766423318123</v>
      </c>
      <c r="D1916" s="1099">
        <v>1.0098208722770405</v>
      </c>
      <c r="E1916" s="1099">
        <v>0.99260424623613286</v>
      </c>
      <c r="F1916" s="1099">
        <v>1.0270444822403435</v>
      </c>
      <c r="G1916" s="1099">
        <v>0.97718572565425854</v>
      </c>
      <c r="H1916" s="1099">
        <v>1.0017529741928386</v>
      </c>
      <c r="I1916" s="1099">
        <v>1.0423985625318783</v>
      </c>
      <c r="K1916">
        <v>1.7844358729539065</v>
      </c>
      <c r="L1916">
        <v>0</v>
      </c>
      <c r="M1916">
        <v>1.4324405050778601E-3</v>
      </c>
      <c r="N1916">
        <v>0.12885505515095447</v>
      </c>
      <c r="O1916">
        <v>0.13060768198882736</v>
      </c>
      <c r="P1916">
        <v>1.8804649484964187E-2</v>
      </c>
      <c r="Q1916">
        <v>9.1508634432108549E-4</v>
      </c>
      <c r="R1916">
        <v>1.4287451194192405E-3</v>
      </c>
      <c r="S1916">
        <v>0.11533167826500242</v>
      </c>
      <c r="T1916">
        <v>1.059166224943523</v>
      </c>
      <c r="U1916">
        <v>0</v>
      </c>
      <c r="V1916">
        <v>0.2117200318091442</v>
      </c>
      <c r="W1916">
        <v>8.502301031374053E-2</v>
      </c>
      <c r="X1916">
        <v>3.0127576809730151E-2</v>
      </c>
      <c r="Y1916">
        <v>3.8885732293571368E-3</v>
      </c>
    </row>
    <row r="1917" spans="1:25" x14ac:dyDescent="0.25">
      <c r="A1917" s="1095"/>
      <c r="B1917" s="1454">
        <v>1667</v>
      </c>
      <c r="C1917" s="1099">
        <v>1.0289985993956625</v>
      </c>
      <c r="D1917" s="1099">
        <v>0.98748950633209409</v>
      </c>
      <c r="E1917" s="1099">
        <v>0.99540111407849041</v>
      </c>
      <c r="F1917" s="1099">
        <v>0.99536910417927105</v>
      </c>
      <c r="G1917" s="1099">
        <v>0.99787253518308039</v>
      </c>
      <c r="H1917" s="1099">
        <v>1.0044278127351896</v>
      </c>
      <c r="I1917" s="1099">
        <v>1.0000678454739165</v>
      </c>
      <c r="K1917">
        <v>1.723545013308641</v>
      </c>
      <c r="L1917">
        <v>0</v>
      </c>
      <c r="M1917">
        <v>1.3680645115389987E-3</v>
      </c>
      <c r="N1917">
        <v>0.12411175006131898</v>
      </c>
      <c r="O1917">
        <v>0.1262339961511483</v>
      </c>
      <c r="P1917">
        <v>1.8208165019822281E-2</v>
      </c>
      <c r="Q1917">
        <v>8.7369519193698645E-4</v>
      </c>
      <c r="R1917">
        <v>1.3645668562515673E-3</v>
      </c>
      <c r="S1917">
        <v>0.10618426159181772</v>
      </c>
      <c r="T1917">
        <v>1.0264169162755916</v>
      </c>
      <c r="U1917">
        <v>0</v>
      </c>
      <c r="V1917">
        <v>0.2068352717379226</v>
      </c>
      <c r="W1917">
        <v>8.1756550138199643E-2</v>
      </c>
      <c r="X1917">
        <v>2.9214003642795465E-2</v>
      </c>
      <c r="Y1917">
        <v>3.713901153373497E-3</v>
      </c>
    </row>
    <row r="1918" spans="1:25" x14ac:dyDescent="0.25">
      <c r="A1918" s="1095"/>
      <c r="B1918" s="1454">
        <v>1668</v>
      </c>
      <c r="C1918" s="1099">
        <v>1.0052620033505586</v>
      </c>
      <c r="D1918" s="1099">
        <v>0.99351285197403705</v>
      </c>
      <c r="E1918" s="1099">
        <v>0.99410138924251912</v>
      </c>
      <c r="F1918" s="1099">
        <v>1.0452684743173384</v>
      </c>
      <c r="G1918" s="1099">
        <v>0.98605601086431527</v>
      </c>
      <c r="H1918" s="1099">
        <v>1.0087287432392158</v>
      </c>
      <c r="I1918" s="1099">
        <v>0.97640576567488369</v>
      </c>
      <c r="K1918">
        <v>1.790666316696307</v>
      </c>
      <c r="L1918">
        <v>0</v>
      </c>
      <c r="M1918">
        <v>1.4082703641557066E-3</v>
      </c>
      <c r="N1918">
        <v>0.1272601107067341</v>
      </c>
      <c r="O1918">
        <v>0.13090679703599739</v>
      </c>
      <c r="P1918">
        <v>1.8940798224421095E-2</v>
      </c>
      <c r="Q1918">
        <v>8.9094764358062456E-4</v>
      </c>
      <c r="R1918">
        <v>1.404689185114197E-3</v>
      </c>
      <c r="S1918">
        <v>0.10616774938705957</v>
      </c>
      <c r="T1918">
        <v>1.0779133587826715</v>
      </c>
      <c r="U1918">
        <v>0</v>
      </c>
      <c r="V1918">
        <v>0.21061271367459894</v>
      </c>
      <c r="W1918">
        <v>8.3895532409089951E-2</v>
      </c>
      <c r="X1918">
        <v>3.0258789104979429E-2</v>
      </c>
      <c r="Y1918">
        <v>3.8231009062154207E-3</v>
      </c>
    </row>
    <row r="1919" spans="1:25" x14ac:dyDescent="0.25">
      <c r="A1919" s="1095"/>
      <c r="B1919" s="1454">
        <v>1669</v>
      </c>
      <c r="C1919" s="1099">
        <v>0.97970365664633963</v>
      </c>
      <c r="D1919" s="1099">
        <v>0.99023497343324984</v>
      </c>
      <c r="E1919" s="1099">
        <v>0.96511823741978531</v>
      </c>
      <c r="F1919" s="1099">
        <v>1.0272233742365391</v>
      </c>
      <c r="G1919" s="1099">
        <v>1.0015536471273481</v>
      </c>
      <c r="H1919" s="1099">
        <v>0.99763249328421089</v>
      </c>
      <c r="I1919" s="1099">
        <v>0.9963064199748799</v>
      </c>
      <c r="K1919">
        <v>1.7760726206750284</v>
      </c>
      <c r="L1919">
        <v>0</v>
      </c>
      <c r="M1919">
        <v>1.5148693015219028E-3</v>
      </c>
      <c r="N1919">
        <v>0.1253949383222181</v>
      </c>
      <c r="O1919">
        <v>0.13094690940201106</v>
      </c>
      <c r="P1919">
        <v>1.8374714549119205E-2</v>
      </c>
      <c r="Q1919">
        <v>8.8800862213839053E-4</v>
      </c>
      <c r="R1919">
        <v>1.5109625972820329E-3</v>
      </c>
      <c r="S1919">
        <v>0.11028005907359655</v>
      </c>
      <c r="T1919">
        <v>1.0602078527201282</v>
      </c>
      <c r="U1919">
        <v>0</v>
      </c>
      <c r="V1919">
        <v>0.21264644789945289</v>
      </c>
      <c r="W1919">
        <v>8.4125868916572963E-2</v>
      </c>
      <c r="X1919">
        <v>2.9099385772917128E-2</v>
      </c>
      <c r="Y1919">
        <v>4.1123421011153623E-3</v>
      </c>
    </row>
    <row r="1920" spans="1:25" x14ac:dyDescent="0.25">
      <c r="A1920" s="1095"/>
      <c r="B1920" s="1454">
        <v>1670</v>
      </c>
      <c r="C1920" s="1099">
        <v>0.98788924815009382</v>
      </c>
      <c r="D1920" s="1099">
        <v>0.98782116415719334</v>
      </c>
      <c r="E1920" s="1099">
        <v>0.99794222203754634</v>
      </c>
      <c r="F1920" s="1099">
        <v>1.0009348220456704</v>
      </c>
      <c r="G1920" s="1099">
        <v>1.0084197550112668</v>
      </c>
      <c r="H1920" s="1099">
        <v>0.99298271799961191</v>
      </c>
      <c r="I1920" s="1099">
        <v>0.98014290546430838</v>
      </c>
      <c r="K1920">
        <v>1.743896695461733</v>
      </c>
      <c r="L1920">
        <v>0</v>
      </c>
      <c r="M1920">
        <v>1.3969701061065801E-3</v>
      </c>
      <c r="N1920">
        <v>0.12770626920991698</v>
      </c>
      <c r="O1920">
        <v>0.12875232112402418</v>
      </c>
      <c r="P1920">
        <v>1.8393703685119344E-2</v>
      </c>
      <c r="Q1920">
        <v>9.1233507934157878E-4</v>
      </c>
      <c r="R1920">
        <v>1.3933465315786506E-3</v>
      </c>
      <c r="S1920">
        <v>0.10737691972226431</v>
      </c>
      <c r="T1920">
        <v>1.0320803794481381</v>
      </c>
      <c r="U1920">
        <v>0</v>
      </c>
      <c r="V1920">
        <v>0.2110560806772375</v>
      </c>
      <c r="W1920">
        <v>8.3997089121132337E-2</v>
      </c>
      <c r="X1920">
        <v>2.9832991026686725E-2</v>
      </c>
      <c r="Y1920">
        <v>3.7922299423963956E-3</v>
      </c>
    </row>
    <row r="1921" spans="1:25" x14ac:dyDescent="0.25">
      <c r="A1921" s="1095"/>
      <c r="B1921" s="1454">
        <v>1671</v>
      </c>
      <c r="C1921" s="1099">
        <v>0.99671463232238167</v>
      </c>
      <c r="D1921" s="1099">
        <v>1.0006039179829773</v>
      </c>
      <c r="E1921" s="1099">
        <v>0.99145946598688961</v>
      </c>
      <c r="F1921" s="1099">
        <v>0.99037211439809747</v>
      </c>
      <c r="G1921" s="1099">
        <v>0.99168604906433444</v>
      </c>
      <c r="H1921" s="1099">
        <v>1.0290002430924212</v>
      </c>
      <c r="I1921" s="1099">
        <v>0.99676798404823141</v>
      </c>
      <c r="K1921">
        <v>1.7336257598519489</v>
      </c>
      <c r="L1921">
        <v>0</v>
      </c>
      <c r="M1921">
        <v>1.4430345125619479E-3</v>
      </c>
      <c r="N1921">
        <v>0.12936869995424846</v>
      </c>
      <c r="O1921">
        <v>0.1268740044086995</v>
      </c>
      <c r="P1921">
        <v>1.8159090659461714E-2</v>
      </c>
      <c r="Q1921">
        <v>8.9357486194373227E-4</v>
      </c>
      <c r="R1921">
        <v>1.4394131141462121E-3</v>
      </c>
      <c r="S1921">
        <v>0.10986519168821657</v>
      </c>
      <c r="T1921">
        <v>1.021380868032393</v>
      </c>
      <c r="U1921">
        <v>0</v>
      </c>
      <c r="V1921">
        <v>0.2085340634711548</v>
      </c>
      <c r="W1921">
        <v>8.542039750459314E-2</v>
      </c>
      <c r="X1921">
        <v>2.9215882675351898E-2</v>
      </c>
      <c r="Y1921">
        <v>3.9176079943004354E-3</v>
      </c>
    </row>
    <row r="1922" spans="1:25" x14ac:dyDescent="0.25">
      <c r="A1922" s="1095"/>
      <c r="B1922" s="1454">
        <v>1672</v>
      </c>
      <c r="C1922" s="1099">
        <v>1.0137605847574211</v>
      </c>
      <c r="D1922" s="1099">
        <v>0.9881267921822483</v>
      </c>
      <c r="E1922" s="1099">
        <v>1.0015360924879342</v>
      </c>
      <c r="F1922" s="1099">
        <v>0.9756230903137022</v>
      </c>
      <c r="G1922" s="1099">
        <v>1.0143487386195911</v>
      </c>
      <c r="H1922" s="1099">
        <v>1.0217674566228681</v>
      </c>
      <c r="I1922" s="1099">
        <v>1.0017770200429634</v>
      </c>
      <c r="K1922">
        <v>1.7128950985539249</v>
      </c>
      <c r="L1922">
        <v>0</v>
      </c>
      <c r="M1922">
        <v>1.390026307476848E-3</v>
      </c>
      <c r="N1922">
        <v>0.12846812844298064</v>
      </c>
      <c r="O1922">
        <v>0.12548196016028146</v>
      </c>
      <c r="P1922">
        <v>1.8062417748708311E-2</v>
      </c>
      <c r="Q1922">
        <v>8.9226110035525621E-4</v>
      </c>
      <c r="R1922">
        <v>1.3865218655005874E-3</v>
      </c>
      <c r="S1922">
        <v>0.10892653654107483</v>
      </c>
      <c r="T1922">
        <v>1.0058767783328302</v>
      </c>
      <c r="U1922">
        <v>0</v>
      </c>
      <c r="V1922">
        <v>0.2078320407273648</v>
      </c>
      <c r="W1922">
        <v>8.4317859171770634E-2</v>
      </c>
      <c r="X1922">
        <v>2.9266965319453445E-2</v>
      </c>
      <c r="Y1922">
        <v>3.7736554510824764E-3</v>
      </c>
    </row>
    <row r="1923" spans="1:25" x14ac:dyDescent="0.25">
      <c r="A1923" s="1095"/>
      <c r="B1923" s="1454">
        <v>1673</v>
      </c>
      <c r="C1923" s="1099">
        <v>0.97922694745825156</v>
      </c>
      <c r="D1923" s="1099">
        <v>1.0400650604298791</v>
      </c>
      <c r="E1923" s="1099">
        <v>0.99713088394202742</v>
      </c>
      <c r="F1923" s="1099">
        <v>0.98816510945316927</v>
      </c>
      <c r="G1923" s="1099">
        <v>0.98130671673212211</v>
      </c>
      <c r="H1923" s="1099">
        <v>0.9962470230955135</v>
      </c>
      <c r="I1923" s="1099">
        <v>0.96983315418138993</v>
      </c>
      <c r="K1923">
        <v>1.7163394633544904</v>
      </c>
      <c r="L1923">
        <v>0</v>
      </c>
      <c r="M1923">
        <v>1.37159331492709E-3</v>
      </c>
      <c r="N1923">
        <v>0.12507669864682416</v>
      </c>
      <c r="O1923">
        <v>0.12587641703935804</v>
      </c>
      <c r="P1923">
        <v>1.8118936992994196E-2</v>
      </c>
      <c r="Q1923">
        <v>9.0086682900974611E-4</v>
      </c>
      <c r="R1923">
        <v>1.3680062449390636E-3</v>
      </c>
      <c r="S1923">
        <v>0.10392909462575703</v>
      </c>
      <c r="T1923">
        <v>1.0189372104361689</v>
      </c>
      <c r="U1923">
        <v>0</v>
      </c>
      <c r="V1923">
        <v>0.20828108948656887</v>
      </c>
      <c r="W1923">
        <v>8.230728176288786E-2</v>
      </c>
      <c r="X1923">
        <v>2.919219256932333E-2</v>
      </c>
      <c r="Y1923">
        <v>3.7232620355866861E-3</v>
      </c>
    </row>
    <row r="1924" spans="1:25" x14ac:dyDescent="0.25">
      <c r="A1924" s="1095"/>
      <c r="B1924" s="1454">
        <v>1674</v>
      </c>
      <c r="C1924" s="1099">
        <v>0.98021128882730102</v>
      </c>
      <c r="D1924" s="1099">
        <v>0.96662641191981058</v>
      </c>
      <c r="E1924" s="1099">
        <v>0.97144990165320821</v>
      </c>
      <c r="F1924" s="1099">
        <v>1.0122119696931744</v>
      </c>
      <c r="G1924" s="1099">
        <v>0.97424976152265541</v>
      </c>
      <c r="H1924" s="1099">
        <v>0.9949856515476454</v>
      </c>
      <c r="I1924" s="1099">
        <v>0.98075526375364286</v>
      </c>
      <c r="K1924">
        <v>1.7616058163036497</v>
      </c>
      <c r="L1924">
        <v>0</v>
      </c>
      <c r="M1924">
        <v>1.5098552321779763E-3</v>
      </c>
      <c r="N1924">
        <v>0.12739958146444619</v>
      </c>
      <c r="O1924">
        <v>0.13093082696696021</v>
      </c>
      <c r="P1924">
        <v>1.823073046046635E-2</v>
      </c>
      <c r="Q1924">
        <v>9.021606112812416E-4</v>
      </c>
      <c r="R1924">
        <v>1.5059638658871826E-3</v>
      </c>
      <c r="S1924">
        <v>0.10986425884183711</v>
      </c>
      <c r="T1924">
        <v>1.044517831301883</v>
      </c>
      <c r="U1924">
        <v>0</v>
      </c>
      <c r="V1924">
        <v>0.21125780549382245</v>
      </c>
      <c r="W1924">
        <v>8.514156902801219E-2</v>
      </c>
      <c r="X1924">
        <v>2.9266206299141881E-2</v>
      </c>
      <c r="Y1924">
        <v>4.0987372020899427E-3</v>
      </c>
    </row>
    <row r="1925" spans="1:25" x14ac:dyDescent="0.25">
      <c r="A1925" s="1095"/>
      <c r="B1925" s="1454">
        <v>1675</v>
      </c>
      <c r="C1925" s="1099">
        <v>0.98081137182133893</v>
      </c>
      <c r="D1925" s="1099">
        <v>1.0216905751358585</v>
      </c>
      <c r="E1925" s="1099">
        <v>1.0305479593619735</v>
      </c>
      <c r="F1925" s="1099">
        <v>1.0231892997745611</v>
      </c>
      <c r="G1925" s="1099">
        <v>1.014468603737479</v>
      </c>
      <c r="H1925" s="1099">
        <v>1.03664464480216</v>
      </c>
      <c r="I1925" s="1099">
        <v>1.0225126483655189</v>
      </c>
      <c r="K1925">
        <v>1.7883321189000765</v>
      </c>
      <c r="L1925">
        <v>0</v>
      </c>
      <c r="M1925">
        <v>1.3474522210833533E-3</v>
      </c>
      <c r="N1925">
        <v>0.1359307698760189</v>
      </c>
      <c r="O1925">
        <v>0.12938915498542147</v>
      </c>
      <c r="P1925">
        <v>1.9252802806249702E-2</v>
      </c>
      <c r="Q1925">
        <v>9.3754446009805038E-4</v>
      </c>
      <c r="R1925">
        <v>1.3440873668992626E-3</v>
      </c>
      <c r="S1925">
        <v>0.11379669849614824</v>
      </c>
      <c r="T1925">
        <v>1.0540496915518978</v>
      </c>
      <c r="U1925">
        <v>0</v>
      </c>
      <c r="V1925">
        <v>0.21219856780919952</v>
      </c>
      <c r="W1925">
        <v>8.7709628816702523E-2</v>
      </c>
      <c r="X1925">
        <v>3.141246221810344E-2</v>
      </c>
      <c r="Y1925">
        <v>3.6581627344183755E-3</v>
      </c>
    </row>
    <row r="1926" spans="1:25" x14ac:dyDescent="0.25">
      <c r="A1926" s="1095"/>
      <c r="B1926" s="1454">
        <v>1676</v>
      </c>
      <c r="C1926" s="1099">
        <v>1.0073686830743862</v>
      </c>
      <c r="D1926" s="1099">
        <v>0.98454960459637797</v>
      </c>
      <c r="E1926" s="1099">
        <v>0.98752369216363656</v>
      </c>
      <c r="F1926" s="1099">
        <v>1.0032045019377198</v>
      </c>
      <c r="G1926" s="1099">
        <v>0.98321756123248805</v>
      </c>
      <c r="H1926" s="1099">
        <v>0.98620960424140724</v>
      </c>
      <c r="I1926" s="1099">
        <v>1.0160239944784064</v>
      </c>
      <c r="K1926">
        <v>1.7378155139318341</v>
      </c>
      <c r="L1926">
        <v>0</v>
      </c>
      <c r="M1926">
        <v>1.395596075828863E-3</v>
      </c>
      <c r="N1926">
        <v>0.12362390896341353</v>
      </c>
      <c r="O1926">
        <v>0.12802205198395833</v>
      </c>
      <c r="P1926">
        <v>1.8271990875227729E-2</v>
      </c>
      <c r="Q1926">
        <v>8.8621890683751375E-4</v>
      </c>
      <c r="R1926">
        <v>1.3919602062746938E-3</v>
      </c>
      <c r="S1926">
        <v>0.10900945103778306</v>
      </c>
      <c r="T1926">
        <v>1.0347336503261593</v>
      </c>
      <c r="U1926">
        <v>0</v>
      </c>
      <c r="V1926">
        <v>0.20837059736609131</v>
      </c>
      <c r="W1926">
        <v>8.1819952691231629E-2</v>
      </c>
      <c r="X1926">
        <v>2.9292870828762658E-2</v>
      </c>
      <c r="Y1926">
        <v>3.7884568219210399E-3</v>
      </c>
    </row>
    <row r="1927" spans="1:25" x14ac:dyDescent="0.25">
      <c r="A1927" s="1095"/>
      <c r="B1927" s="1454">
        <v>1677</v>
      </c>
      <c r="C1927" s="1099">
        <v>1.0006781752999161</v>
      </c>
      <c r="D1927" s="1099">
        <v>0.99135020773085658</v>
      </c>
      <c r="E1927" s="1099">
        <v>1.0348632564608076</v>
      </c>
      <c r="F1927" s="1099">
        <v>0.99080274760048748</v>
      </c>
      <c r="G1927" s="1099">
        <v>1.0410543503059062</v>
      </c>
      <c r="H1927" s="1099">
        <v>1.0249301112644791</v>
      </c>
      <c r="I1927" s="1099">
        <v>0.97937167112454704</v>
      </c>
      <c r="K1927">
        <v>1.7420979734977891</v>
      </c>
      <c r="L1927">
        <v>0</v>
      </c>
      <c r="M1927">
        <v>1.3157817157242531E-3</v>
      </c>
      <c r="N1927">
        <v>0.13447122379082035</v>
      </c>
      <c r="O1927">
        <v>0.12729810588635593</v>
      </c>
      <c r="P1927">
        <v>1.8746197320344105E-2</v>
      </c>
      <c r="Q1927">
        <v>9.3417775974684086E-4</v>
      </c>
      <c r="R1927">
        <v>1.3124735487009557E-3</v>
      </c>
      <c r="S1927">
        <v>0.10796008541981114</v>
      </c>
      <c r="T1927">
        <v>1.020563368832031</v>
      </c>
      <c r="U1927">
        <v>0</v>
      </c>
      <c r="V1927">
        <v>0.21101144433554953</v>
      </c>
      <c r="W1927">
        <v>8.6551238044913839E-2</v>
      </c>
      <c r="X1927">
        <v>3.0993319932464063E-2</v>
      </c>
      <c r="Y1927">
        <v>3.5721203427749515E-3</v>
      </c>
    </row>
    <row r="1928" spans="1:25" x14ac:dyDescent="0.25">
      <c r="A1928" s="1095"/>
      <c r="B1928" s="1454">
        <v>1678</v>
      </c>
      <c r="C1928" s="1099">
        <v>0.99799255767563733</v>
      </c>
      <c r="D1928" s="1099">
        <v>1.0003304748336299</v>
      </c>
      <c r="E1928" s="1099">
        <v>1.0416723690977703</v>
      </c>
      <c r="F1928" s="1099">
        <v>0.97072982639570005</v>
      </c>
      <c r="G1928" s="1099">
        <v>0.98275703528093317</v>
      </c>
      <c r="H1928" s="1099">
        <v>1.0006833333259608</v>
      </c>
      <c r="I1928" s="1099">
        <v>0.99789932070337284</v>
      </c>
      <c r="K1928">
        <v>1.7096172692645102</v>
      </c>
      <c r="L1928">
        <v>0</v>
      </c>
      <c r="M1928">
        <v>1.2606716315317948E-3</v>
      </c>
      <c r="N1928">
        <v>0.1315000639348281</v>
      </c>
      <c r="O1928">
        <v>0.12551375888208974</v>
      </c>
      <c r="P1928">
        <v>1.848886414802119E-2</v>
      </c>
      <c r="Q1928">
        <v>9.397980485893431E-4</v>
      </c>
      <c r="R1928">
        <v>1.2574131265075832E-3</v>
      </c>
      <c r="S1928">
        <v>0.1078639051835497</v>
      </c>
      <c r="T1928">
        <v>0.999698512689567</v>
      </c>
      <c r="U1928">
        <v>0</v>
      </c>
      <c r="V1928">
        <v>0.20711202377402302</v>
      </c>
      <c r="W1928">
        <v>8.4307152208833461E-2</v>
      </c>
      <c r="X1928">
        <v>3.0774184875802E-2</v>
      </c>
      <c r="Y1928">
        <v>3.4222640242278887E-3</v>
      </c>
    </row>
    <row r="1929" spans="1:25" x14ac:dyDescent="0.25">
      <c r="A1929" s="1095"/>
      <c r="B1929" s="1454">
        <v>1679</v>
      </c>
      <c r="C1929" s="1099">
        <v>0.98167667590146024</v>
      </c>
      <c r="D1929" s="1099">
        <v>1.0159934919303457</v>
      </c>
      <c r="E1929" s="1099">
        <v>1.0001348585251482</v>
      </c>
      <c r="F1929" s="1099">
        <v>0.97403543553949024</v>
      </c>
      <c r="G1929" s="1099">
        <v>1.0276311261229758</v>
      </c>
      <c r="H1929" s="1099">
        <v>1.0442027747360512</v>
      </c>
      <c r="I1929" s="1099">
        <v>1.0228313023408668</v>
      </c>
      <c r="K1929">
        <v>1.7269551869707243</v>
      </c>
      <c r="L1929">
        <v>0</v>
      </c>
      <c r="M1929">
        <v>1.4433063775506222E-3</v>
      </c>
      <c r="N1929">
        <v>0.1328334248749721</v>
      </c>
      <c r="O1929">
        <v>0.12573890809266175</v>
      </c>
      <c r="P1929">
        <v>1.8128386011152894E-2</v>
      </c>
      <c r="Q1929">
        <v>9.0990682696592731E-4</v>
      </c>
      <c r="R1929">
        <v>1.4397170178585164E-3</v>
      </c>
      <c r="S1929">
        <v>0.11429920124516482</v>
      </c>
      <c r="T1929">
        <v>1.0042804299238226</v>
      </c>
      <c r="U1929">
        <v>0</v>
      </c>
      <c r="V1929">
        <v>0.2102698749634079</v>
      </c>
      <c r="W1929">
        <v>8.725553658514644E-2</v>
      </c>
      <c r="X1929">
        <v>2.9324672687098791E-2</v>
      </c>
      <c r="Y1929">
        <v>3.9184351200234977E-3</v>
      </c>
    </row>
    <row r="1930" spans="1:25" x14ac:dyDescent="0.25">
      <c r="A1930" s="1095"/>
      <c r="B1930" s="1454">
        <v>1680</v>
      </c>
      <c r="C1930" s="1099">
        <v>1.0099222934133583</v>
      </c>
      <c r="D1930" s="1099">
        <v>0.96232600735996632</v>
      </c>
      <c r="E1930" s="1099">
        <v>0.97874993798768239</v>
      </c>
      <c r="F1930" s="1099">
        <v>0.98304699054631417</v>
      </c>
      <c r="G1930" s="1099">
        <v>0.99074052102997001</v>
      </c>
      <c r="H1930" s="1099">
        <v>1.0015014831857016</v>
      </c>
      <c r="I1930" s="1099">
        <v>1.0322593865167558</v>
      </c>
      <c r="K1930">
        <v>1.723529848990502</v>
      </c>
      <c r="L1930">
        <v>0</v>
      </c>
      <c r="M1930">
        <v>1.456694580278257E-3</v>
      </c>
      <c r="N1930">
        <v>0.12566238118497017</v>
      </c>
      <c r="O1930">
        <v>0.1273591746753735</v>
      </c>
      <c r="P1930">
        <v>1.7926093853773195E-2</v>
      </c>
      <c r="Q1930">
        <v>8.8393692262397547E-4</v>
      </c>
      <c r="R1930">
        <v>1.4529675927439823E-3</v>
      </c>
      <c r="S1930">
        <v>0.11302653910422727</v>
      </c>
      <c r="T1930">
        <v>1.0142033541879729</v>
      </c>
      <c r="U1930">
        <v>0</v>
      </c>
      <c r="V1930">
        <v>0.20812756104148822</v>
      </c>
      <c r="W1930">
        <v>8.3609790560625591E-2</v>
      </c>
      <c r="X1930">
        <v>2.8780245630171664E-2</v>
      </c>
      <c r="Y1930">
        <v>3.9544988168108983E-3</v>
      </c>
    </row>
    <row r="1931" spans="1:25" x14ac:dyDescent="0.25">
      <c r="A1931" s="1095"/>
      <c r="B1931" s="1454">
        <v>1681</v>
      </c>
      <c r="C1931" s="1099">
        <v>1.0050500775566713</v>
      </c>
      <c r="D1931" s="1099">
        <v>0.97989894625740348</v>
      </c>
      <c r="E1931" s="1099">
        <v>0.9984482113868931</v>
      </c>
      <c r="F1931" s="1099">
        <v>1.0265475701729223</v>
      </c>
      <c r="G1931" s="1099">
        <v>1.0012921962693133</v>
      </c>
      <c r="H1931" s="1099">
        <v>1.0381780822438991</v>
      </c>
      <c r="I1931" s="1099">
        <v>1.0051170893384489</v>
      </c>
      <c r="K1931">
        <v>1.7851463413641679</v>
      </c>
      <c r="L1931">
        <v>0</v>
      </c>
      <c r="M1931">
        <v>1.4462157524333908E-3</v>
      </c>
      <c r="N1931">
        <v>0.13242712178902993</v>
      </c>
      <c r="O1931">
        <v>0.13017921373486938</v>
      </c>
      <c r="P1931">
        <v>1.8823442323123118E-2</v>
      </c>
      <c r="Q1931">
        <v>9.0012287980236947E-4</v>
      </c>
      <c r="R1931">
        <v>1.4426463059728676E-3</v>
      </c>
      <c r="S1931">
        <v>0.11223587527049463</v>
      </c>
      <c r="T1931">
        <v>1.0584746371290048</v>
      </c>
      <c r="U1931">
        <v>0</v>
      </c>
      <c r="V1931">
        <v>0.21083442537413638</v>
      </c>
      <c r="W1931">
        <v>8.7075938865656594E-2</v>
      </c>
      <c r="X1931">
        <v>3.0272725767878792E-2</v>
      </c>
      <c r="Y1931">
        <v>3.9264076766311927E-3</v>
      </c>
    </row>
    <row r="1932" spans="1:25" x14ac:dyDescent="0.25">
      <c r="A1932" s="1095"/>
      <c r="B1932" s="1454">
        <v>1682</v>
      </c>
      <c r="C1932" s="1099">
        <v>1.0361424629832916</v>
      </c>
      <c r="D1932" s="1099">
        <v>0.99968973014920148</v>
      </c>
      <c r="E1932" s="1099">
        <v>1.0144735402814375</v>
      </c>
      <c r="F1932" s="1099">
        <v>1.040853362415362</v>
      </c>
      <c r="G1932" s="1099">
        <v>0.96351235039648553</v>
      </c>
      <c r="H1932" s="1099">
        <v>0.99934134595751256</v>
      </c>
      <c r="I1932" s="1099">
        <v>1.0079066559229268</v>
      </c>
      <c r="K1932">
        <v>1.7732405539855751</v>
      </c>
      <c r="L1932">
        <v>0</v>
      </c>
      <c r="M1932">
        <v>1.295401488656409E-3</v>
      </c>
      <c r="N1932">
        <v>0.12448671489879386</v>
      </c>
      <c r="O1932">
        <v>0.12878462522083975</v>
      </c>
      <c r="P1932">
        <v>1.9093538667893404E-2</v>
      </c>
      <c r="Q1932">
        <v>8.80618035232848E-4</v>
      </c>
      <c r="R1932">
        <v>1.2920791449092786E-3</v>
      </c>
      <c r="S1932">
        <v>0.10545093868149807</v>
      </c>
      <c r="T1932">
        <v>1.0727327162549294</v>
      </c>
      <c r="U1932">
        <v>0</v>
      </c>
      <c r="V1932">
        <v>0.20663416026646775</v>
      </c>
      <c r="W1932">
        <v>8.1082803814323742E-2</v>
      </c>
      <c r="X1932">
        <v>3.0581146990675958E-2</v>
      </c>
      <c r="Y1932">
        <v>3.516613498667409E-3</v>
      </c>
    </row>
    <row r="1933" spans="1:25" x14ac:dyDescent="0.25">
      <c r="A1933" s="1095"/>
      <c r="B1933" s="1454">
        <v>1683</v>
      </c>
      <c r="C1933" s="1099">
        <v>1.0092353650525339</v>
      </c>
      <c r="D1933" s="1099">
        <v>1.0194427499320151</v>
      </c>
      <c r="E1933" s="1099">
        <v>1.0082705034320707</v>
      </c>
      <c r="F1933" s="1099">
        <v>1.0123161064441764</v>
      </c>
      <c r="G1933" s="1099">
        <v>1.0056463523978034</v>
      </c>
      <c r="H1933" s="1099">
        <v>1.020927299921311</v>
      </c>
      <c r="I1933" s="1099">
        <v>1.0024089958660038</v>
      </c>
      <c r="K1933">
        <v>1.7514083384060881</v>
      </c>
      <c r="L1933">
        <v>0</v>
      </c>
      <c r="M1933">
        <v>1.3544763326455199E-3</v>
      </c>
      <c r="N1933">
        <v>0.1277534113629574</v>
      </c>
      <c r="O1933">
        <v>0.12710009018889387</v>
      </c>
      <c r="P1933">
        <v>1.8663549753679703E-2</v>
      </c>
      <c r="Q1933">
        <v>8.9133157538520138E-4</v>
      </c>
      <c r="R1933">
        <v>1.3510480991957058E-3</v>
      </c>
      <c r="S1933">
        <v>0.10754497816580912</v>
      </c>
      <c r="T1933">
        <v>1.0435059654402012</v>
      </c>
      <c r="U1933">
        <v>0</v>
      </c>
      <c r="V1933">
        <v>0.2087896824192218</v>
      </c>
      <c r="W1933">
        <v>8.351511782434301E-2</v>
      </c>
      <c r="X1933">
        <v>2.9970532355921502E-2</v>
      </c>
      <c r="Y1933">
        <v>3.6771075531245082E-3</v>
      </c>
    </row>
    <row r="1934" spans="1:25" x14ac:dyDescent="0.25">
      <c r="A1934" s="1095"/>
      <c r="B1934" s="1454">
        <v>1684</v>
      </c>
      <c r="C1934" s="1099">
        <v>1.0421258753856459</v>
      </c>
      <c r="D1934" s="1099">
        <v>0.98908172589320098</v>
      </c>
      <c r="E1934" s="1099">
        <v>1.0227961404095922</v>
      </c>
      <c r="F1934" s="1099">
        <v>1.0185840501973145</v>
      </c>
      <c r="G1934" s="1099">
        <v>1.0066025839107837</v>
      </c>
      <c r="H1934" s="1099">
        <v>0.97794690949207952</v>
      </c>
      <c r="I1934" s="1099">
        <v>1.0027708788357541</v>
      </c>
      <c r="K1934">
        <v>1.7436510561782921</v>
      </c>
      <c r="L1934">
        <v>0</v>
      </c>
      <c r="M1934">
        <v>1.2449961846353031E-3</v>
      </c>
      <c r="N1934">
        <v>0.12267842789396802</v>
      </c>
      <c r="O1934">
        <v>0.12736276993056855</v>
      </c>
      <c r="P1934">
        <v>1.8872535645012276E-2</v>
      </c>
      <c r="Q1934">
        <v>8.8685099171513743E-4</v>
      </c>
      <c r="R1934">
        <v>1.2417357300072152E-3</v>
      </c>
      <c r="S1934">
        <v>0.1034740609826242</v>
      </c>
      <c r="T1934">
        <v>1.049534021961374</v>
      </c>
      <c r="U1934">
        <v>0</v>
      </c>
      <c r="V1934">
        <v>0.20744606275234601</v>
      </c>
      <c r="W1934">
        <v>7.9516458066545073E-2</v>
      </c>
      <c r="X1934">
        <v>3.0503533089758592E-2</v>
      </c>
      <c r="Y1934">
        <v>3.3795953190062554E-3</v>
      </c>
    </row>
    <row r="1935" spans="1:25" x14ac:dyDescent="0.25">
      <c r="A1935" s="1095"/>
      <c r="B1935" s="1454">
        <v>1685</v>
      </c>
      <c r="C1935" s="1099">
        <v>1.0256737463643359</v>
      </c>
      <c r="D1935" s="1099">
        <v>1.020754693773954</v>
      </c>
      <c r="E1935" s="1099">
        <v>1.0079208042009249</v>
      </c>
      <c r="F1935" s="1099">
        <v>0.97448295996244894</v>
      </c>
      <c r="G1935" s="1099">
        <v>1.0223388111359453</v>
      </c>
      <c r="H1935" s="1099">
        <v>0.99804796735544832</v>
      </c>
      <c r="I1935" s="1099">
        <v>0.9984159225477014</v>
      </c>
      <c r="K1935">
        <v>1.6919200772326928</v>
      </c>
      <c r="L1935">
        <v>0</v>
      </c>
      <c r="M1935">
        <v>1.3003855980210778E-3</v>
      </c>
      <c r="N1935">
        <v>0.12251435742326218</v>
      </c>
      <c r="O1935">
        <v>0.12338496074803555</v>
      </c>
      <c r="P1935">
        <v>1.8035642816600105E-2</v>
      </c>
      <c r="Q1935">
        <v>8.7627881058294644E-4</v>
      </c>
      <c r="R1935">
        <v>1.2970115938481144E-3</v>
      </c>
      <c r="S1935">
        <v>0.10364767769594192</v>
      </c>
      <c r="T1935">
        <v>1.0045172129961351</v>
      </c>
      <c r="U1935">
        <v>0</v>
      </c>
      <c r="V1935">
        <v>0.20626414936858425</v>
      </c>
      <c r="W1935">
        <v>8.0106778875637927E-2</v>
      </c>
      <c r="X1935">
        <v>2.9046354503388144E-2</v>
      </c>
      <c r="Y1935">
        <v>3.5300379986975632E-3</v>
      </c>
    </row>
    <row r="1936" spans="1:25" x14ac:dyDescent="0.25">
      <c r="A1936" s="1095"/>
      <c r="B1936" s="1454">
        <v>1686</v>
      </c>
      <c r="C1936" s="1099">
        <v>1.006838413235607</v>
      </c>
      <c r="D1936" s="1099">
        <v>0.96667523128005062</v>
      </c>
      <c r="E1936" s="1099">
        <v>0.99182059312189752</v>
      </c>
      <c r="F1936" s="1099">
        <v>0.96266351142976225</v>
      </c>
      <c r="G1936" s="1099">
        <v>0.98872868216045162</v>
      </c>
      <c r="H1936" s="1099">
        <v>1.0249126551365284</v>
      </c>
      <c r="I1936" s="1099">
        <v>0.96564736850476385</v>
      </c>
      <c r="K1936">
        <v>1.7001601318512114</v>
      </c>
      <c r="L1936">
        <v>0</v>
      </c>
      <c r="M1936">
        <v>1.4484148937397813E-3</v>
      </c>
      <c r="N1936">
        <v>0.12999314512177595</v>
      </c>
      <c r="O1936">
        <v>0.12578092532767213</v>
      </c>
      <c r="P1936">
        <v>1.7721432479673557E-2</v>
      </c>
      <c r="Q1936">
        <v>8.9721800013082024E-4</v>
      </c>
      <c r="R1936">
        <v>1.4447828162348153E-3</v>
      </c>
      <c r="S1936">
        <v>0.1072318397689889</v>
      </c>
      <c r="T1936">
        <v>0.99279428205083919</v>
      </c>
      <c r="U1936">
        <v>0</v>
      </c>
      <c r="V1936">
        <v>0.20710659607425219</v>
      </c>
      <c r="W1936">
        <v>8.5814167450088713E-2</v>
      </c>
      <c r="X1936">
        <v>2.8891935102030072E-2</v>
      </c>
      <c r="Y1936">
        <v>3.9322225532637967E-3</v>
      </c>
    </row>
    <row r="1937" spans="1:25" x14ac:dyDescent="0.25">
      <c r="A1937" s="1095"/>
      <c r="B1937" s="1454">
        <v>1687</v>
      </c>
      <c r="C1937" s="1099">
        <v>0.99786616135254935</v>
      </c>
      <c r="D1937" s="1099">
        <v>1.0043011276071001</v>
      </c>
      <c r="E1937" s="1099">
        <v>0.98989963320852981</v>
      </c>
      <c r="F1937" s="1099">
        <v>1.0280297489485133</v>
      </c>
      <c r="G1937" s="1099">
        <v>1.005410821423204</v>
      </c>
      <c r="H1937" s="1099">
        <v>1.0322486646934848</v>
      </c>
      <c r="I1937" s="1099">
        <v>1.0200594162112295</v>
      </c>
      <c r="K1937">
        <v>1.7818109454780295</v>
      </c>
      <c r="L1937">
        <v>0</v>
      </c>
      <c r="M1937">
        <v>1.4522404745201764E-3</v>
      </c>
      <c r="N1937">
        <v>0.12958336450224203</v>
      </c>
      <c r="O1937">
        <v>0.12948319037526482</v>
      </c>
      <c r="P1937">
        <v>1.8732710212601835E-2</v>
      </c>
      <c r="Q1937">
        <v>8.8978057558774008E-4</v>
      </c>
      <c r="R1937">
        <v>1.4486168992155369E-3</v>
      </c>
      <c r="S1937">
        <v>0.11251859665320506</v>
      </c>
      <c r="T1937">
        <v>1.0602656849711418</v>
      </c>
      <c r="U1937">
        <v>0</v>
      </c>
      <c r="V1937">
        <v>0.21094335388516264</v>
      </c>
      <c r="W1937">
        <v>8.5642084192897691E-2</v>
      </c>
      <c r="X1937">
        <v>2.9813146021997011E-2</v>
      </c>
      <c r="Y1937">
        <v>3.9426576632322057E-3</v>
      </c>
    </row>
    <row r="1938" spans="1:25" x14ac:dyDescent="0.25">
      <c r="A1938" s="1095"/>
      <c r="B1938" s="1454">
        <v>1688</v>
      </c>
      <c r="C1938" s="1099">
        <v>1.0016409117293374</v>
      </c>
      <c r="D1938" s="1099">
        <v>0.993493521332379</v>
      </c>
      <c r="E1938" s="1099">
        <v>1.0264654582213568</v>
      </c>
      <c r="F1938" s="1099">
        <v>0.99584856678631939</v>
      </c>
      <c r="G1938" s="1099">
        <v>0.98614682754063299</v>
      </c>
      <c r="H1938" s="1099">
        <v>0.97645902600367174</v>
      </c>
      <c r="I1938" s="1099">
        <v>1.0093850462521552</v>
      </c>
      <c r="K1938">
        <v>1.7321834489203489</v>
      </c>
      <c r="L1938">
        <v>0</v>
      </c>
      <c r="M1938">
        <v>1.2735110442230924E-3</v>
      </c>
      <c r="N1938">
        <v>0.1268820109656798</v>
      </c>
      <c r="O1938">
        <v>0.12749919394384626</v>
      </c>
      <c r="P1938">
        <v>1.8667349234413565E-2</v>
      </c>
      <c r="Q1938">
        <v>9.2452015759651133E-4</v>
      </c>
      <c r="R1938">
        <v>1.2701506118300886E-3</v>
      </c>
      <c r="S1938">
        <v>0.10760982597880667</v>
      </c>
      <c r="T1938">
        <v>1.0260017578757994</v>
      </c>
      <c r="U1938">
        <v>0</v>
      </c>
      <c r="V1938">
        <v>0.20844746367543374</v>
      </c>
      <c r="W1938">
        <v>8.2065372447072529E-2</v>
      </c>
      <c r="X1938">
        <v>3.0632383813728455E-2</v>
      </c>
      <c r="Y1938">
        <v>3.4569312603648403E-3</v>
      </c>
    </row>
    <row r="1939" spans="1:25" x14ac:dyDescent="0.25">
      <c r="A1939" s="1095"/>
      <c r="B1939" s="1454">
        <v>1689</v>
      </c>
      <c r="C1939" s="1099">
        <v>1.0068788268817062</v>
      </c>
      <c r="D1939" s="1099">
        <v>1.0059367878287908</v>
      </c>
      <c r="E1939" s="1099">
        <v>1.0301434236342164</v>
      </c>
      <c r="F1939" s="1099">
        <v>0.999460646934204</v>
      </c>
      <c r="G1939" s="1099">
        <v>1.0256990207426888</v>
      </c>
      <c r="H1939" s="1099">
        <v>1.0330486854102239</v>
      </c>
      <c r="I1939" s="1099">
        <v>0.9889557074904276</v>
      </c>
      <c r="K1939">
        <v>1.7474537091667985</v>
      </c>
      <c r="L1939">
        <v>0</v>
      </c>
      <c r="M1939">
        <v>1.3213518150358965E-3</v>
      </c>
      <c r="N1939">
        <v>0.13313518167060656</v>
      </c>
      <c r="O1939">
        <v>0.12695200536930801</v>
      </c>
      <c r="P1939">
        <v>1.8791523430850596E-2</v>
      </c>
      <c r="Q1939">
        <v>9.1858720085310629E-4</v>
      </c>
      <c r="R1939">
        <v>1.3180508560777869E-3</v>
      </c>
      <c r="S1939">
        <v>0.10800946370271197</v>
      </c>
      <c r="T1939">
        <v>1.02961701499789</v>
      </c>
      <c r="U1939">
        <v>0</v>
      </c>
      <c r="V1939">
        <v>0.20975004092271093</v>
      </c>
      <c r="W1939">
        <v>8.5925938925582965E-2</v>
      </c>
      <c r="X1939">
        <v>3.0769953970344249E-2</v>
      </c>
      <c r="Y1939">
        <v>3.5872999348958018E-3</v>
      </c>
    </row>
    <row r="1940" spans="1:25" x14ac:dyDescent="0.25">
      <c r="A1940" s="1095"/>
      <c r="B1940" s="1454">
        <v>1690</v>
      </c>
      <c r="C1940" s="1099">
        <v>0.99785589402831087</v>
      </c>
      <c r="D1940" s="1099">
        <v>0.99338832012840106</v>
      </c>
      <c r="E1940" s="1099">
        <v>0.99334576244313444</v>
      </c>
      <c r="F1940" s="1099">
        <v>1.042902040884415</v>
      </c>
      <c r="G1940" s="1099">
        <v>0.9890802289199363</v>
      </c>
      <c r="H1940" s="1099">
        <v>1.00399913488604</v>
      </c>
      <c r="I1940" s="1099">
        <v>1.0202964302298161</v>
      </c>
      <c r="K1940">
        <v>1.7947177514124724</v>
      </c>
      <c r="L1940">
        <v>0</v>
      </c>
      <c r="M1940">
        <v>1.4132787128161265E-3</v>
      </c>
      <c r="N1940">
        <v>0.12741955927983104</v>
      </c>
      <c r="O1940">
        <v>0.1311266550655639</v>
      </c>
      <c r="P1940">
        <v>1.8976864887740395E-2</v>
      </c>
      <c r="Q1940">
        <v>8.9689998548541879E-4</v>
      </c>
      <c r="R1940">
        <v>1.4096651192951591E-3</v>
      </c>
      <c r="S1940">
        <v>0.11137350174406344</v>
      </c>
      <c r="T1940">
        <v>1.0754965925101789</v>
      </c>
      <c r="U1940">
        <v>0</v>
      </c>
      <c r="V1940">
        <v>0.2112688041875706</v>
      </c>
      <c r="W1940">
        <v>8.4038569041004915E-2</v>
      </c>
      <c r="X1940">
        <v>3.0287274545813293E-2</v>
      </c>
      <c r="Y1940">
        <v>3.836643758739738E-3</v>
      </c>
    </row>
    <row r="1941" spans="1:25" x14ac:dyDescent="0.25">
      <c r="A1941" s="1095"/>
      <c r="B1941" s="1454">
        <v>1691</v>
      </c>
      <c r="C1941" s="1099">
        <v>0.99202816986490183</v>
      </c>
      <c r="D1941" s="1099">
        <v>1.0118631569772671</v>
      </c>
      <c r="E1941" s="1099">
        <v>1.0232362604865364</v>
      </c>
      <c r="F1941" s="1099">
        <v>0.97937367177311851</v>
      </c>
      <c r="G1941" s="1099">
        <v>0.99603354091971497</v>
      </c>
      <c r="H1941" s="1099">
        <v>1.0016763462804004</v>
      </c>
      <c r="I1941" s="1099">
        <v>1.0139090258093706</v>
      </c>
      <c r="K1941">
        <v>1.7190865177220125</v>
      </c>
      <c r="L1941">
        <v>0</v>
      </c>
      <c r="M1941">
        <v>1.3107679563771491E-3</v>
      </c>
      <c r="N1941">
        <v>0.12933509140721836</v>
      </c>
      <c r="O1941">
        <v>0.12588988777387727</v>
      </c>
      <c r="P1941">
        <v>1.8414131540423869E-2</v>
      </c>
      <c r="Q1941">
        <v>9.2360602568010311E-4</v>
      </c>
      <c r="R1941">
        <v>1.3073770124241747E-3</v>
      </c>
      <c r="S1941">
        <v>0.10953424041296489</v>
      </c>
      <c r="T1941">
        <v>1.0091197054644698</v>
      </c>
      <c r="U1941">
        <v>0</v>
      </c>
      <c r="V1941">
        <v>0.2083204513937657</v>
      </c>
      <c r="W1941">
        <v>8.3809574558350294E-2</v>
      </c>
      <c r="X1941">
        <v>3.0184970838110815E-2</v>
      </c>
      <c r="Y1941">
        <v>3.558249251102286E-3</v>
      </c>
    </row>
    <row r="1942" spans="1:25" x14ac:dyDescent="0.25">
      <c r="A1942" s="1095"/>
      <c r="B1942" s="1454">
        <v>1692</v>
      </c>
      <c r="C1942" s="1099">
        <v>1.0341609223009804</v>
      </c>
      <c r="D1942" s="1099">
        <v>0.9882093326111594</v>
      </c>
      <c r="E1942" s="1099">
        <v>1.0058486898204086</v>
      </c>
      <c r="F1942" s="1099">
        <v>0.99488899280420595</v>
      </c>
      <c r="G1942" s="1099">
        <v>0.99531235220834779</v>
      </c>
      <c r="H1942" s="1099">
        <v>1.0351052883205647</v>
      </c>
      <c r="I1942" s="1099">
        <v>1.0350520926689182</v>
      </c>
      <c r="K1942">
        <v>1.7346371798490767</v>
      </c>
      <c r="L1942">
        <v>0</v>
      </c>
      <c r="M1942">
        <v>1.3726488068996707E-3</v>
      </c>
      <c r="N1942">
        <v>0.12853062029892903</v>
      </c>
      <c r="O1942">
        <v>0.1259485207318117</v>
      </c>
      <c r="P1942">
        <v>1.8404937955116878E-2</v>
      </c>
      <c r="Q1942">
        <v>8.7854251735126562E-4</v>
      </c>
      <c r="R1942">
        <v>1.369244220376557E-3</v>
      </c>
      <c r="S1942">
        <v>0.11151103186325999</v>
      </c>
      <c r="T1942">
        <v>1.0256130350101706</v>
      </c>
      <c r="U1942">
        <v>0</v>
      </c>
      <c r="V1942">
        <v>0.20628037807768537</v>
      </c>
      <c r="W1942">
        <v>8.4143552664855653E-2</v>
      </c>
      <c r="X1942">
        <v>2.9603333919790364E-2</v>
      </c>
      <c r="Y1942">
        <v>3.7266313966290493E-3</v>
      </c>
    </row>
    <row r="1943" spans="1:25" x14ac:dyDescent="0.25">
      <c r="A1943" s="1095"/>
      <c r="B1943" s="1454">
        <v>1693</v>
      </c>
      <c r="C1943" s="1099">
        <v>1.021771233829073</v>
      </c>
      <c r="D1943" s="1099">
        <v>0.95882717888121805</v>
      </c>
      <c r="E1943" s="1099">
        <v>1.0249450477209772</v>
      </c>
      <c r="F1943" s="1099">
        <v>1.023410466619628</v>
      </c>
      <c r="G1943" s="1099">
        <v>0.98023796462048995</v>
      </c>
      <c r="H1943" s="1099">
        <v>0.99538108520677115</v>
      </c>
      <c r="I1943" s="1099">
        <v>1.0289717586142997</v>
      </c>
      <c r="K1943">
        <v>1.7739248687372822</v>
      </c>
      <c r="L1943">
        <v>0</v>
      </c>
      <c r="M1943">
        <v>1.3089948871931566E-3</v>
      </c>
      <c r="N1943">
        <v>0.12983090543980125</v>
      </c>
      <c r="O1943">
        <v>0.13020228196328376</v>
      </c>
      <c r="P1943">
        <v>1.910476688895666E-2</v>
      </c>
      <c r="Q1943">
        <v>9.1784494367773092E-4</v>
      </c>
      <c r="R1943">
        <v>1.3056429298865337E-3</v>
      </c>
      <c r="S1943">
        <v>0.11158295479731963</v>
      </c>
      <c r="T1943">
        <v>1.0544432711133394</v>
      </c>
      <c r="U1943">
        <v>0</v>
      </c>
      <c r="V1943">
        <v>0.20900537116125412</v>
      </c>
      <c r="W1943">
        <v>8.4047067199495992E-2</v>
      </c>
      <c r="X1943">
        <v>3.1240227537386266E-2</v>
      </c>
      <c r="Y1943">
        <v>3.5535296500749818E-3</v>
      </c>
    </row>
    <row r="1944" spans="1:25" x14ac:dyDescent="0.25">
      <c r="A1944" s="1095"/>
      <c r="B1944" s="1454">
        <v>1694</v>
      </c>
      <c r="C1944" s="1099">
        <v>0.99044710350127851</v>
      </c>
      <c r="D1944" s="1099">
        <v>0.98483853293400325</v>
      </c>
      <c r="E1944" s="1099">
        <v>1.0035833911148255</v>
      </c>
      <c r="F1944" s="1099">
        <v>1.0015193490891863</v>
      </c>
      <c r="G1944" s="1099">
        <v>1.0150736416230741</v>
      </c>
      <c r="H1944" s="1099">
        <v>0.99707324715996148</v>
      </c>
      <c r="I1944" s="1099">
        <v>0.99485211657299111</v>
      </c>
      <c r="K1944">
        <v>1.7484480555131421</v>
      </c>
      <c r="L1944">
        <v>0</v>
      </c>
      <c r="M1944">
        <v>1.3856629235441424E-3</v>
      </c>
      <c r="N1944">
        <v>0.12885154439482416</v>
      </c>
      <c r="O1944">
        <v>0.12882749609143315</v>
      </c>
      <c r="P1944">
        <v>1.8505808763618625E-2</v>
      </c>
      <c r="Q1944">
        <v>9.1642247351122032E-4</v>
      </c>
      <c r="R1944">
        <v>1.3820864337868515E-3</v>
      </c>
      <c r="S1944">
        <v>0.10922863508153632</v>
      </c>
      <c r="T1944">
        <v>1.0325152736632615</v>
      </c>
      <c r="U1944">
        <v>0</v>
      </c>
      <c r="V1944">
        <v>0.21129787634306829</v>
      </c>
      <c r="W1944">
        <v>8.4466873324849867E-2</v>
      </c>
      <c r="X1944">
        <v>3.0080118198696791E-2</v>
      </c>
      <c r="Y1944">
        <v>3.761583668097358E-3</v>
      </c>
    </row>
    <row r="1945" spans="1:25" x14ac:dyDescent="0.25">
      <c r="A1945" s="1095"/>
      <c r="B1945" s="1454">
        <v>1695</v>
      </c>
      <c r="C1945" s="1099">
        <v>0.98718873839887678</v>
      </c>
      <c r="D1945" s="1099">
        <v>0.99802923328192206</v>
      </c>
      <c r="E1945" s="1099">
        <v>0.96419060267615109</v>
      </c>
      <c r="F1945" s="1099">
        <v>0.98893500230202369</v>
      </c>
      <c r="G1945" s="1099">
        <v>0.97107159262327469</v>
      </c>
      <c r="H1945" s="1099">
        <v>1.0002276681461915</v>
      </c>
      <c r="I1945" s="1099">
        <v>1.0043878343789123</v>
      </c>
      <c r="K1945">
        <v>1.7238014879620767</v>
      </c>
      <c r="L1945">
        <v>0</v>
      </c>
      <c r="M1945">
        <v>1.4991911568644504E-3</v>
      </c>
      <c r="N1945">
        <v>0.12374845180134969</v>
      </c>
      <c r="O1945">
        <v>0.12726108347161688</v>
      </c>
      <c r="P1945">
        <v>1.7772817182795369E-2</v>
      </c>
      <c r="Q1945">
        <v>8.7765543400944088E-4</v>
      </c>
      <c r="R1945">
        <v>1.4953188117987778E-3</v>
      </c>
      <c r="S1945">
        <v>0.10979046480458657</v>
      </c>
      <c r="T1945">
        <v>1.0207182689840697</v>
      </c>
      <c r="U1945">
        <v>0</v>
      </c>
      <c r="V1945">
        <v>0.20827144721473695</v>
      </c>
      <c r="W1945">
        <v>8.3068347845468821E-2</v>
      </c>
      <c r="X1945">
        <v>2.8227058694505303E-2</v>
      </c>
      <c r="Y1945">
        <v>4.0697648740024416E-3</v>
      </c>
    </row>
    <row r="1946" spans="1:25" x14ac:dyDescent="0.25">
      <c r="A1946" s="1095"/>
      <c r="B1946" s="1454">
        <v>1696</v>
      </c>
      <c r="C1946" s="1099">
        <v>1.0087275468777077</v>
      </c>
      <c r="D1946" s="1099">
        <v>1.0191717796593511</v>
      </c>
      <c r="E1946" s="1099">
        <v>0.99094070895746511</v>
      </c>
      <c r="F1946" s="1099">
        <v>1.0015489741561354</v>
      </c>
      <c r="G1946" s="1099">
        <v>0.9525310345685063</v>
      </c>
      <c r="H1946" s="1099">
        <v>1.0199094876065768</v>
      </c>
      <c r="I1946" s="1099">
        <v>0.96943888781177745</v>
      </c>
      <c r="K1946">
        <v>1.7291243517090353</v>
      </c>
      <c r="L1946">
        <v>0</v>
      </c>
      <c r="M1946">
        <v>1.4022607019464712E-3</v>
      </c>
      <c r="N1946">
        <v>0.125513006916949</v>
      </c>
      <c r="O1946">
        <v>0.12626204978278949</v>
      </c>
      <c r="P1946">
        <v>1.8188840730221076E-2</v>
      </c>
      <c r="Q1946">
        <v>8.759899735014732E-4</v>
      </c>
      <c r="R1946">
        <v>1.3987048319916374E-3</v>
      </c>
      <c r="S1946">
        <v>0.10391688869647094</v>
      </c>
      <c r="T1946">
        <v>1.0329232587366974</v>
      </c>
      <c r="U1946">
        <v>0</v>
      </c>
      <c r="V1946">
        <v>0.20566390972302545</v>
      </c>
      <c r="W1946">
        <v>8.2900269931567502E-2</v>
      </c>
      <c r="X1946">
        <v>2.9076879618010806E-2</v>
      </c>
      <c r="Y1946">
        <v>3.8068134697572904E-3</v>
      </c>
    </row>
    <row r="1947" spans="1:25" x14ac:dyDescent="0.25">
      <c r="A1947" s="1095"/>
      <c r="B1947" s="1454">
        <v>1697</v>
      </c>
      <c r="C1947" s="1099">
        <v>0.98269005880175797</v>
      </c>
      <c r="D1947" s="1099">
        <v>1.0353661591475651</v>
      </c>
      <c r="E1947" s="1099">
        <v>0.98304652361519762</v>
      </c>
      <c r="F1947" s="1099">
        <v>1.0078413008998104</v>
      </c>
      <c r="G1947" s="1099">
        <v>0.97106094176535118</v>
      </c>
      <c r="H1947" s="1099">
        <v>1.0051899166728875</v>
      </c>
      <c r="I1947" s="1099">
        <v>0.97691116774957576</v>
      </c>
      <c r="K1947">
        <v>1.7403071086254303</v>
      </c>
      <c r="L1947">
        <v>0</v>
      </c>
      <c r="M1947">
        <v>1.4264280352941476E-3</v>
      </c>
      <c r="N1947">
        <v>0.12465815744319073</v>
      </c>
      <c r="O1947">
        <v>0.12733368979274207</v>
      </c>
      <c r="P1947">
        <v>1.8230036442258499E-2</v>
      </c>
      <c r="Q1947">
        <v>8.8621373404844904E-4</v>
      </c>
      <c r="R1947">
        <v>1.4227411329568083E-3</v>
      </c>
      <c r="S1947">
        <v>0.10532750340924531</v>
      </c>
      <c r="T1947">
        <v>1.0396522929348104</v>
      </c>
      <c r="U1947">
        <v>0</v>
      </c>
      <c r="V1947">
        <v>0.2086048721865619</v>
      </c>
      <c r="W1947">
        <v>8.2726877196423479E-2</v>
      </c>
      <c r="X1947">
        <v>2.9018920031066483E-2</v>
      </c>
      <c r="Y1947">
        <v>3.8722323574200013E-3</v>
      </c>
    </row>
    <row r="1948" spans="1:25" x14ac:dyDescent="0.25">
      <c r="A1948" s="1095"/>
      <c r="B1948" s="1454">
        <v>1698</v>
      </c>
      <c r="C1948" s="1099">
        <v>1.0068949358449135</v>
      </c>
      <c r="D1948" s="1099">
        <v>1.0442757377262069</v>
      </c>
      <c r="E1948" s="1099">
        <v>0.97004465772745729</v>
      </c>
      <c r="F1948" s="1099">
        <v>0.99395898507418656</v>
      </c>
      <c r="G1948" s="1099">
        <v>0.97503165574962503</v>
      </c>
      <c r="H1948" s="1099">
        <v>1.003473131757743</v>
      </c>
      <c r="I1948" s="1099">
        <v>1.0069659452822863</v>
      </c>
      <c r="K1948">
        <v>1.7112082795022971</v>
      </c>
      <c r="L1948">
        <v>0</v>
      </c>
      <c r="M1948">
        <v>1.4215249738647518E-3</v>
      </c>
      <c r="N1948">
        <v>0.11943546406879253</v>
      </c>
      <c r="O1948">
        <v>0.12460839749292757</v>
      </c>
      <c r="P1948">
        <v>1.7826211142012431E-2</v>
      </c>
      <c r="Q1948">
        <v>8.5026453200768312E-4</v>
      </c>
      <c r="R1948">
        <v>1.4178413513719124E-3</v>
      </c>
      <c r="S1948">
        <v>0.10531306386154497</v>
      </c>
      <c r="T1948">
        <v>1.0257250247576737</v>
      </c>
      <c r="U1948">
        <v>0</v>
      </c>
      <c r="V1948">
        <v>0.20574010406180296</v>
      </c>
      <c r="W1948">
        <v>7.9887378795661795E-2</v>
      </c>
      <c r="X1948">
        <v>2.7967157645207609E-2</v>
      </c>
      <c r="Y1948">
        <v>3.8588967671584792E-3</v>
      </c>
    </row>
    <row r="1949" spans="1:25" x14ac:dyDescent="0.25">
      <c r="A1949" s="1095"/>
      <c r="B1949" s="1454">
        <v>1699</v>
      </c>
      <c r="C1949" s="1099">
        <v>0.97120887410594325</v>
      </c>
      <c r="D1949" s="1099">
        <v>1.0003351175323363</v>
      </c>
      <c r="E1949" s="1099">
        <v>0.99996238840146201</v>
      </c>
      <c r="F1949" s="1099">
        <v>1.0025899934193019</v>
      </c>
      <c r="G1949" s="1099">
        <v>0.99146766514598828</v>
      </c>
      <c r="H1949" s="1099">
        <v>0.99992000814207493</v>
      </c>
      <c r="I1949" s="1099">
        <v>0.98006286636220064</v>
      </c>
      <c r="K1949">
        <v>1.7516291530168957</v>
      </c>
      <c r="L1949">
        <v>0</v>
      </c>
      <c r="M1949">
        <v>1.4125876055258147E-3</v>
      </c>
      <c r="N1949">
        <v>0.12992570775304824</v>
      </c>
      <c r="O1949">
        <v>0.12919672982730693</v>
      </c>
      <c r="P1949">
        <v>1.8467762323912462E-2</v>
      </c>
      <c r="Q1949">
        <v>9.2528018282028908E-4</v>
      </c>
      <c r="R1949">
        <v>1.4089356426935831E-3</v>
      </c>
      <c r="S1949">
        <v>0.10876845116368032</v>
      </c>
      <c r="T1949">
        <v>1.0337267818678577</v>
      </c>
      <c r="U1949">
        <v>0</v>
      </c>
      <c r="V1949">
        <v>0.21141134500503261</v>
      </c>
      <c r="W1949">
        <v>8.5354265798890619E-2</v>
      </c>
      <c r="X1949">
        <v>3.0021822693276957E-2</v>
      </c>
      <c r="Y1949">
        <v>3.8346583639021453E-3</v>
      </c>
    </row>
    <row r="1950" spans="1:25" x14ac:dyDescent="0.25">
      <c r="A1950" s="1095"/>
      <c r="B1950" s="1454">
        <v>1700</v>
      </c>
      <c r="C1950" s="1099">
        <v>1.016405699470216</v>
      </c>
      <c r="D1950" s="1099">
        <v>1.0108600999526327</v>
      </c>
      <c r="E1950" s="1099">
        <v>0.99973853186178074</v>
      </c>
      <c r="F1950" s="1099">
        <v>1.0096085657852487</v>
      </c>
      <c r="G1950" s="1099">
        <v>0.97663237131263669</v>
      </c>
      <c r="H1950" s="1099">
        <v>0.98820084556107768</v>
      </c>
      <c r="I1950" s="1099">
        <v>1.0353526031284741</v>
      </c>
      <c r="K1950">
        <v>1.7387533775641928</v>
      </c>
      <c r="L1950">
        <v>0</v>
      </c>
      <c r="M1950">
        <v>1.3321724840970727E-3</v>
      </c>
      <c r="N1950">
        <v>0.12244351789307402</v>
      </c>
      <c r="O1950">
        <v>0.12688965452957604</v>
      </c>
      <c r="P1950">
        <v>1.8498916943976203E-2</v>
      </c>
      <c r="Q1950">
        <v>8.8023734392043626E-4</v>
      </c>
      <c r="R1950">
        <v>1.3286958791637784E-3</v>
      </c>
      <c r="S1950">
        <v>0.10856490191190046</v>
      </c>
      <c r="T1950">
        <v>1.0409700450067783</v>
      </c>
      <c r="U1950">
        <v>0</v>
      </c>
      <c r="V1950">
        <v>0.2068851891280192</v>
      </c>
      <c r="W1950">
        <v>8.0449570024200848E-2</v>
      </c>
      <c r="X1950">
        <v>2.9558549209073991E-2</v>
      </c>
      <c r="Y1950">
        <v>3.6162721786049548E-3</v>
      </c>
    </row>
    <row r="1951" spans="1:25" x14ac:dyDescent="0.25">
      <c r="A1951" s="1095"/>
      <c r="B1951" s="1454">
        <v>1701</v>
      </c>
      <c r="C1951" s="1099">
        <v>0.97094137999176844</v>
      </c>
      <c r="D1951" s="1099">
        <v>1.0041355047505576</v>
      </c>
      <c r="E1951" s="1099">
        <v>1.0275077420846275</v>
      </c>
      <c r="F1951" s="1099">
        <v>1.0062066626245683</v>
      </c>
      <c r="G1951" s="1099">
        <v>0.9849479641990081</v>
      </c>
      <c r="H1951" s="1099">
        <v>1.032344138650116</v>
      </c>
      <c r="I1951" s="1099">
        <v>1.0138923602477883</v>
      </c>
      <c r="K1951">
        <v>1.773225071724492</v>
      </c>
      <c r="L1951">
        <v>0</v>
      </c>
      <c r="M1951">
        <v>1.3749553010206715E-3</v>
      </c>
      <c r="N1951">
        <v>0.13743867204606616</v>
      </c>
      <c r="O1951">
        <v>0.12942384837135257</v>
      </c>
      <c r="P1951">
        <v>1.8967993510512614E-2</v>
      </c>
      <c r="Q1951">
        <v>9.5070802315611665E-4</v>
      </c>
      <c r="R1951">
        <v>1.3715108463277169E-3</v>
      </c>
      <c r="S1951">
        <v>0.11471883899983579</v>
      </c>
      <c r="T1951">
        <v>1.0366431479351035</v>
      </c>
      <c r="U1951">
        <v>0</v>
      </c>
      <c r="V1951">
        <v>0.21127375572200596</v>
      </c>
      <c r="W1951">
        <v>8.8839368480760517E-2</v>
      </c>
      <c r="X1951">
        <v>3.1239382685113715E-2</v>
      </c>
      <c r="Y1951">
        <v>3.732800405275064E-3</v>
      </c>
    </row>
    <row r="1952" spans="1:25" x14ac:dyDescent="0.25">
      <c r="A1952" s="1095"/>
      <c r="B1952" s="1454">
        <v>1702</v>
      </c>
      <c r="C1952" s="1099">
        <v>0.96431119825028888</v>
      </c>
      <c r="D1952" s="1099">
        <v>1.0216317632153762</v>
      </c>
      <c r="E1952" s="1099">
        <v>1.0264394709737445</v>
      </c>
      <c r="F1952" s="1099">
        <v>1.026171674067422</v>
      </c>
      <c r="G1952" s="1099">
        <v>1.0138514541204926</v>
      </c>
      <c r="H1952" s="1099">
        <v>1.023164479709521</v>
      </c>
      <c r="I1952" s="1099">
        <v>1.0083185792484266</v>
      </c>
      <c r="K1952">
        <v>1.7935801819179531</v>
      </c>
      <c r="L1952">
        <v>0</v>
      </c>
      <c r="M1952">
        <v>1.3628233143110897E-3</v>
      </c>
      <c r="N1952">
        <v>0.13578410179463546</v>
      </c>
      <c r="O1952">
        <v>0.13049853944227213</v>
      </c>
      <c r="P1952">
        <v>1.925182026735461E-2</v>
      </c>
      <c r="Q1952">
        <v>9.4961584391365294E-4</v>
      </c>
      <c r="R1952">
        <v>1.3593713859545789E-3</v>
      </c>
      <c r="S1952">
        <v>0.11307709212469053</v>
      </c>
      <c r="T1952">
        <v>1.0572437870757174</v>
      </c>
      <c r="U1952">
        <v>0</v>
      </c>
      <c r="V1952">
        <v>0.21378346488423183</v>
      </c>
      <c r="W1952">
        <v>8.7824439144141939E-2</v>
      </c>
      <c r="X1952">
        <v>3.147101247343656E-2</v>
      </c>
      <c r="Y1952">
        <v>3.6997607959114174E-3</v>
      </c>
    </row>
    <row r="1953" spans="1:25" x14ac:dyDescent="0.25">
      <c r="A1953" s="1095"/>
      <c r="B1953" s="1454">
        <v>1703</v>
      </c>
      <c r="C1953" s="1099">
        <v>0.97385352681802617</v>
      </c>
      <c r="D1953" s="1099">
        <v>1.0156143831522602</v>
      </c>
      <c r="E1953" s="1099">
        <v>1.0052223042100739</v>
      </c>
      <c r="F1953" s="1099">
        <v>0.99097499248346632</v>
      </c>
      <c r="G1953" s="1099">
        <v>0.99818332533568532</v>
      </c>
      <c r="H1953" s="1099">
        <v>1.0306280282614846</v>
      </c>
      <c r="I1953" s="1099">
        <v>1.0084895262983529</v>
      </c>
      <c r="K1953">
        <v>1.745351590655269</v>
      </c>
      <c r="L1953">
        <v>0</v>
      </c>
      <c r="M1953">
        <v>1.4224139830624374E-3</v>
      </c>
      <c r="N1953">
        <v>0.13293382478270052</v>
      </c>
      <c r="O1953">
        <v>0.12748755021555494</v>
      </c>
      <c r="P1953">
        <v>1.8415165166306643E-2</v>
      </c>
      <c r="Q1953">
        <v>9.2219781977470302E-4</v>
      </c>
      <c r="R1953">
        <v>1.4188332522828996E-3</v>
      </c>
      <c r="S1953">
        <v>0.11272959559785846</v>
      </c>
      <c r="T1953">
        <v>1.0215965133010647</v>
      </c>
      <c r="U1953">
        <v>0</v>
      </c>
      <c r="V1953">
        <v>0.21044701672256422</v>
      </c>
      <c r="W1953">
        <v>8.7058407803697321E-2</v>
      </c>
      <c r="X1953">
        <v>2.9903303582069017E-2</v>
      </c>
      <c r="Y1953">
        <v>3.8615963944581395E-3</v>
      </c>
    </row>
    <row r="1954" spans="1:25" x14ac:dyDescent="0.25">
      <c r="A1954" s="1095"/>
      <c r="B1954" s="1454">
        <v>1704</v>
      </c>
      <c r="C1954" s="1099">
        <v>1.0022602825156135</v>
      </c>
      <c r="D1954" s="1099">
        <v>1.0152256153481418</v>
      </c>
      <c r="E1954" s="1099">
        <v>0.99973734002217729</v>
      </c>
      <c r="F1954" s="1099">
        <v>0.96701137181518637</v>
      </c>
      <c r="G1954" s="1099">
        <v>0.95591514552434331</v>
      </c>
      <c r="H1954" s="1099">
        <v>1.0361814785259709</v>
      </c>
      <c r="I1954" s="1099">
        <v>0.9912849193214115</v>
      </c>
      <c r="K1954">
        <v>1.6996869376434058</v>
      </c>
      <c r="L1954">
        <v>0</v>
      </c>
      <c r="M1954">
        <v>1.4061488227543968E-3</v>
      </c>
      <c r="N1954">
        <v>0.12925624256010879</v>
      </c>
      <c r="O1954">
        <v>0.12418302018694274</v>
      </c>
      <c r="P1954">
        <v>1.7863624806096223E-2</v>
      </c>
      <c r="Q1954">
        <v>8.9112210945140491E-4</v>
      </c>
      <c r="R1954">
        <v>1.4026292140590394E-3</v>
      </c>
      <c r="S1954">
        <v>0.10808016623539626</v>
      </c>
      <c r="T1954">
        <v>0.9970496883183797</v>
      </c>
      <c r="U1954">
        <v>0</v>
      </c>
      <c r="V1954">
        <v>0.20470437769001482</v>
      </c>
      <c r="W1954">
        <v>8.492582280684198E-2</v>
      </c>
      <c r="X1954">
        <v>2.8918898194795123E-2</v>
      </c>
      <c r="Y1954">
        <v>3.8174943440725572E-3</v>
      </c>
    </row>
    <row r="1955" spans="1:25" x14ac:dyDescent="0.25">
      <c r="A1955" s="1095"/>
      <c r="B1955" s="1454">
        <v>1705</v>
      </c>
      <c r="C1955" s="1099">
        <v>1.0110064133890508</v>
      </c>
      <c r="D1955" s="1099">
        <v>1.024470555763348</v>
      </c>
      <c r="E1955" s="1099">
        <v>1.0110734336387326</v>
      </c>
      <c r="F1955" s="1099">
        <v>0.99816960595967041</v>
      </c>
      <c r="G1955" s="1099">
        <v>1.0353484997111428</v>
      </c>
      <c r="H1955" s="1099">
        <v>1.0049295453397784</v>
      </c>
      <c r="I1955" s="1099">
        <v>0.97820710352653872</v>
      </c>
      <c r="K1955">
        <v>1.7269329856224873</v>
      </c>
      <c r="L1955">
        <v>0</v>
      </c>
      <c r="M1955">
        <v>1.3179869364489164E-3</v>
      </c>
      <c r="N1955">
        <v>0.12536247097072614</v>
      </c>
      <c r="O1955">
        <v>0.12574239553302688</v>
      </c>
      <c r="P1955">
        <v>1.8448232274705306E-2</v>
      </c>
      <c r="Q1955">
        <v>8.9059203588571503E-4</v>
      </c>
      <c r="R1955">
        <v>1.3145912665231225E-3</v>
      </c>
      <c r="S1955">
        <v>0.10331347926781778</v>
      </c>
      <c r="T1955">
        <v>1.0288412398195799</v>
      </c>
      <c r="U1955">
        <v>0</v>
      </c>
      <c r="V1955">
        <v>0.20921424702332736</v>
      </c>
      <c r="W1955">
        <v>8.1816734039108052E-2</v>
      </c>
      <c r="X1955">
        <v>2.9729106255653597E-2</v>
      </c>
      <c r="Y1955">
        <v>3.5778840725813961E-3</v>
      </c>
    </row>
    <row r="1956" spans="1:25" x14ac:dyDescent="0.25">
      <c r="A1956" s="1095"/>
      <c r="B1956" s="1454">
        <v>1706</v>
      </c>
      <c r="C1956" s="1099">
        <v>1.0083787999967255</v>
      </c>
      <c r="D1956" s="1099">
        <v>1.040024704800276</v>
      </c>
      <c r="E1956" s="1099">
        <v>0.98922694447187376</v>
      </c>
      <c r="F1956" s="1099">
        <v>1.0130327497223275</v>
      </c>
      <c r="G1956" s="1099">
        <v>1.0142734158032414</v>
      </c>
      <c r="H1956" s="1099">
        <v>0.98855599502460256</v>
      </c>
      <c r="I1956" s="1099">
        <v>1.0296752877196638</v>
      </c>
      <c r="K1956">
        <v>1.7381901079870639</v>
      </c>
      <c r="L1956">
        <v>0</v>
      </c>
      <c r="M1956">
        <v>1.3494525326429837E-3</v>
      </c>
      <c r="N1956">
        <v>0.12015142531472782</v>
      </c>
      <c r="O1956">
        <v>0.12620812893088534</v>
      </c>
      <c r="P1956">
        <v>1.8407517040443647E-2</v>
      </c>
      <c r="Q1956">
        <v>8.6767091298220141E-4</v>
      </c>
      <c r="R1956">
        <v>1.345911589053086E-3</v>
      </c>
      <c r="S1956">
        <v>0.10691001782806524</v>
      </c>
      <c r="T1956">
        <v>1.0448188942992063</v>
      </c>
      <c r="U1956">
        <v>0</v>
      </c>
      <c r="V1956">
        <v>0.20866818331851417</v>
      </c>
      <c r="W1956">
        <v>7.9440501318920623E-2</v>
      </c>
      <c r="X1956">
        <v>2.9058182301142089E-2</v>
      </c>
      <c r="Y1956">
        <v>3.6631276657664107E-3</v>
      </c>
    </row>
    <row r="1957" spans="1:25" x14ac:dyDescent="0.25">
      <c r="A1957" s="1095"/>
      <c r="B1957" s="1454">
        <v>1707</v>
      </c>
      <c r="C1957" s="1099">
        <v>0.99632924990417027</v>
      </c>
      <c r="D1957" s="1099">
        <v>0.97625882680580378</v>
      </c>
      <c r="E1957" s="1099">
        <v>0.96874892251158717</v>
      </c>
      <c r="F1957" s="1099">
        <v>0.99714704882422878</v>
      </c>
      <c r="G1957" s="1099">
        <v>0.95699801315855626</v>
      </c>
      <c r="H1957" s="1099">
        <v>0.96577786455299663</v>
      </c>
      <c r="I1957" s="1099">
        <v>1.0283786999762092</v>
      </c>
      <c r="K1957">
        <v>1.7286977056579027</v>
      </c>
      <c r="L1957">
        <v>0</v>
      </c>
      <c r="M1957">
        <v>1.4415562111524472E-3</v>
      </c>
      <c r="N1957">
        <v>0.12063588327340681</v>
      </c>
      <c r="O1957">
        <v>0.12844514650097361</v>
      </c>
      <c r="P1957">
        <v>1.7951161442163091E-2</v>
      </c>
      <c r="Q1957">
        <v>8.815406686800227E-4</v>
      </c>
      <c r="R1957">
        <v>1.4377216285201243E-3</v>
      </c>
      <c r="S1957">
        <v>0.11050938440614411</v>
      </c>
      <c r="T1957">
        <v>1.0290545663101371</v>
      </c>
      <c r="U1957">
        <v>0</v>
      </c>
      <c r="V1957">
        <v>0.20791952019388624</v>
      </c>
      <c r="W1957">
        <v>8.0753999237397484E-2</v>
      </c>
      <c r="X1957">
        <v>2.8637333879721588E-2</v>
      </c>
      <c r="Y1957">
        <v>3.9130043280243129E-3</v>
      </c>
    </row>
    <row r="1958" spans="1:25" x14ac:dyDescent="0.25">
      <c r="A1958" s="1095"/>
      <c r="B1958" s="1454">
        <v>1708</v>
      </c>
      <c r="C1958" s="1099">
        <v>0.99728903527603274</v>
      </c>
      <c r="D1958" s="1099">
        <v>1.0076868598925302</v>
      </c>
      <c r="E1958" s="1099">
        <v>1.0106611049673619</v>
      </c>
      <c r="F1958" s="1099">
        <v>0.97344286563130178</v>
      </c>
      <c r="G1958" s="1099">
        <v>0.99527246999135588</v>
      </c>
      <c r="H1958" s="1099">
        <v>0.99739693997406476</v>
      </c>
      <c r="I1958" s="1099">
        <v>0.97449874944350035</v>
      </c>
      <c r="K1958">
        <v>1.7028515882076738</v>
      </c>
      <c r="L1958">
        <v>0</v>
      </c>
      <c r="M1958">
        <v>1.3358100725819886E-3</v>
      </c>
      <c r="N1958">
        <v>0.1268971607539931</v>
      </c>
      <c r="O1958">
        <v>0.12530715741961221</v>
      </c>
      <c r="P1958">
        <v>1.8089095585561168E-2</v>
      </c>
      <c r="Q1958">
        <v>9.0844080856281007E-4</v>
      </c>
      <c r="R1958">
        <v>1.3323419059035773E-3</v>
      </c>
      <c r="S1958">
        <v>0.10467143154299009</v>
      </c>
      <c r="T1958">
        <v>1.0033665013828679</v>
      </c>
      <c r="U1958">
        <v>0</v>
      </c>
      <c r="V1958">
        <v>0.20761555788640582</v>
      </c>
      <c r="W1958">
        <v>8.283846124455857E-2</v>
      </c>
      <c r="X1958">
        <v>2.9535054288322586E-2</v>
      </c>
      <c r="Y1958">
        <v>3.6261954614782953E-3</v>
      </c>
    </row>
    <row r="1959" spans="1:25" x14ac:dyDescent="0.25">
      <c r="A1959" s="1095"/>
      <c r="B1959" s="1454">
        <v>1709</v>
      </c>
      <c r="C1959" s="1099">
        <v>1.0354248744083188</v>
      </c>
      <c r="D1959" s="1099">
        <v>0.98540342789069946</v>
      </c>
      <c r="E1959" s="1099">
        <v>1.0110715481651786</v>
      </c>
      <c r="F1959" s="1099">
        <v>1.0220413928190337</v>
      </c>
      <c r="G1959" s="1099">
        <v>1.0118987473328565</v>
      </c>
      <c r="H1959" s="1099">
        <v>0.97395984492397925</v>
      </c>
      <c r="I1959" s="1099">
        <v>1.0092265965779581</v>
      </c>
      <c r="K1959">
        <v>1.7495361136994254</v>
      </c>
      <c r="L1959">
        <v>0</v>
      </c>
      <c r="M1959">
        <v>1.2812819424939741E-3</v>
      </c>
      <c r="N1959">
        <v>0.12186418368122869</v>
      </c>
      <c r="O1959">
        <v>0.12807779966952593</v>
      </c>
      <c r="P1959">
        <v>1.8796310561837858E-2</v>
      </c>
      <c r="Q1959">
        <v>8.8321705064516845E-4</v>
      </c>
      <c r="R1959">
        <v>1.277914372344945E-3</v>
      </c>
      <c r="S1959">
        <v>0.10474627225016737</v>
      </c>
      <c r="T1959">
        <v>1.0534466126836521</v>
      </c>
      <c r="U1959">
        <v>0</v>
      </c>
      <c r="V1959">
        <v>0.20848950739623107</v>
      </c>
      <c r="W1959">
        <v>7.9533695403415955E-2</v>
      </c>
      <c r="X1959">
        <v>3.0223820915706856E-2</v>
      </c>
      <c r="Y1959">
        <v>3.4780616571633135E-3</v>
      </c>
    </row>
    <row r="1960" spans="1:25" x14ac:dyDescent="0.25">
      <c r="A1960" s="1095"/>
      <c r="B1960" s="1454">
        <v>1710</v>
      </c>
      <c r="C1960" s="1099">
        <v>0.98103087977744885</v>
      </c>
      <c r="D1960" s="1099">
        <v>0.98455272238658653</v>
      </c>
      <c r="E1960" s="1099">
        <v>0.9672305254224588</v>
      </c>
      <c r="F1960" s="1099">
        <v>1.0169027728093996</v>
      </c>
      <c r="G1960" s="1099">
        <v>0.98295146949867163</v>
      </c>
      <c r="H1960" s="1099">
        <v>1.0103188771375908</v>
      </c>
      <c r="I1960" s="1099">
        <v>1.0040519298517316</v>
      </c>
      <c r="K1960">
        <v>1.7685118298485254</v>
      </c>
      <c r="L1960">
        <v>0</v>
      </c>
      <c r="M1960">
        <v>1.5293921521384343E-3</v>
      </c>
      <c r="N1960">
        <v>0.12741383207073803</v>
      </c>
      <c r="O1960">
        <v>0.13037042319557848</v>
      </c>
      <c r="P1960">
        <v>1.8269905389506388E-2</v>
      </c>
      <c r="Q1960">
        <v>8.9083534680366953E-4</v>
      </c>
      <c r="R1960">
        <v>1.5254987467134109E-3</v>
      </c>
      <c r="S1960">
        <v>0.11224559712616877</v>
      </c>
      <c r="T1960">
        <v>1.0494898276846563</v>
      </c>
      <c r="U1960">
        <v>0</v>
      </c>
      <c r="V1960">
        <v>0.21127489944177255</v>
      </c>
      <c r="W1960">
        <v>8.5370161311121281E-2</v>
      </c>
      <c r="X1960">
        <v>2.9038336979574961E-2</v>
      </c>
      <c r="Y1960">
        <v>4.1519047080272025E-3</v>
      </c>
    </row>
    <row r="1961" spans="1:25" x14ac:dyDescent="0.25">
      <c r="A1961" s="1095"/>
      <c r="B1961" s="1454">
        <v>1711</v>
      </c>
      <c r="C1961" s="1099">
        <v>0.98392001749777114</v>
      </c>
      <c r="D1961" s="1099">
        <v>0.97997979161431026</v>
      </c>
      <c r="E1961" s="1099">
        <v>1.0182179510055689</v>
      </c>
      <c r="F1961" s="1099">
        <v>1.0056068328725289</v>
      </c>
      <c r="G1961" s="1099">
        <v>0.99005696542469268</v>
      </c>
      <c r="H1961" s="1099">
        <v>0.96522373241982384</v>
      </c>
      <c r="I1961" s="1099">
        <v>0.97148373383626108</v>
      </c>
      <c r="K1961">
        <v>1.7472096997544286</v>
      </c>
      <c r="L1961">
        <v>0</v>
      </c>
      <c r="M1961">
        <v>1.3134031531026112E-3</v>
      </c>
      <c r="N1961">
        <v>0.12763813414710809</v>
      </c>
      <c r="O1961">
        <v>0.12977641590704661</v>
      </c>
      <c r="P1961">
        <v>1.8704238888362978E-2</v>
      </c>
      <c r="Q1961">
        <v>9.3837826048414935E-4</v>
      </c>
      <c r="R1961">
        <v>1.3099038478535728E-3</v>
      </c>
      <c r="S1961">
        <v>0.10548790328636146</v>
      </c>
      <c r="T1961">
        <v>1.0362965458837501</v>
      </c>
      <c r="U1961">
        <v>0</v>
      </c>
      <c r="V1961">
        <v>0.21106256514215235</v>
      </c>
      <c r="W1961">
        <v>8.2952992891767968E-2</v>
      </c>
      <c r="X1961">
        <v>3.0790898188475496E-2</v>
      </c>
      <c r="Y1961">
        <v>3.5651264641700315E-3</v>
      </c>
    </row>
    <row r="1962" spans="1:25" x14ac:dyDescent="0.25">
      <c r="A1962" s="1095"/>
      <c r="B1962" s="1454">
        <v>1712</v>
      </c>
      <c r="C1962" s="1099">
        <v>0.98859767402002918</v>
      </c>
      <c r="D1962" s="1099">
        <v>0.98693593783561195</v>
      </c>
      <c r="E1962" s="1099">
        <v>1.0438213954703071</v>
      </c>
      <c r="F1962" s="1099">
        <v>1.0312480403961435</v>
      </c>
      <c r="G1962" s="1099">
        <v>0.98000346600525534</v>
      </c>
      <c r="H1962" s="1099">
        <v>0.99983449183234674</v>
      </c>
      <c r="I1962" s="1099">
        <v>1.0095301047068275</v>
      </c>
      <c r="K1962">
        <v>1.7928592874241081</v>
      </c>
      <c r="L1962">
        <v>0</v>
      </c>
      <c r="M1962">
        <v>1.2817148501164709E-3</v>
      </c>
      <c r="N1962">
        <v>0.13456535180648904</v>
      </c>
      <c r="O1962">
        <v>0.13125693396206722</v>
      </c>
      <c r="P1962">
        <v>1.9503316405445888E-2</v>
      </c>
      <c r="Q1962">
        <v>9.5593876131860986E-4</v>
      </c>
      <c r="R1962">
        <v>1.2784223980507707E-3</v>
      </c>
      <c r="S1962">
        <v>0.11134556233056093</v>
      </c>
      <c r="T1962">
        <v>1.0619596417148665</v>
      </c>
      <c r="U1962">
        <v>0</v>
      </c>
      <c r="V1962">
        <v>0.21136872118008659</v>
      </c>
      <c r="W1962">
        <v>8.6165879919154198E-2</v>
      </c>
      <c r="X1962">
        <v>3.2261789460520898E-2</v>
      </c>
      <c r="Y1962">
        <v>3.4794443356639423E-3</v>
      </c>
    </row>
    <row r="1963" spans="1:25" x14ac:dyDescent="0.25">
      <c r="A1963" s="1095"/>
      <c r="B1963" s="1454">
        <v>1713</v>
      </c>
      <c r="C1963" s="1099">
        <v>0.96037840333763369</v>
      </c>
      <c r="D1963" s="1099">
        <v>0.99175096923109163</v>
      </c>
      <c r="E1963" s="1099">
        <v>0.9906139413742665</v>
      </c>
      <c r="F1963" s="1099">
        <v>0.99239406582632772</v>
      </c>
      <c r="G1963" s="1099">
        <v>1.0030630872917765</v>
      </c>
      <c r="H1963" s="1099">
        <v>1.0345043376885896</v>
      </c>
      <c r="I1963" s="1099">
        <v>1.010386073732731</v>
      </c>
      <c r="K1963">
        <v>1.7594138926103569</v>
      </c>
      <c r="L1963">
        <v>0</v>
      </c>
      <c r="M1963">
        <v>1.5116228507990564E-3</v>
      </c>
      <c r="N1963">
        <v>0.13517306340766244</v>
      </c>
      <c r="O1963">
        <v>0.1293549026060612</v>
      </c>
      <c r="P1963">
        <v>1.8320209720703459E-2</v>
      </c>
      <c r="Q1963">
        <v>9.2986664900412746E-4</v>
      </c>
      <c r="R1963">
        <v>1.5078444396353942E-3</v>
      </c>
      <c r="S1963">
        <v>0.1163899039390995</v>
      </c>
      <c r="T1963">
        <v>1.0234912949674131</v>
      </c>
      <c r="U1963">
        <v>0</v>
      </c>
      <c r="V1963">
        <v>0.21264151247981661</v>
      </c>
      <c r="W1963">
        <v>8.9298122784868761E-2</v>
      </c>
      <c r="X1963">
        <v>2.971493896299001E-2</v>
      </c>
      <c r="Y1963">
        <v>4.1038555039016045E-3</v>
      </c>
    </row>
    <row r="1964" spans="1:25" x14ac:dyDescent="0.25">
      <c r="A1964" s="1095"/>
      <c r="B1964" s="1454">
        <v>1714</v>
      </c>
      <c r="C1964" s="1099">
        <v>1.0396896051011142</v>
      </c>
      <c r="D1964" s="1099">
        <v>0.9587783149959237</v>
      </c>
      <c r="E1964" s="1099">
        <v>1.0243320507142735</v>
      </c>
      <c r="F1964" s="1099">
        <v>1.0414167230503697</v>
      </c>
      <c r="G1964" s="1099">
        <v>0.96226882602424879</v>
      </c>
      <c r="H1964" s="1099">
        <v>1.0258888968460318</v>
      </c>
      <c r="I1964" s="1099">
        <v>1.0359888836528972</v>
      </c>
      <c r="K1964">
        <v>1.7965578830461237</v>
      </c>
      <c r="L1964">
        <v>0</v>
      </c>
      <c r="M1964">
        <v>1.3315162911828491E-3</v>
      </c>
      <c r="N1964">
        <v>0.13183177852759057</v>
      </c>
      <c r="O1964">
        <v>0.13064267577727126</v>
      </c>
      <c r="P1964">
        <v>1.9351926472365315E-2</v>
      </c>
      <c r="Q1964">
        <v>9.014792004178305E-4</v>
      </c>
      <c r="R1964">
        <v>1.3282178282769121E-3</v>
      </c>
      <c r="S1964">
        <v>0.1128138190912573</v>
      </c>
      <c r="T1964">
        <v>1.0730140409281637</v>
      </c>
      <c r="U1964">
        <v>0</v>
      </c>
      <c r="V1964">
        <v>0.20761820021425531</v>
      </c>
      <c r="W1964">
        <v>8.5372849171436005E-2</v>
      </c>
      <c r="X1964">
        <v>3.1399441044591539E-2</v>
      </c>
      <c r="Y1964">
        <v>3.6149710816803363E-3</v>
      </c>
    </row>
    <row r="1965" spans="1:25" x14ac:dyDescent="0.25">
      <c r="A1965" s="1095"/>
      <c r="B1965" s="1454">
        <v>1715</v>
      </c>
      <c r="C1965" s="1099">
        <v>0.98496992823323426</v>
      </c>
      <c r="D1965" s="1099">
        <v>0.96906207972544645</v>
      </c>
      <c r="E1965" s="1099">
        <v>0.99936498113495853</v>
      </c>
      <c r="F1965" s="1099">
        <v>1.0279700192856642</v>
      </c>
      <c r="G1965" s="1099">
        <v>0.98895614072508986</v>
      </c>
      <c r="H1965" s="1099">
        <v>1.0096361261612476</v>
      </c>
      <c r="I1965" s="1099">
        <v>1.0253004337006095</v>
      </c>
      <c r="K1965">
        <v>1.7929918931398714</v>
      </c>
      <c r="L1965">
        <v>0</v>
      </c>
      <c r="M1965">
        <v>1.4395554081353978E-3</v>
      </c>
      <c r="N1965">
        <v>0.13217381823571078</v>
      </c>
      <c r="O1965">
        <v>0.13188062469490508</v>
      </c>
      <c r="P1965">
        <v>1.8920126179010135E-2</v>
      </c>
      <c r="Q1965">
        <v>9.2344588369600098E-4</v>
      </c>
      <c r="R1965">
        <v>1.4359039044959173E-3</v>
      </c>
      <c r="S1965">
        <v>0.11539231775344996</v>
      </c>
      <c r="T1965">
        <v>1.0599132807212086</v>
      </c>
      <c r="U1965">
        <v>0</v>
      </c>
      <c r="V1965">
        <v>0.2123831975095162</v>
      </c>
      <c r="W1965">
        <v>8.6861999045564006E-2</v>
      </c>
      <c r="X1965">
        <v>3.063867753800727E-2</v>
      </c>
      <c r="Y1965">
        <v>3.9080570824429834E-3</v>
      </c>
    </row>
    <row r="1966" spans="1:25" x14ac:dyDescent="0.25">
      <c r="A1966" s="1095"/>
      <c r="B1966" s="1454">
        <v>1716</v>
      </c>
      <c r="C1966" s="1099">
        <v>1.0027976297607417</v>
      </c>
      <c r="D1966" s="1099">
        <v>0.98847796483325168</v>
      </c>
      <c r="E1966" s="1099">
        <v>0.99601392026045443</v>
      </c>
      <c r="F1966" s="1099">
        <v>0.95986895258603</v>
      </c>
      <c r="G1966" s="1099">
        <v>0.99869398754407623</v>
      </c>
      <c r="H1966" s="1099">
        <v>1.0112763386176837</v>
      </c>
      <c r="I1966" s="1099">
        <v>0.98152109297685286</v>
      </c>
      <c r="K1966">
        <v>1.6914632209453209</v>
      </c>
      <c r="L1966">
        <v>0</v>
      </c>
      <c r="M1966">
        <v>1.4031727882737623E-3</v>
      </c>
      <c r="N1966">
        <v>0.12753316714382357</v>
      </c>
      <c r="O1966">
        <v>0.12478105364687651</v>
      </c>
      <c r="P1966">
        <v>1.7733123419074237E-2</v>
      </c>
      <c r="Q1966">
        <v>8.9673515299599734E-4</v>
      </c>
      <c r="R1966">
        <v>1.3995897371478485E-3</v>
      </c>
      <c r="S1966">
        <v>0.1069704135483647</v>
      </c>
      <c r="T1966">
        <v>0.9897918737440754</v>
      </c>
      <c r="U1966">
        <v>0</v>
      </c>
      <c r="V1966">
        <v>0.20712507224662516</v>
      </c>
      <c r="W1966">
        <v>8.397965528608109E-2</v>
      </c>
      <c r="X1966">
        <v>2.884648791864421E-2</v>
      </c>
      <c r="Y1966">
        <v>3.8092218898835893E-3</v>
      </c>
    </row>
    <row r="1967" spans="1:25" x14ac:dyDescent="0.25">
      <c r="A1967" s="1095"/>
      <c r="B1967" s="1454">
        <v>1717</v>
      </c>
      <c r="C1967" s="1099">
        <v>1.0117370934637102</v>
      </c>
      <c r="D1967" s="1099">
        <v>1.0062004020152326</v>
      </c>
      <c r="E1967" s="1099">
        <v>1.0372020149142382</v>
      </c>
      <c r="F1967" s="1099">
        <v>0.98723715270521661</v>
      </c>
      <c r="G1967" s="1099">
        <v>1.0313975189177471</v>
      </c>
      <c r="H1967" s="1099">
        <v>0.98218054701389512</v>
      </c>
      <c r="I1967" s="1099">
        <v>1.009510188164223</v>
      </c>
      <c r="K1967">
        <v>1.7194675749302799</v>
      </c>
      <c r="L1967">
        <v>0</v>
      </c>
      <c r="M1967">
        <v>1.230986246524856E-3</v>
      </c>
      <c r="N1967">
        <v>0.12668031401529367</v>
      </c>
      <c r="O1967">
        <v>0.12579665956440364</v>
      </c>
      <c r="P1967">
        <v>1.8671713696611171E-2</v>
      </c>
      <c r="Q1967">
        <v>9.2067530314962934E-4</v>
      </c>
      <c r="R1967">
        <v>1.2277494691967355E-3</v>
      </c>
      <c r="S1967">
        <v>0.10613716219118798</v>
      </c>
      <c r="T1967">
        <v>1.0168244997732536</v>
      </c>
      <c r="U1967">
        <v>0</v>
      </c>
      <c r="V1967">
        <v>0.20899933758692379</v>
      </c>
      <c r="W1967">
        <v>8.1426589678393141E-2</v>
      </c>
      <c r="X1967">
        <v>3.0672330570740484E-2</v>
      </c>
      <c r="Y1967">
        <v>3.3415293276497669E-3</v>
      </c>
    </row>
    <row r="1968" spans="1:25" x14ac:dyDescent="0.25">
      <c r="A1968" s="1095"/>
      <c r="B1968" s="1454">
        <v>1718</v>
      </c>
      <c r="C1968" s="1099">
        <v>0.97409830588816826</v>
      </c>
      <c r="D1968" s="1099">
        <v>1.0116141791558446</v>
      </c>
      <c r="E1968" s="1099">
        <v>0.97272131399459993</v>
      </c>
      <c r="F1968" s="1099">
        <v>1.0368736394361697</v>
      </c>
      <c r="G1968" s="1099">
        <v>1.0106465110658402</v>
      </c>
      <c r="H1968" s="1099">
        <v>0.99961583865441384</v>
      </c>
      <c r="I1968" s="1099">
        <v>1.0293730259134695</v>
      </c>
      <c r="K1968">
        <v>1.7904265144334017</v>
      </c>
      <c r="L1968">
        <v>0</v>
      </c>
      <c r="M1968">
        <v>1.4845400515748214E-3</v>
      </c>
      <c r="N1968">
        <v>0.12574583920243637</v>
      </c>
      <c r="O1968">
        <v>0.13100899708143546</v>
      </c>
      <c r="P1968">
        <v>1.8662876119511347E-2</v>
      </c>
      <c r="Q1968">
        <v>8.9264622649213763E-4</v>
      </c>
      <c r="R1968">
        <v>1.4807049558301191E-3</v>
      </c>
      <c r="S1968">
        <v>0.1132763905322581</v>
      </c>
      <c r="T1968">
        <v>1.0699263171343438</v>
      </c>
      <c r="U1968">
        <v>0</v>
      </c>
      <c r="V1968">
        <v>0.21345052107096169</v>
      </c>
      <c r="W1968">
        <v>8.3971470835181736E-2</v>
      </c>
      <c r="X1968">
        <v>2.9465300551013145E-2</v>
      </c>
      <c r="Y1968">
        <v>4.0299907755120771E-3</v>
      </c>
    </row>
    <row r="1969" spans="1:25" x14ac:dyDescent="0.25">
      <c r="A1969" s="1095"/>
      <c r="B1969" s="1454">
        <v>1719</v>
      </c>
      <c r="C1969" s="1099">
        <v>0.99038858534388918</v>
      </c>
      <c r="D1969" s="1099">
        <v>1.0155590745531338</v>
      </c>
      <c r="E1969" s="1099">
        <v>0.96704271233269201</v>
      </c>
      <c r="F1969" s="1099">
        <v>1.0022507060909032</v>
      </c>
      <c r="G1969" s="1099">
        <v>1.0354790523206525</v>
      </c>
      <c r="H1969" s="1099">
        <v>1.0103938751853303</v>
      </c>
      <c r="I1969" s="1099">
        <v>0.95483377285999926</v>
      </c>
      <c r="K1969">
        <v>1.7347975189667511</v>
      </c>
      <c r="L1969">
        <v>0</v>
      </c>
      <c r="M1969">
        <v>1.4875441639378094E-3</v>
      </c>
      <c r="N1969">
        <v>0.12385502483434292</v>
      </c>
      <c r="O1969">
        <v>0.12732474028490201</v>
      </c>
      <c r="P1969">
        <v>1.7952748220180403E-2</v>
      </c>
      <c r="Q1969">
        <v>8.7136866464096268E-4</v>
      </c>
      <c r="R1969">
        <v>1.4837336065390398E-3</v>
      </c>
      <c r="S1969">
        <v>0.10370327150427371</v>
      </c>
      <c r="T1969">
        <v>1.034374010264022</v>
      </c>
      <c r="U1969">
        <v>0</v>
      </c>
      <c r="V1969">
        <v>0.21129512244317822</v>
      </c>
      <c r="W1969">
        <v>8.2995187816389551E-2</v>
      </c>
      <c r="X1969">
        <v>2.8391621727873562E-2</v>
      </c>
      <c r="Y1969">
        <v>4.0382337643473237E-3</v>
      </c>
    </row>
    <row r="1970" spans="1:25" x14ac:dyDescent="0.25">
      <c r="A1970" s="1095"/>
      <c r="B1970" s="1454">
        <v>1720</v>
      </c>
      <c r="C1970" s="1099">
        <v>0.95279301762323865</v>
      </c>
      <c r="D1970" s="1099">
        <v>1.0233294315727173</v>
      </c>
      <c r="E1970" s="1099">
        <v>1.0038161880329524</v>
      </c>
      <c r="F1970" s="1099">
        <v>0.99888148650563091</v>
      </c>
      <c r="G1970" s="1099">
        <v>1.0050437482743793</v>
      </c>
      <c r="H1970" s="1099">
        <v>1.0109818240361288</v>
      </c>
      <c r="I1970" s="1099">
        <v>0.96310204977244263</v>
      </c>
      <c r="K1970">
        <v>1.7521133001576272</v>
      </c>
      <c r="L1970">
        <v>0</v>
      </c>
      <c r="M1970">
        <v>1.4223687817998694E-3</v>
      </c>
      <c r="N1970">
        <v>0.13235891817122089</v>
      </c>
      <c r="O1970">
        <v>0.12887992186283931</v>
      </c>
      <c r="P1970">
        <v>1.8477342417551598E-2</v>
      </c>
      <c r="Q1970">
        <v>9.3836736556204261E-4</v>
      </c>
      <c r="R1970">
        <v>1.4187092991237201E-3</v>
      </c>
      <c r="S1970">
        <v>0.10807776696287148</v>
      </c>
      <c r="T1970">
        <v>1.0297888851203481</v>
      </c>
      <c r="U1970">
        <v>0</v>
      </c>
      <c r="V1970">
        <v>0.21285943367280585</v>
      </c>
      <c r="W1970">
        <v>8.6754115110246124E-2</v>
      </c>
      <c r="X1970">
        <v>3.0120949922037604E-2</v>
      </c>
      <c r="Y1970">
        <v>3.8612590348200016E-3</v>
      </c>
    </row>
    <row r="1971" spans="1:25" x14ac:dyDescent="0.25">
      <c r="A1971" s="1095"/>
      <c r="B1971" s="1454">
        <v>1721</v>
      </c>
      <c r="C1971" s="1099">
        <v>0.99579597949104581</v>
      </c>
      <c r="D1971" s="1099">
        <v>1.0307202133450866</v>
      </c>
      <c r="E1971" s="1099">
        <v>0.97687454302235743</v>
      </c>
      <c r="F1971" s="1099">
        <v>1.0270142041760899</v>
      </c>
      <c r="G1971" s="1099">
        <v>0.98715604673579949</v>
      </c>
      <c r="H1971" s="1099">
        <v>0.99245286604343608</v>
      </c>
      <c r="I1971" s="1099">
        <v>0.98808038461927239</v>
      </c>
      <c r="K1971">
        <v>1.7563497649417321</v>
      </c>
      <c r="L1971">
        <v>0</v>
      </c>
      <c r="M1971">
        <v>1.415115809361756E-3</v>
      </c>
      <c r="N1971">
        <v>0.1213786094452767</v>
      </c>
      <c r="O1971">
        <v>0.12826105791679088</v>
      </c>
      <c r="P1971">
        <v>1.8414515576989178E-2</v>
      </c>
      <c r="Q1971">
        <v>8.7047622836908126E-4</v>
      </c>
      <c r="R1971">
        <v>1.4114240645749935E-3</v>
      </c>
      <c r="S1971">
        <v>0.10472272259821018</v>
      </c>
      <c r="T1971">
        <v>1.0596225816184908</v>
      </c>
      <c r="U1971">
        <v>0</v>
      </c>
      <c r="V1971">
        <v>0.20936492196899031</v>
      </c>
      <c r="W1971">
        <v>8.0851235425673781E-2</v>
      </c>
      <c r="X1971">
        <v>2.9025904879773072E-2</v>
      </c>
      <c r="Y1971">
        <v>3.8414310279552906E-3</v>
      </c>
    </row>
    <row r="1972" spans="1:25" x14ac:dyDescent="0.25">
      <c r="A1972" s="1095"/>
      <c r="B1972" s="1454">
        <v>1722</v>
      </c>
      <c r="C1972" s="1099">
        <v>0.994072648088274</v>
      </c>
      <c r="D1972" s="1099">
        <v>1.0159467339902344</v>
      </c>
      <c r="E1972" s="1099">
        <v>1.0040256402008785</v>
      </c>
      <c r="F1972" s="1099">
        <v>0.9858791585351776</v>
      </c>
      <c r="G1972" s="1099">
        <v>0.98466076971467786</v>
      </c>
      <c r="H1972" s="1099">
        <v>0.96168456245014156</v>
      </c>
      <c r="I1972" s="1099">
        <v>0.97770810295233324</v>
      </c>
      <c r="K1972">
        <v>1.7057326243958388</v>
      </c>
      <c r="L1972">
        <v>0</v>
      </c>
      <c r="M1972">
        <v>1.3049014278140498E-3</v>
      </c>
      <c r="N1972">
        <v>0.12148996880658815</v>
      </c>
      <c r="O1972">
        <v>0.12602262987142263</v>
      </c>
      <c r="P1972">
        <v>1.8149900662426714E-2</v>
      </c>
      <c r="Q1972">
        <v>9.0220506866780961E-4</v>
      </c>
      <c r="R1972">
        <v>1.3013852636286724E-3</v>
      </c>
      <c r="S1972">
        <v>0.10244483124192201</v>
      </c>
      <c r="T1972">
        <v>1.0163781246507564</v>
      </c>
      <c r="U1972">
        <v>0</v>
      </c>
      <c r="V1972">
        <v>0.20776289298508319</v>
      </c>
      <c r="W1972">
        <v>7.9620224746675308E-2</v>
      </c>
      <c r="X1972">
        <v>2.9423420840420003E-2</v>
      </c>
      <c r="Y1972">
        <v>3.5419416860603872E-3</v>
      </c>
    </row>
    <row r="1973" spans="1:25" x14ac:dyDescent="0.25">
      <c r="A1973" s="1095"/>
      <c r="B1973" s="1454">
        <v>1723</v>
      </c>
      <c r="C1973" s="1099">
        <v>1.0107855797311593</v>
      </c>
      <c r="D1973" s="1099">
        <v>0.99534560561719176</v>
      </c>
      <c r="E1973" s="1099">
        <v>0.97798452778514211</v>
      </c>
      <c r="F1973" s="1099">
        <v>1.0145139871697848</v>
      </c>
      <c r="G1973" s="1099">
        <v>0.99909106152557015</v>
      </c>
      <c r="H1973" s="1099">
        <v>1.0074774758759237</v>
      </c>
      <c r="I1973" s="1099">
        <v>0.96488555288179523</v>
      </c>
      <c r="K1973">
        <v>1.746613847785516</v>
      </c>
      <c r="L1973">
        <v>0</v>
      </c>
      <c r="M1973">
        <v>1.4417032788671164E-3</v>
      </c>
      <c r="N1973">
        <v>0.12408219597838489</v>
      </c>
      <c r="O1973">
        <v>0.12816570563685345</v>
      </c>
      <c r="P1973">
        <v>1.8242829587711992E-2</v>
      </c>
      <c r="Q1973">
        <v>8.7064451781122831E-4</v>
      </c>
      <c r="R1973">
        <v>1.4380235707583471E-3</v>
      </c>
      <c r="S1973">
        <v>0.10397088875073426</v>
      </c>
      <c r="T1973">
        <v>1.0466912403104609</v>
      </c>
      <c r="U1973">
        <v>0</v>
      </c>
      <c r="V1973">
        <v>0.20908962265586339</v>
      </c>
      <c r="W1973">
        <v>8.2596624739322194E-2</v>
      </c>
      <c r="X1973">
        <v>2.8993949201220046E-2</v>
      </c>
      <c r="Y1973">
        <v>3.9138261152615213E-3</v>
      </c>
    </row>
    <row r="1974" spans="1:25" x14ac:dyDescent="0.25">
      <c r="A1974" s="1095"/>
      <c r="B1974" s="1454">
        <v>1724</v>
      </c>
      <c r="C1974" s="1099">
        <v>0.98216530027398974</v>
      </c>
      <c r="D1974" s="1099">
        <v>0.97095105860216302</v>
      </c>
      <c r="E1974" s="1099">
        <v>1.0248503774858306</v>
      </c>
      <c r="F1974" s="1099">
        <v>1.0020874527063486</v>
      </c>
      <c r="G1974" s="1099">
        <v>1.0015545095676197</v>
      </c>
      <c r="H1974" s="1099">
        <v>0.98954798566820534</v>
      </c>
      <c r="I1974" s="1099">
        <v>0.97335610886145485</v>
      </c>
      <c r="K1974">
        <v>1.7555001482179919</v>
      </c>
      <c r="L1974">
        <v>0</v>
      </c>
      <c r="M1974">
        <v>1.3370310524376859E-3</v>
      </c>
      <c r="N1974">
        <v>0.13256914991382124</v>
      </c>
      <c r="O1974">
        <v>0.13005322441086034</v>
      </c>
      <c r="P1974">
        <v>1.8791038857599879E-2</v>
      </c>
      <c r="Q1974">
        <v>9.4997797276251536E-4</v>
      </c>
      <c r="R1974">
        <v>1.3335607256614432E-3</v>
      </c>
      <c r="S1974">
        <v>0.10817833126831909</v>
      </c>
      <c r="T1974">
        <v>1.0324764310371115</v>
      </c>
      <c r="U1974">
        <v>0</v>
      </c>
      <c r="V1974">
        <v>0.21188775723824252</v>
      </c>
      <c r="W1974">
        <v>8.5824426670169582E-2</v>
      </c>
      <c r="X1974">
        <v>3.1143768488805779E-2</v>
      </c>
      <c r="Y1974">
        <v>3.6295126870753802E-3</v>
      </c>
    </row>
    <row r="1975" spans="1:25" x14ac:dyDescent="0.25">
      <c r="A1975" s="1095"/>
      <c r="B1975" s="1454">
        <v>1725</v>
      </c>
      <c r="C1975" s="1099">
        <v>0.97720376525714225</v>
      </c>
      <c r="D1975" s="1099">
        <v>0.99489526617642099</v>
      </c>
      <c r="E1975" s="1099">
        <v>1.0044246282088631</v>
      </c>
      <c r="F1975" s="1099">
        <v>0.99767340211819777</v>
      </c>
      <c r="G1975" s="1099">
        <v>1.006501854867387</v>
      </c>
      <c r="H1975" s="1099">
        <v>0.97173184972616633</v>
      </c>
      <c r="I1975" s="1099">
        <v>1.0330765348981961</v>
      </c>
      <c r="K1975">
        <v>1.7435411733489503</v>
      </c>
      <c r="L1975">
        <v>0</v>
      </c>
      <c r="M1975">
        <v>1.3562201498833349E-3</v>
      </c>
      <c r="N1975">
        <v>0.12642485552934579</v>
      </c>
      <c r="O1975">
        <v>0.12876977984417726</v>
      </c>
      <c r="P1975">
        <v>1.8507497107732172E-2</v>
      </c>
      <c r="Q1975">
        <v>9.258804989049934E-4</v>
      </c>
      <c r="R1975">
        <v>1.3526161903908021E-3</v>
      </c>
      <c r="S1975">
        <v>0.11226292478339635</v>
      </c>
      <c r="T1975">
        <v>1.0285254495887313</v>
      </c>
      <c r="U1975">
        <v>0</v>
      </c>
      <c r="V1975">
        <v>0.21152898579939136</v>
      </c>
      <c r="W1975">
        <v>8.2834794716868637E-2</v>
      </c>
      <c r="X1975">
        <v>3.0083234059455895E-2</v>
      </c>
      <c r="Y1975">
        <v>3.6813753804364369E-3</v>
      </c>
    </row>
    <row r="1976" spans="1:25" x14ac:dyDescent="0.25">
      <c r="A1976" s="1095"/>
      <c r="B1976" s="1454">
        <v>1726</v>
      </c>
      <c r="C1976" s="1099">
        <v>1.0125102561974106</v>
      </c>
      <c r="D1976" s="1099">
        <v>1.0173921222311932</v>
      </c>
      <c r="E1976" s="1099">
        <v>1.0052955446527476</v>
      </c>
      <c r="F1976" s="1099">
        <v>0.9594935521380672</v>
      </c>
      <c r="G1976" s="1099">
        <v>1.0047581017855283</v>
      </c>
      <c r="H1976" s="1099">
        <v>1.0199807073267173</v>
      </c>
      <c r="I1976" s="1099">
        <v>1.0436986011324942</v>
      </c>
      <c r="K1976">
        <v>1.6899312052254511</v>
      </c>
      <c r="L1976">
        <v>0</v>
      </c>
      <c r="M1976">
        <v>1.3529757315609403E-3</v>
      </c>
      <c r="N1976">
        <v>0.12646904549569041</v>
      </c>
      <c r="O1976">
        <v>0.12302501689437738</v>
      </c>
      <c r="P1976">
        <v>1.788912606863333E-2</v>
      </c>
      <c r="Q1976">
        <v>8.8643598243981513E-4</v>
      </c>
      <c r="R1976">
        <v>1.3495346415288707E-3</v>
      </c>
      <c r="S1976">
        <v>0.11136553075441848</v>
      </c>
      <c r="T1976">
        <v>0.98914020591386442</v>
      </c>
      <c r="U1976">
        <v>0</v>
      </c>
      <c r="V1976">
        <v>0.20578047693096446</v>
      </c>
      <c r="W1976">
        <v>8.2821031257017869E-2</v>
      </c>
      <c r="X1976">
        <v>2.8884788597810542E-2</v>
      </c>
      <c r="Y1976">
        <v>3.6729884202665684E-3</v>
      </c>
    </row>
    <row r="1977" spans="1:25" x14ac:dyDescent="0.25">
      <c r="A1977" s="1095"/>
      <c r="B1977" s="1454">
        <v>1727</v>
      </c>
      <c r="C1977" s="1099">
        <v>0.98481392577339999</v>
      </c>
      <c r="D1977" s="1099">
        <v>0.99386893970622503</v>
      </c>
      <c r="E1977" s="1099">
        <v>1.0232567563158759</v>
      </c>
      <c r="F1977" s="1099">
        <v>0.98921930714866935</v>
      </c>
      <c r="G1977" s="1099">
        <v>0.97492237752929789</v>
      </c>
      <c r="H1977" s="1099">
        <v>0.9666796789987584</v>
      </c>
      <c r="I1977" s="1099">
        <v>0.99625670217389195</v>
      </c>
      <c r="K1977">
        <v>1.7261892434905131</v>
      </c>
      <c r="L1977">
        <v>0</v>
      </c>
      <c r="M1977">
        <v>1.2880054614924728E-3</v>
      </c>
      <c r="N1977">
        <v>0.12708624141372724</v>
      </c>
      <c r="O1977">
        <v>0.12784007682418871</v>
      </c>
      <c r="P1977">
        <v>1.8531327188300344E-2</v>
      </c>
      <c r="Q1977">
        <v>9.3709314874135881E-4</v>
      </c>
      <c r="R1977">
        <v>1.2845652196669271E-3</v>
      </c>
      <c r="S1977">
        <v>0.10716204284612935</v>
      </c>
      <c r="T1977">
        <v>1.0192637887359821</v>
      </c>
      <c r="U1977">
        <v>0</v>
      </c>
      <c r="V1977">
        <v>0.20897599550743926</v>
      </c>
      <c r="W1977">
        <v>8.2351327217052558E-2</v>
      </c>
      <c r="X1977">
        <v>3.0548627779655186E-2</v>
      </c>
      <c r="Y1977">
        <v>3.4961630711225185E-3</v>
      </c>
    </row>
    <row r="1978" spans="1:25" x14ac:dyDescent="0.25">
      <c r="A1978" s="1095"/>
      <c r="B1978" s="1454">
        <v>1728</v>
      </c>
      <c r="C1978" s="1099">
        <v>1.0135750340929393</v>
      </c>
      <c r="D1978" s="1099">
        <v>1.0101276427074946</v>
      </c>
      <c r="E1978" s="1099">
        <v>1.0104750182071722</v>
      </c>
      <c r="F1978" s="1099">
        <v>0.98691545031432559</v>
      </c>
      <c r="G1978" s="1099">
        <v>0.95869580308487368</v>
      </c>
      <c r="H1978" s="1099">
        <v>1.0105232455858797</v>
      </c>
      <c r="I1978" s="1099">
        <v>0.99650792365438901</v>
      </c>
      <c r="K1978">
        <v>1.7156804952548392</v>
      </c>
      <c r="L1978">
        <v>0</v>
      </c>
      <c r="M1978">
        <v>1.3336524066186017E-3</v>
      </c>
      <c r="N1978">
        <v>0.12662599809893471</v>
      </c>
      <c r="O1978">
        <v>0.12540035722536416</v>
      </c>
      <c r="P1978">
        <v>1.8264704414607948E-2</v>
      </c>
      <c r="Q1978">
        <v>8.9280823902542438E-4</v>
      </c>
      <c r="R1978">
        <v>1.3302419482867597E-3</v>
      </c>
      <c r="S1978">
        <v>0.10622764623917048</v>
      </c>
      <c r="T1978">
        <v>1.0172586350875239</v>
      </c>
      <c r="U1978">
        <v>0</v>
      </c>
      <c r="V1978">
        <v>0.20512434688130743</v>
      </c>
      <c r="W1978">
        <v>8.2670513229690892E-2</v>
      </c>
      <c r="X1978">
        <v>2.9598416228448853E-2</v>
      </c>
      <c r="Y1978">
        <v>3.6204800690961612E-3</v>
      </c>
    </row>
    <row r="1979" spans="1:25" x14ac:dyDescent="0.25">
      <c r="A1979" s="1095"/>
      <c r="B1979" s="1454">
        <v>1729</v>
      </c>
      <c r="C1979" s="1099">
        <v>1.009631766122169</v>
      </c>
      <c r="D1979" s="1099">
        <v>0.96700785950614709</v>
      </c>
      <c r="E1979" s="1099">
        <v>1.0025318826026226</v>
      </c>
      <c r="F1979" s="1099">
        <v>1.017561624654381</v>
      </c>
      <c r="G1979" s="1099">
        <v>0.98465641726462105</v>
      </c>
      <c r="H1979" s="1099">
        <v>1.0323705961204794</v>
      </c>
      <c r="I1979" s="1099">
        <v>1.0097491714871993</v>
      </c>
      <c r="K1979">
        <v>1.7747048556020699</v>
      </c>
      <c r="L1979">
        <v>0</v>
      </c>
      <c r="M1979">
        <v>1.4301157136050284E-3</v>
      </c>
      <c r="N1979">
        <v>0.13257733167339317</v>
      </c>
      <c r="O1979">
        <v>0.12989443720449845</v>
      </c>
      <c r="P1979">
        <v>1.8742320278165692E-2</v>
      </c>
      <c r="Q1979">
        <v>9.0461819957140914E-4</v>
      </c>
      <c r="R1979">
        <v>1.4265737264052751E-3</v>
      </c>
      <c r="S1979">
        <v>0.11272834257792856</v>
      </c>
      <c r="T1979">
        <v>1.0490857497943586</v>
      </c>
      <c r="U1979">
        <v>0</v>
      </c>
      <c r="V1979">
        <v>0.20959373089379521</v>
      </c>
      <c r="W1979">
        <v>8.6963463094173452E-2</v>
      </c>
      <c r="X1979">
        <v>3.0335740460012348E-2</v>
      </c>
      <c r="Y1979">
        <v>3.8826634133726375E-3</v>
      </c>
    </row>
    <row r="1980" spans="1:25" x14ac:dyDescent="0.25">
      <c r="A1980" s="1095"/>
      <c r="B1980" s="1454">
        <v>1730</v>
      </c>
      <c r="C1980" s="1099">
        <v>1.0191473056057743</v>
      </c>
      <c r="D1980" s="1099">
        <v>1.005238707454438</v>
      </c>
      <c r="E1980" s="1099">
        <v>1.0035045698345737</v>
      </c>
      <c r="F1980" s="1099">
        <v>1.0037146917158595</v>
      </c>
      <c r="G1980" s="1099">
        <v>1.0037121795255513</v>
      </c>
      <c r="H1980" s="1099">
        <v>1.0178653864918905</v>
      </c>
      <c r="I1980" s="1099">
        <v>0.969580665732932</v>
      </c>
      <c r="K1980">
        <v>1.7351530278768175</v>
      </c>
      <c r="L1980">
        <v>0</v>
      </c>
      <c r="M1980">
        <v>1.3619295287094801E-3</v>
      </c>
      <c r="N1980">
        <v>0.12662072163859558</v>
      </c>
      <c r="O1980">
        <v>0.12657980906123201</v>
      </c>
      <c r="P1980">
        <v>1.8412838910155153E-2</v>
      </c>
      <c r="Q1980">
        <v>8.8326894990068566E-4</v>
      </c>
      <c r="R1980">
        <v>1.3584815808564575E-3</v>
      </c>
      <c r="S1980">
        <v>0.10370330806451702</v>
      </c>
      <c r="T1980">
        <v>1.0347809032135642</v>
      </c>
      <c r="U1980">
        <v>0</v>
      </c>
      <c r="V1980">
        <v>0.20784330420320765</v>
      </c>
      <c r="W1980">
        <v>8.3008365624680086E-2</v>
      </c>
      <c r="X1980">
        <v>2.9626617119059832E-2</v>
      </c>
      <c r="Y1980">
        <v>3.6973390397585038E-3</v>
      </c>
    </row>
    <row r="1981" spans="1:25" x14ac:dyDescent="0.25">
      <c r="A1981" s="1095"/>
      <c r="B1981" s="1454">
        <v>1731</v>
      </c>
      <c r="C1981" s="1099">
        <v>1.0107653938791019</v>
      </c>
      <c r="D1981" s="1099">
        <v>0.97663257444785412</v>
      </c>
      <c r="E1981" s="1099">
        <v>0.96396331670566915</v>
      </c>
      <c r="F1981" s="1099">
        <v>0.9960185396604293</v>
      </c>
      <c r="G1981" s="1099">
        <v>0.99317551530102344</v>
      </c>
      <c r="H1981" s="1099">
        <v>1.0327574473637413</v>
      </c>
      <c r="I1981" s="1099">
        <v>0.99357489854440606</v>
      </c>
      <c r="K1981">
        <v>1.7369264522436461</v>
      </c>
      <c r="L1981">
        <v>0</v>
      </c>
      <c r="M1981">
        <v>1.5359829322110353E-3</v>
      </c>
      <c r="N1981">
        <v>0.12671056954452384</v>
      </c>
      <c r="O1981">
        <v>0.1275803916944801</v>
      </c>
      <c r="P1981">
        <v>1.7870312191688036E-2</v>
      </c>
      <c r="Q1981">
        <v>8.6443903063982395E-4</v>
      </c>
      <c r="R1981">
        <v>1.5321661947618212E-3</v>
      </c>
      <c r="S1981">
        <v>0.10995208512841967</v>
      </c>
      <c r="T1981">
        <v>1.0280364361678382</v>
      </c>
      <c r="U1981">
        <v>0</v>
      </c>
      <c r="V1981">
        <v>0.20837256777680202</v>
      </c>
      <c r="W1981">
        <v>8.5068544582794101E-2</v>
      </c>
      <c r="X1981">
        <v>2.8304871560215977E-2</v>
      </c>
      <c r="Y1981">
        <v>4.1700513036913179E-3</v>
      </c>
    </row>
    <row r="1982" spans="1:25" x14ac:dyDescent="0.25">
      <c r="A1982" s="1095"/>
      <c r="B1982" s="1454">
        <v>1732</v>
      </c>
      <c r="C1982" s="1099">
        <v>0.99855640034481374</v>
      </c>
      <c r="D1982" s="1099">
        <v>0.98931842370487844</v>
      </c>
      <c r="E1982" s="1099">
        <v>0.98821079349025887</v>
      </c>
      <c r="F1982" s="1099">
        <v>1.0005320095782093</v>
      </c>
      <c r="G1982" s="1099">
        <v>1.000206973674735</v>
      </c>
      <c r="H1982" s="1099">
        <v>1.0131200038117931</v>
      </c>
      <c r="I1982" s="1099">
        <v>0.98653375557652911</v>
      </c>
      <c r="K1982">
        <v>1.742536886035307</v>
      </c>
      <c r="L1982">
        <v>0</v>
      </c>
      <c r="M1982">
        <v>1.4387789150188063E-3</v>
      </c>
      <c r="N1982">
        <v>0.1277224377071165</v>
      </c>
      <c r="O1982">
        <v>0.12805908831533405</v>
      </c>
      <c r="P1982">
        <v>1.8251199962433667E-2</v>
      </c>
      <c r="Q1982">
        <v>8.929535243254428E-4</v>
      </c>
      <c r="R1982">
        <v>1.4351232454468223E-3</v>
      </c>
      <c r="S1982">
        <v>0.10826489321075604</v>
      </c>
      <c r="T1982">
        <v>1.0319564807729538</v>
      </c>
      <c r="U1982">
        <v>0</v>
      </c>
      <c r="V1982">
        <v>0.20965359564793315</v>
      </c>
      <c r="W1982">
        <v>8.4497699832188106E-2</v>
      </c>
      <c r="X1982">
        <v>2.9336260345982579E-2</v>
      </c>
      <c r="Y1982">
        <v>3.9059323858555354E-3</v>
      </c>
    </row>
    <row r="1983" spans="1:25" x14ac:dyDescent="0.25">
      <c r="A1983" s="1095"/>
      <c r="B1983" s="1454">
        <v>1733</v>
      </c>
      <c r="C1983" s="1099">
        <v>1.0362630323644217</v>
      </c>
      <c r="D1983" s="1099">
        <v>1.0265253953203266</v>
      </c>
      <c r="E1983" s="1099">
        <v>0.97861249520619809</v>
      </c>
      <c r="F1983" s="1099">
        <v>1.0414557979809302</v>
      </c>
      <c r="G1983" s="1099">
        <v>0.9675082832628854</v>
      </c>
      <c r="H1983" s="1099">
        <v>0.99824260211867033</v>
      </c>
      <c r="I1983" s="1099">
        <v>0.98482330010520547</v>
      </c>
      <c r="K1983">
        <v>1.7581456162438005</v>
      </c>
      <c r="L1983">
        <v>0</v>
      </c>
      <c r="M1983">
        <v>1.3718734124491011E-3</v>
      </c>
      <c r="N1983">
        <v>0.11829338747136807</v>
      </c>
      <c r="O1983">
        <v>0.12744147177361087</v>
      </c>
      <c r="P1983">
        <v>1.8545077317374859E-2</v>
      </c>
      <c r="Q1983">
        <v>8.3937811599635846E-4</v>
      </c>
      <c r="R1983">
        <v>1.3683327844020632E-3</v>
      </c>
      <c r="S1983">
        <v>0.10120983135231545</v>
      </c>
      <c r="T1983">
        <v>1.0744676971178295</v>
      </c>
      <c r="U1983">
        <v>0</v>
      </c>
      <c r="V1983">
        <v>0.20594885099967006</v>
      </c>
      <c r="W1983">
        <v>7.8713350594703135E-2</v>
      </c>
      <c r="X1983">
        <v>2.8965961360617628E-2</v>
      </c>
      <c r="Y1983">
        <v>3.7241507683612651E-3</v>
      </c>
    </row>
    <row r="1984" spans="1:25" x14ac:dyDescent="0.25">
      <c r="A1984" s="1095"/>
      <c r="B1984" s="1454">
        <v>1734</v>
      </c>
      <c r="C1984" s="1099">
        <v>1.0029624965258697</v>
      </c>
      <c r="D1984" s="1099">
        <v>1.0023016918143446</v>
      </c>
      <c r="E1984" s="1099">
        <v>0.95336955987930638</v>
      </c>
      <c r="F1984" s="1099">
        <v>1.0078913263864597</v>
      </c>
      <c r="G1984" s="1099">
        <v>1.0037494954720421</v>
      </c>
      <c r="H1984" s="1099">
        <v>0.97985577786965827</v>
      </c>
      <c r="I1984" s="1099">
        <v>0.97661724574733566</v>
      </c>
      <c r="K1984">
        <v>1.7298010320773147</v>
      </c>
      <c r="L1984">
        <v>0</v>
      </c>
      <c r="M1984">
        <v>1.4788551022241285E-3</v>
      </c>
      <c r="N1984">
        <v>0.11812617126697141</v>
      </c>
      <c r="O1984">
        <v>0.12765119978564374</v>
      </c>
      <c r="P1984">
        <v>1.7819068011881652E-2</v>
      </c>
      <c r="Q1984">
        <v>8.5254276960635691E-4</v>
      </c>
      <c r="R1984">
        <v>1.4749643669216311E-3</v>
      </c>
      <c r="S1984">
        <v>0.10359923068672686</v>
      </c>
      <c r="T1984">
        <v>1.0406214986820173</v>
      </c>
      <c r="U1984">
        <v>0</v>
      </c>
      <c r="V1984">
        <v>0.20934580371473865</v>
      </c>
      <c r="W1984">
        <v>7.9822964011434433E-2</v>
      </c>
      <c r="X1984">
        <v>2.7952077098709709E-2</v>
      </c>
      <c r="Y1984">
        <v>4.014366784887799E-3</v>
      </c>
    </row>
    <row r="1985" spans="1:25" x14ac:dyDescent="0.25">
      <c r="A1985" s="1095"/>
      <c r="B1985" s="1454">
        <v>1735</v>
      </c>
      <c r="C1985" s="1099">
        <v>0.9804431930109061</v>
      </c>
      <c r="D1985" s="1099">
        <v>0.98503227823674178</v>
      </c>
      <c r="E1985" s="1099">
        <v>0.95583540119123056</v>
      </c>
      <c r="F1985" s="1099">
        <v>0.9667372253679728</v>
      </c>
      <c r="G1985" s="1099">
        <v>0.97225872232419597</v>
      </c>
      <c r="H1985" s="1099">
        <v>0.99078972084746064</v>
      </c>
      <c r="I1985" s="1099">
        <v>0.98047347225482273</v>
      </c>
      <c r="K1985">
        <v>1.6966492513874833</v>
      </c>
      <c r="L1985">
        <v>0</v>
      </c>
      <c r="M1985">
        <v>1.5289317008142938E-3</v>
      </c>
      <c r="N1985">
        <v>0.12304522964885155</v>
      </c>
      <c r="O1985">
        <v>0.12646270837143445</v>
      </c>
      <c r="P1985">
        <v>1.7332741858471671E-2</v>
      </c>
      <c r="Q1985">
        <v>8.805120423306614E-4</v>
      </c>
      <c r="R1985">
        <v>1.5249441348944074E-3</v>
      </c>
      <c r="S1985">
        <v>0.1079274634335525</v>
      </c>
      <c r="T1985">
        <v>0.99805685870628635</v>
      </c>
      <c r="U1985">
        <v>0</v>
      </c>
      <c r="V1985">
        <v>0.20811047478587386</v>
      </c>
      <c r="W1985">
        <v>8.3020756404772217E-2</v>
      </c>
      <c r="X1985">
        <v>2.7666098464344493E-2</v>
      </c>
      <c r="Y1985">
        <v>4.1503952374836112E-3</v>
      </c>
    </row>
    <row r="1986" spans="1:25" x14ac:dyDescent="0.25">
      <c r="A1986" s="1095"/>
      <c r="B1986" s="1454">
        <v>1736</v>
      </c>
      <c r="C1986" s="1099">
        <v>0.98274010053864724</v>
      </c>
      <c r="D1986" s="1099">
        <v>0.98256196479550395</v>
      </c>
      <c r="E1986" s="1099">
        <v>1.0037360000709534</v>
      </c>
      <c r="F1986" s="1099">
        <v>0.99931681386916138</v>
      </c>
      <c r="G1986" s="1099">
        <v>0.99720776754983786</v>
      </c>
      <c r="H1986" s="1099">
        <v>1.0109074782061751</v>
      </c>
      <c r="I1986" s="1099">
        <v>0.97722630079221973</v>
      </c>
      <c r="K1986">
        <v>1.7511806615820775</v>
      </c>
      <c r="L1986">
        <v>0</v>
      </c>
      <c r="M1986">
        <v>1.4161596241915723E-3</v>
      </c>
      <c r="N1986">
        <v>0.13175264006825266</v>
      </c>
      <c r="O1986">
        <v>0.12917370438935286</v>
      </c>
      <c r="P1986">
        <v>1.8473093878115104E-2</v>
      </c>
      <c r="Q1986">
        <v>9.2461078691777321E-4</v>
      </c>
      <c r="R1986">
        <v>1.4125528905511242E-3</v>
      </c>
      <c r="S1986">
        <v>0.10919900830802166</v>
      </c>
      <c r="T1986">
        <v>1.0302400554998838</v>
      </c>
      <c r="U1986">
        <v>0</v>
      </c>
      <c r="V1986">
        <v>0.21105728319232897</v>
      </c>
      <c r="W1986">
        <v>8.6360836146084988E-2</v>
      </c>
      <c r="X1986">
        <v>3.0158532726615138E-2</v>
      </c>
      <c r="Y1986">
        <v>3.8445033201449357E-3</v>
      </c>
    </row>
    <row r="1987" spans="1:25" x14ac:dyDescent="0.25">
      <c r="A1987" s="1095"/>
      <c r="B1987" s="1454">
        <v>1737</v>
      </c>
      <c r="C1987" s="1099">
        <v>0.98474648611236482</v>
      </c>
      <c r="D1987" s="1099">
        <v>1.0235735761689324</v>
      </c>
      <c r="E1987" s="1099">
        <v>1.0112382971940426</v>
      </c>
      <c r="F1987" s="1099">
        <v>1.0044960548657518</v>
      </c>
      <c r="G1987" s="1099">
        <v>0.98202810243367678</v>
      </c>
      <c r="H1987" s="1099">
        <v>1.0257950154331741</v>
      </c>
      <c r="I1987" s="1099">
        <v>0.99220556225814982</v>
      </c>
      <c r="K1987">
        <v>1.7515218121530827</v>
      </c>
      <c r="L1987">
        <v>0</v>
      </c>
      <c r="M1987">
        <v>1.3792592031778891E-3</v>
      </c>
      <c r="N1987">
        <v>0.13126220899695623</v>
      </c>
      <c r="O1987">
        <v>0.12760677702332962</v>
      </c>
      <c r="P1987">
        <v>1.8617941155476284E-2</v>
      </c>
      <c r="Q1987">
        <v>9.1481702679892794E-4</v>
      </c>
      <c r="R1987">
        <v>1.3757729547551974E-3</v>
      </c>
      <c r="S1987">
        <v>0.10898110789774036</v>
      </c>
      <c r="T1987">
        <v>1.035357219041404</v>
      </c>
      <c r="U1987">
        <v>0</v>
      </c>
      <c r="V1987">
        <v>0.20920344915796843</v>
      </c>
      <c r="W1987">
        <v>8.5658826869544027E-2</v>
      </c>
      <c r="X1987">
        <v>3.0178550772873968E-2</v>
      </c>
      <c r="Y1987">
        <v>3.7444004594110003E-3</v>
      </c>
    </row>
    <row r="1988" spans="1:25" x14ac:dyDescent="0.25">
      <c r="A1988" s="1095"/>
      <c r="B1988" s="1454">
        <v>1738</v>
      </c>
      <c r="C1988" s="1099">
        <v>0.99804270250352123</v>
      </c>
      <c r="D1988" s="1099">
        <v>0.95906436743524237</v>
      </c>
      <c r="E1988" s="1099">
        <v>1.0214561958688226</v>
      </c>
      <c r="F1988" s="1099">
        <v>0.99785696103226795</v>
      </c>
      <c r="G1988" s="1099">
        <v>0.98580283894506049</v>
      </c>
      <c r="H1988" s="1099">
        <v>1.0445258594638507</v>
      </c>
      <c r="I1988" s="1099">
        <v>0.97611426110843091</v>
      </c>
      <c r="K1988">
        <v>1.7616933709675846</v>
      </c>
      <c r="L1988">
        <v>0</v>
      </c>
      <c r="M1988">
        <v>1.4102917226293341E-3</v>
      </c>
      <c r="N1988">
        <v>0.13842898272489823</v>
      </c>
      <c r="O1988">
        <v>0.129447954246624</v>
      </c>
      <c r="P1988">
        <v>1.8703780201945526E-2</v>
      </c>
      <c r="Q1988">
        <v>9.362227313196432E-4</v>
      </c>
      <c r="R1988">
        <v>1.4068354007972404E-3</v>
      </c>
      <c r="S1988">
        <v>0.11148852309006498</v>
      </c>
      <c r="T1988">
        <v>1.0282160038190031</v>
      </c>
      <c r="U1988">
        <v>0</v>
      </c>
      <c r="V1988">
        <v>0.20989934943524247</v>
      </c>
      <c r="W1988">
        <v>8.979574211676708E-2</v>
      </c>
      <c r="X1988">
        <v>3.0951326725746298E-2</v>
      </c>
      <c r="Y1988">
        <v>3.8289421978048551E-3</v>
      </c>
    </row>
    <row r="1989" spans="1:25" x14ac:dyDescent="0.25">
      <c r="A1989" s="1095"/>
      <c r="B1989" s="1454">
        <v>1739</v>
      </c>
      <c r="C1989" s="1099">
        <v>0.98949041367874091</v>
      </c>
      <c r="D1989" s="1099">
        <v>1.0369183755396696</v>
      </c>
      <c r="E1989" s="1099">
        <v>1.0126192539561183</v>
      </c>
      <c r="F1989" s="1099">
        <v>0.98078857797410324</v>
      </c>
      <c r="G1989" s="1099">
        <v>0.99947386192712351</v>
      </c>
      <c r="H1989" s="1099">
        <v>1.02434561012989</v>
      </c>
      <c r="I1989" s="1099">
        <v>0.98961131265993307</v>
      </c>
      <c r="K1989">
        <v>1.7172527912568956</v>
      </c>
      <c r="L1989">
        <v>0</v>
      </c>
      <c r="M1989">
        <v>1.3541860265489183E-3</v>
      </c>
      <c r="N1989">
        <v>0.1294125670835776</v>
      </c>
      <c r="O1989">
        <v>0.12498559312556762</v>
      </c>
      <c r="P1989">
        <v>1.825788105617478E-2</v>
      </c>
      <c r="Q1989">
        <v>9.0701562444915585E-4</v>
      </c>
      <c r="R1989">
        <v>1.350744313618191E-3</v>
      </c>
      <c r="S1989">
        <v>0.10710315864715994</v>
      </c>
      <c r="T1989">
        <v>1.0108815935913626</v>
      </c>
      <c r="U1989">
        <v>0</v>
      </c>
      <c r="V1989">
        <v>0.20802634444578985</v>
      </c>
      <c r="W1989">
        <v>8.4383153055075752E-2</v>
      </c>
      <c r="X1989">
        <v>2.9622645591742755E-2</v>
      </c>
      <c r="Y1989">
        <v>3.6762807489254001E-3</v>
      </c>
    </row>
    <row r="1990" spans="1:25" x14ac:dyDescent="0.25">
      <c r="A1990" s="1095"/>
      <c r="B1990" s="1454">
        <v>1740</v>
      </c>
      <c r="C1990" s="1099">
        <v>0.99358851971531426</v>
      </c>
      <c r="D1990" s="1099">
        <v>0.99975775063959538</v>
      </c>
      <c r="E1990" s="1099">
        <v>1.0099547728182532</v>
      </c>
      <c r="F1990" s="1099">
        <v>1.0212225837655549</v>
      </c>
      <c r="G1990" s="1099">
        <v>1.0204400287137496</v>
      </c>
      <c r="H1990" s="1099">
        <v>0.95905908005690399</v>
      </c>
      <c r="I1990" s="1099">
        <v>0.97930105323266692</v>
      </c>
      <c r="K1990">
        <v>1.7554642857537048</v>
      </c>
      <c r="L1990">
        <v>0</v>
      </c>
      <c r="M1990">
        <v>1.30216201599055E-3</v>
      </c>
      <c r="N1990">
        <v>0.12342615695015716</v>
      </c>
      <c r="O1990">
        <v>0.12949242844295508</v>
      </c>
      <c r="P1990">
        <v>1.8802103236452618E-2</v>
      </c>
      <c r="Q1990">
        <v>9.1404406689099733E-4</v>
      </c>
      <c r="R1990">
        <v>1.298664786882558E-3</v>
      </c>
      <c r="S1990">
        <v>0.10371423046673328</v>
      </c>
      <c r="T1990">
        <v>1.0526361899216812</v>
      </c>
      <c r="U1990">
        <v>0</v>
      </c>
      <c r="V1990">
        <v>0.21188075055037364</v>
      </c>
      <c r="W1990">
        <v>8.0606148015906237E-2</v>
      </c>
      <c r="X1990">
        <v>3.0461193886496762E-2</v>
      </c>
      <c r="Y1990">
        <v>3.5345374451623821E-3</v>
      </c>
    </row>
    <row r="1991" spans="1:25" x14ac:dyDescent="0.25">
      <c r="A1991" s="1095"/>
      <c r="B1991" s="1454">
        <v>1741</v>
      </c>
      <c r="C1991" s="1099">
        <v>0.98052580352483454</v>
      </c>
      <c r="D1991" s="1099">
        <v>0.99270553911208192</v>
      </c>
      <c r="E1991" s="1099">
        <v>1.0039113483421809</v>
      </c>
      <c r="F1991" s="1099">
        <v>1.0130969922957562</v>
      </c>
      <c r="G1991" s="1099">
        <v>1.0185048689899978</v>
      </c>
      <c r="H1991" s="1099">
        <v>1.0150710700552539</v>
      </c>
      <c r="I1991" s="1099">
        <v>0.989841483101631</v>
      </c>
      <c r="K1991">
        <v>1.7698162748479014</v>
      </c>
      <c r="L1991">
        <v>0</v>
      </c>
      <c r="M1991">
        <v>1.4175637458462608E-3</v>
      </c>
      <c r="N1991">
        <v>0.1319542177070106</v>
      </c>
      <c r="O1991">
        <v>0.12987112155476388</v>
      </c>
      <c r="P1991">
        <v>1.8710300877479102E-2</v>
      </c>
      <c r="Q1991">
        <v>9.2306695264855016E-4</v>
      </c>
      <c r="R1991">
        <v>1.4139649976115307E-3</v>
      </c>
      <c r="S1991">
        <v>0.11052661864561637</v>
      </c>
      <c r="T1991">
        <v>1.0444413924056846</v>
      </c>
      <c r="U1991">
        <v>0</v>
      </c>
      <c r="V1991">
        <v>0.21269200883572384</v>
      </c>
      <c r="W1991">
        <v>8.648397922256032E-2</v>
      </c>
      <c r="X1991">
        <v>3.036882078458359E-2</v>
      </c>
      <c r="Y1991">
        <v>3.8483466100623937E-3</v>
      </c>
    </row>
    <row r="1992" spans="1:25" x14ac:dyDescent="0.25">
      <c r="A1992" s="1095"/>
      <c r="B1992" s="1454">
        <v>1742</v>
      </c>
      <c r="C1992" s="1099">
        <v>1.0163606621261905</v>
      </c>
      <c r="D1992" s="1099">
        <v>1.028399180601264</v>
      </c>
      <c r="E1992" s="1099">
        <v>1.005398549198532</v>
      </c>
      <c r="F1992" s="1099">
        <v>0.99568990251545464</v>
      </c>
      <c r="G1992" s="1099">
        <v>0.99119407408236071</v>
      </c>
      <c r="H1992" s="1099">
        <v>0.99336368853166201</v>
      </c>
      <c r="I1992" s="1099">
        <v>1.0011405423120814</v>
      </c>
      <c r="K1992">
        <v>1.7166502639670111</v>
      </c>
      <c r="L1992">
        <v>0</v>
      </c>
      <c r="M1992">
        <v>1.3086368058961631E-3</v>
      </c>
      <c r="N1992">
        <v>0.12235463391820453</v>
      </c>
      <c r="O1992">
        <v>0.12509114109042188</v>
      </c>
      <c r="P1992">
        <v>1.8310817716386558E-2</v>
      </c>
      <c r="Q1992">
        <v>8.7937855132533358E-4</v>
      </c>
      <c r="R1992">
        <v>1.3052242057173171E-3</v>
      </c>
      <c r="S1992">
        <v>0.10415090138321834</v>
      </c>
      <c r="T1992">
        <v>1.0264519269959074</v>
      </c>
      <c r="U1992">
        <v>0</v>
      </c>
      <c r="V1992">
        <v>0.20638156968604882</v>
      </c>
      <c r="W1992">
        <v>8.0121733926930616E-2</v>
      </c>
      <c r="X1992">
        <v>2.9359183277828146E-2</v>
      </c>
      <c r="Y1992">
        <v>3.5523900209187584E-3</v>
      </c>
    </row>
    <row r="1993" spans="1:25" x14ac:dyDescent="0.25">
      <c r="A1993" s="1095"/>
      <c r="B1993" s="1454">
        <v>1743</v>
      </c>
      <c r="C1993" s="1099">
        <v>1.0205989427406135</v>
      </c>
      <c r="D1993" s="1099">
        <v>1.0304288111251072</v>
      </c>
      <c r="E1993" s="1099">
        <v>1.0148888181882456</v>
      </c>
      <c r="F1993" s="1099">
        <v>0.95665971761054946</v>
      </c>
      <c r="G1993" s="1099">
        <v>0.98492986406001248</v>
      </c>
      <c r="H1993" s="1099">
        <v>1.0022666927416932</v>
      </c>
      <c r="I1993" s="1099">
        <v>1.0208359945347918</v>
      </c>
      <c r="K1993">
        <v>1.6727221649204354</v>
      </c>
      <c r="L1993">
        <v>0</v>
      </c>
      <c r="M1993">
        <v>1.2838060635854112E-3</v>
      </c>
      <c r="N1993">
        <v>0.12352357082571711</v>
      </c>
      <c r="O1993">
        <v>0.12189218704520172</v>
      </c>
      <c r="P1993">
        <v>1.7870083125524971E-2</v>
      </c>
      <c r="Q1993">
        <v>8.8364203172617032E-4</v>
      </c>
      <c r="R1993">
        <v>1.2804766107560451E-3</v>
      </c>
      <c r="S1993">
        <v>0.10604917431072856</v>
      </c>
      <c r="T1993">
        <v>0.98594874393083121</v>
      </c>
      <c r="U1993">
        <v>0</v>
      </c>
      <c r="V1993">
        <v>0.20367905584182855</v>
      </c>
      <c r="W1993">
        <v>8.0435845438951867E-2</v>
      </c>
      <c r="X1993">
        <v>2.8958156597277445E-2</v>
      </c>
      <c r="Y1993">
        <v>3.4850352254766643E-3</v>
      </c>
    </row>
    <row r="1994" spans="1:25" x14ac:dyDescent="0.25">
      <c r="A1994" s="1095"/>
      <c r="B1994" s="1454">
        <v>1744</v>
      </c>
      <c r="C1994" s="1099">
        <v>0.96754415520006565</v>
      </c>
      <c r="D1994" s="1099">
        <v>0.98987751359105369</v>
      </c>
      <c r="E1994" s="1099">
        <v>0.95798382106022517</v>
      </c>
      <c r="F1994" s="1099">
        <v>1.0028199763665993</v>
      </c>
      <c r="G1994" s="1099">
        <v>1.0210630064537725</v>
      </c>
      <c r="H1994" s="1099">
        <v>0.98981324950429961</v>
      </c>
      <c r="I1994" s="1099">
        <v>0.99329148931809741</v>
      </c>
      <c r="K1994">
        <v>1.7492190149703437</v>
      </c>
      <c r="L1994">
        <v>0</v>
      </c>
      <c r="M1994">
        <v>1.5398531944530584E-3</v>
      </c>
      <c r="N1994">
        <v>0.12473381295827532</v>
      </c>
      <c r="O1994">
        <v>0.12972766450152226</v>
      </c>
      <c r="P1994">
        <v>1.795718551983248E-2</v>
      </c>
      <c r="Q1994">
        <v>8.925335047087399E-4</v>
      </c>
      <c r="R1994">
        <v>1.5358381995713352E-3</v>
      </c>
      <c r="S1994">
        <v>0.11054895574291852</v>
      </c>
      <c r="T1994">
        <v>1.0352417665283151</v>
      </c>
      <c r="U1994">
        <v>0</v>
      </c>
      <c r="V1994">
        <v>0.21338125055757448</v>
      </c>
      <c r="W1994">
        <v>8.4048947136717178E-2</v>
      </c>
      <c r="X1994">
        <v>2.8510868225055833E-2</v>
      </c>
      <c r="Y1994">
        <v>4.1800452903067555E-3</v>
      </c>
    </row>
    <row r="1995" spans="1:25" x14ac:dyDescent="0.25">
      <c r="A1995" s="1095"/>
      <c r="B1995" s="1454">
        <v>1745</v>
      </c>
      <c r="C1995" s="1099">
        <v>1.0010539223638548</v>
      </c>
      <c r="D1995" s="1099">
        <v>0.99270246198695744</v>
      </c>
      <c r="E1995" s="1099">
        <v>1.0398556839555637</v>
      </c>
      <c r="F1995" s="1099">
        <v>1.0270894563947115</v>
      </c>
      <c r="G1995" s="1099">
        <v>1.0147191297767999</v>
      </c>
      <c r="H1995" s="1099">
        <v>1.0011487567383845</v>
      </c>
      <c r="I1995" s="1099">
        <v>1.0325765603867576</v>
      </c>
      <c r="K1995">
        <v>1.7842705682697528</v>
      </c>
      <c r="L1995">
        <v>0</v>
      </c>
      <c r="M1995">
        <v>1.2744566948818584E-3</v>
      </c>
      <c r="N1995">
        <v>0.13221491805444768</v>
      </c>
      <c r="O1995">
        <v>0.12999590329372857</v>
      </c>
      <c r="P1995">
        <v>1.9404249794932073E-2</v>
      </c>
      <c r="Q1995">
        <v>9.3806642319192366E-4</v>
      </c>
      <c r="R1995">
        <v>1.2711858145837318E-3</v>
      </c>
      <c r="S1995">
        <v>0.11220384757858648</v>
      </c>
      <c r="T1995">
        <v>1.0577932548078803</v>
      </c>
      <c r="U1995">
        <v>0</v>
      </c>
      <c r="V1995">
        <v>0.21157566538823416</v>
      </c>
      <c r="W1995">
        <v>8.4854142663038062E-2</v>
      </c>
      <c r="X1995">
        <v>3.1834042405008027E-2</v>
      </c>
      <c r="Y1995">
        <v>3.4597487410057623E-3</v>
      </c>
    </row>
    <row r="1996" spans="1:25" x14ac:dyDescent="0.25">
      <c r="A1996" s="1095"/>
      <c r="B1996" s="1454">
        <v>1746</v>
      </c>
      <c r="C1996" s="1099">
        <v>1.033614571795223</v>
      </c>
      <c r="D1996" s="1099">
        <v>0.96695447194349693</v>
      </c>
      <c r="E1996" s="1099">
        <v>0.97507592541656507</v>
      </c>
      <c r="F1996" s="1099">
        <v>0.96214009068846795</v>
      </c>
      <c r="G1996" s="1099">
        <v>0.9844085586995982</v>
      </c>
      <c r="H1996" s="1099">
        <v>0.98233648843456856</v>
      </c>
      <c r="I1996" s="1099">
        <v>0.98592751311181237</v>
      </c>
      <c r="K1996">
        <v>1.6750692985220657</v>
      </c>
      <c r="L1996">
        <v>0</v>
      </c>
      <c r="M1996">
        <v>1.4028448983425164E-3</v>
      </c>
      <c r="N1996">
        <v>0.11967265014933055</v>
      </c>
      <c r="O1996">
        <v>0.12433083394950664</v>
      </c>
      <c r="P1996">
        <v>1.7419247474035265E-2</v>
      </c>
      <c r="Q1996">
        <v>8.58701499776609E-4</v>
      </c>
      <c r="R1996">
        <v>1.3991826188093051E-3</v>
      </c>
      <c r="S1996">
        <v>0.10386401510708458</v>
      </c>
      <c r="T1996">
        <v>0.99274135692093035</v>
      </c>
      <c r="U1996">
        <v>0</v>
      </c>
      <c r="V1996">
        <v>0.20463511907900753</v>
      </c>
      <c r="W1996">
        <v>7.9801780888038243E-2</v>
      </c>
      <c r="X1996">
        <v>2.794114188591474E-2</v>
      </c>
      <c r="Y1996">
        <v>3.8081138479725989E-3</v>
      </c>
    </row>
    <row r="1997" spans="1:25" x14ac:dyDescent="0.25">
      <c r="A1997" s="1095"/>
      <c r="B1997" s="1454">
        <v>1747</v>
      </c>
      <c r="C1997" s="1099">
        <v>0.98643418842084818</v>
      </c>
      <c r="D1997" s="1099">
        <v>0.98708870399612691</v>
      </c>
      <c r="E1997" s="1099">
        <v>1.0292751538349643</v>
      </c>
      <c r="F1997" s="1099">
        <v>1.0107290376804783</v>
      </c>
      <c r="G1997" s="1099">
        <v>1.0279973508070619</v>
      </c>
      <c r="H1997" s="1099">
        <v>0.99679574792945747</v>
      </c>
      <c r="I1997" s="1099">
        <v>0.98195697447184871</v>
      </c>
      <c r="K1997">
        <v>1.7645672082480364</v>
      </c>
      <c r="L1997">
        <v>0</v>
      </c>
      <c r="M1997">
        <v>1.31739135769702E-3</v>
      </c>
      <c r="N1997">
        <v>0.13237806715626343</v>
      </c>
      <c r="O1997">
        <v>0.1297418107569962</v>
      </c>
      <c r="P1997">
        <v>1.898579566044226E-2</v>
      </c>
      <c r="Q1997">
        <v>9.4390967405392579E-4</v>
      </c>
      <c r="R1997">
        <v>1.3139902471470165E-3</v>
      </c>
      <c r="S1997">
        <v>0.10815671454488025</v>
      </c>
      <c r="T1997">
        <v>1.0412507184434583</v>
      </c>
      <c r="U1997">
        <v>0</v>
      </c>
      <c r="V1997">
        <v>0.21275783343067625</v>
      </c>
      <c r="W1997">
        <v>8.5480376305850897E-2</v>
      </c>
      <c r="X1997">
        <v>3.1299135089999798E-2</v>
      </c>
      <c r="Y1997">
        <v>3.5762482959656216E-3</v>
      </c>
    </row>
    <row r="1998" spans="1:25" x14ac:dyDescent="0.25">
      <c r="A1998" s="1095"/>
      <c r="B1998" s="1454">
        <v>1748</v>
      </c>
      <c r="C1998" s="1099">
        <v>1.0170970952118843</v>
      </c>
      <c r="D1998" s="1099">
        <v>0.99511369665717586</v>
      </c>
      <c r="E1998" s="1099">
        <v>0.99444762684757648</v>
      </c>
      <c r="F1998" s="1099">
        <v>1.0034840765695199</v>
      </c>
      <c r="G1998" s="1099">
        <v>1.0078724627960376</v>
      </c>
      <c r="H1998" s="1099">
        <v>1.010134886342869</v>
      </c>
      <c r="I1998" s="1099">
        <v>1.0117664767615304</v>
      </c>
      <c r="K1998">
        <v>1.7396470576407839</v>
      </c>
      <c r="L1998">
        <v>0</v>
      </c>
      <c r="M1998">
        <v>1.3880100138781274E-3</v>
      </c>
      <c r="N1998">
        <v>0.12556013251864814</v>
      </c>
      <c r="O1998">
        <v>0.12709005009109817</v>
      </c>
      <c r="P1998">
        <v>1.8363586225334797E-2</v>
      </c>
      <c r="Q1998">
        <v>8.8033046472815203E-4</v>
      </c>
      <c r="R1998">
        <v>1.3844753219466818E-3</v>
      </c>
      <c r="S1998">
        <v>0.10854593130487514</v>
      </c>
      <c r="T1998">
        <v>1.0348136006304145</v>
      </c>
      <c r="U1998">
        <v>0</v>
      </c>
      <c r="V1998">
        <v>0.20847498964707886</v>
      </c>
      <c r="W1998">
        <v>8.2757721842457901E-2</v>
      </c>
      <c r="X1998">
        <v>2.9396164173909198E-2</v>
      </c>
      <c r="Y1998">
        <v>3.7680854341716461E-3</v>
      </c>
    </row>
    <row r="1999" spans="1:25" x14ac:dyDescent="0.25">
      <c r="A1999" s="1095"/>
      <c r="B1999" s="1454">
        <v>1749</v>
      </c>
      <c r="C1999" s="1099">
        <v>0.99342071062233617</v>
      </c>
      <c r="D1999" s="1099">
        <v>1.0004326755634645</v>
      </c>
      <c r="E1999" s="1099">
        <v>0.98019006507145112</v>
      </c>
      <c r="F1999" s="1099">
        <v>1.0130574209837018</v>
      </c>
      <c r="G1999" s="1099">
        <v>1.0086200457487531</v>
      </c>
      <c r="H1999" s="1099">
        <v>0.98225915959011334</v>
      </c>
      <c r="I1999" s="1099">
        <v>0.99856674934466783</v>
      </c>
      <c r="K1999">
        <v>1.7485411457044608</v>
      </c>
      <c r="L1999">
        <v>0</v>
      </c>
      <c r="M1999">
        <v>1.4172030827543497E-3</v>
      </c>
      <c r="N1999">
        <v>0.12278140417213144</v>
      </c>
      <c r="O1999">
        <v>0.1287289055649864</v>
      </c>
      <c r="P1999">
        <v>1.8319413189796206E-2</v>
      </c>
      <c r="Q1999">
        <v>8.8610538589533683E-4</v>
      </c>
      <c r="R1999">
        <v>1.4134836794991261E-3</v>
      </c>
      <c r="S1999">
        <v>0.10725929841805362</v>
      </c>
      <c r="T1999">
        <v>1.0451206616670037</v>
      </c>
      <c r="U1999">
        <v>0</v>
      </c>
      <c r="V1999">
        <v>0.21079004411542276</v>
      </c>
      <c r="W1999">
        <v>8.1621887368879223E-2</v>
      </c>
      <c r="X1999">
        <v>2.919010860471934E-2</v>
      </c>
      <c r="Y1999">
        <v>3.8470366208269028E-3</v>
      </c>
    </row>
    <row r="2000" spans="1:25" x14ac:dyDescent="0.25">
      <c r="A2000" s="1095"/>
      <c r="B2000" s="1454">
        <v>1750</v>
      </c>
      <c r="C2000" s="1099">
        <v>0.98339769212409955</v>
      </c>
      <c r="D2000" s="1099">
        <v>0.98858842179164907</v>
      </c>
      <c r="E2000" s="1099">
        <v>0.96869747011081997</v>
      </c>
      <c r="F2000" s="1099">
        <v>1.0367382696832446</v>
      </c>
      <c r="G2000" s="1099">
        <v>0.99234224397597015</v>
      </c>
      <c r="H2000" s="1099">
        <v>1.0005371929685813</v>
      </c>
      <c r="I2000" s="1099">
        <v>1.026306428296738</v>
      </c>
      <c r="K2000">
        <v>1.7907991129288579</v>
      </c>
      <c r="L2000">
        <v>0</v>
      </c>
      <c r="M2000">
        <v>1.505590834855674E-3</v>
      </c>
      <c r="N2000">
        <v>0.12598661570232098</v>
      </c>
      <c r="O2000">
        <v>0.13156275492232675</v>
      </c>
      <c r="P2000">
        <v>1.8595957060773233E-2</v>
      </c>
      <c r="Q2000">
        <v>8.8861219895471739E-4</v>
      </c>
      <c r="R2000">
        <v>1.5017248717954686E-3</v>
      </c>
      <c r="S2000">
        <v>0.11359238653438578</v>
      </c>
      <c r="T2000">
        <v>1.0699142946482825</v>
      </c>
      <c r="U2000">
        <v>0</v>
      </c>
      <c r="V2000">
        <v>0.2124351383118773</v>
      </c>
      <c r="W2000">
        <v>8.4338438311035491E-2</v>
      </c>
      <c r="X2000">
        <v>2.9401581144403537E-2</v>
      </c>
      <c r="Y2000">
        <v>4.0872000575563243E-3</v>
      </c>
    </row>
    <row r="2001" spans="1:25" x14ac:dyDescent="0.25">
      <c r="A2001" s="1095"/>
      <c r="B2001" s="1454">
        <v>1751</v>
      </c>
      <c r="C2001" s="1099">
        <v>0.99678087410433236</v>
      </c>
      <c r="D2001" s="1099">
        <v>1.017330599955218</v>
      </c>
      <c r="E2001" s="1099">
        <v>0.95955726640466465</v>
      </c>
      <c r="F2001" s="1099">
        <v>1.0002155382902174</v>
      </c>
      <c r="G2001" s="1099">
        <v>0.99455725200945011</v>
      </c>
      <c r="H2001" s="1099">
        <v>1.0018892553208267</v>
      </c>
      <c r="I2001" s="1099">
        <v>1.0094491902891949</v>
      </c>
      <c r="K2001">
        <v>1.7293654624826178</v>
      </c>
      <c r="L2001">
        <v>0</v>
      </c>
      <c r="M2001">
        <v>1.4873659980263959E-3</v>
      </c>
      <c r="N2001">
        <v>0.12106092672514726</v>
      </c>
      <c r="O2001">
        <v>0.12673261723499479</v>
      </c>
      <c r="P2001">
        <v>1.7848857592922703E-2</v>
      </c>
      <c r="Q2001">
        <v>8.5835645563369723E-4</v>
      </c>
      <c r="R2001">
        <v>1.4835236589218841E-3</v>
      </c>
      <c r="S2001">
        <v>0.10823167450231624</v>
      </c>
      <c r="T2001">
        <v>1.0325043995395857</v>
      </c>
      <c r="U2001">
        <v>0</v>
      </c>
      <c r="V2001">
        <v>0.20859413076411296</v>
      </c>
      <c r="W2001">
        <v>8.1495277099070312E-2</v>
      </c>
      <c r="X2001">
        <v>2.8005402551793995E-2</v>
      </c>
      <c r="Y2001">
        <v>4.0376623561426388E-3</v>
      </c>
    </row>
    <row r="2002" spans="1:25" x14ac:dyDescent="0.25">
      <c r="A2002" s="1095"/>
      <c r="B2002" s="1454">
        <v>1752</v>
      </c>
      <c r="C2002" s="1099">
        <v>0.98364449779575902</v>
      </c>
      <c r="D2002" s="1099">
        <v>0.9951189364790447</v>
      </c>
      <c r="E2002" s="1099">
        <v>1.0081738997935386</v>
      </c>
      <c r="F2002" s="1099">
        <v>1.0273442367941588</v>
      </c>
      <c r="G2002" s="1099">
        <v>1.033350838835589</v>
      </c>
      <c r="H2002" s="1099">
        <v>0.98802238040794821</v>
      </c>
      <c r="I2002" s="1099">
        <v>1.009038468168981</v>
      </c>
      <c r="K2002">
        <v>1.7807363388907695</v>
      </c>
      <c r="L2002">
        <v>0</v>
      </c>
      <c r="M2002">
        <v>1.3633734058747212E-3</v>
      </c>
      <c r="N2002">
        <v>0.1285454777666879</v>
      </c>
      <c r="O2002">
        <v>0.13069357461245801</v>
      </c>
      <c r="P2002">
        <v>1.8981930789676728E-2</v>
      </c>
      <c r="Q2002">
        <v>9.2330548773903983E-4</v>
      </c>
      <c r="R2002">
        <v>1.3598211277723044E-3</v>
      </c>
      <c r="S2002">
        <v>0.1103144221467483</v>
      </c>
      <c r="T2002">
        <v>1.0590000444211627</v>
      </c>
      <c r="U2002">
        <v>0</v>
      </c>
      <c r="V2002">
        <v>0.2138212591567927</v>
      </c>
      <c r="W2002">
        <v>8.4037702222279756E-2</v>
      </c>
      <c r="X2002">
        <v>3.0721189720445137E-2</v>
      </c>
      <c r="Y2002">
        <v>3.7009848448819158E-3</v>
      </c>
    </row>
    <row r="2003" spans="1:25" x14ac:dyDescent="0.25">
      <c r="A2003" s="1095"/>
      <c r="B2003" s="1454">
        <v>1753</v>
      </c>
      <c r="C2003" s="1099">
        <v>0.99219028288898059</v>
      </c>
      <c r="D2003" s="1099">
        <v>1.0010367973056815</v>
      </c>
      <c r="E2003" s="1099">
        <v>0.99768016810579851</v>
      </c>
      <c r="F2003" s="1099">
        <v>0.99935553167417013</v>
      </c>
      <c r="G2003" s="1099">
        <v>1.0146847915972936</v>
      </c>
      <c r="H2003" s="1099">
        <v>0.99877570688458128</v>
      </c>
      <c r="I2003" s="1099">
        <v>0.97598968310321388</v>
      </c>
      <c r="K2003">
        <v>1.73778961584796</v>
      </c>
      <c r="L2003">
        <v>0</v>
      </c>
      <c r="M2003">
        <v>1.3892235751165349E-3</v>
      </c>
      <c r="N2003">
        <v>0.12689875564804262</v>
      </c>
      <c r="O2003">
        <v>0.12779804306166617</v>
      </c>
      <c r="P2003">
        <v>1.8341819030928672E-2</v>
      </c>
      <c r="Q2003">
        <v>9.0331836966837584E-4</v>
      </c>
      <c r="R2003">
        <v>1.3856328860868022E-3</v>
      </c>
      <c r="S2003">
        <v>0.10600175692625667</v>
      </c>
      <c r="T2003">
        <v>1.0304597492390979</v>
      </c>
      <c r="U2003">
        <v>0</v>
      </c>
      <c r="V2003">
        <v>0.21050684416950921</v>
      </c>
      <c r="W2003">
        <v>8.3478981254552637E-2</v>
      </c>
      <c r="X2003">
        <v>2.9632702895097375E-2</v>
      </c>
      <c r="Y2003">
        <v>3.7712359421701374E-3</v>
      </c>
    </row>
    <row r="2004" spans="1:25" x14ac:dyDescent="0.25">
      <c r="A2004" s="1095"/>
      <c r="B2004" s="1454">
        <v>1754</v>
      </c>
      <c r="C2004" s="1099">
        <v>1.0231140998005261</v>
      </c>
      <c r="D2004" s="1099">
        <v>1.010571755054138</v>
      </c>
      <c r="E2004" s="1099">
        <v>0.99003214358553027</v>
      </c>
      <c r="F2004" s="1099">
        <v>1.0323939078184534</v>
      </c>
      <c r="G2004" s="1099">
        <v>1.0023569881392402</v>
      </c>
      <c r="H2004" s="1099">
        <v>0.98965773029306314</v>
      </c>
      <c r="I2004" s="1099">
        <v>1.0225362547343664</v>
      </c>
      <c r="K2004">
        <v>1.7622361626998018</v>
      </c>
      <c r="L2004">
        <v>0</v>
      </c>
      <c r="M2004">
        <v>1.3557544095997832E-3</v>
      </c>
      <c r="N2004">
        <v>0.121009723742044</v>
      </c>
      <c r="O2004">
        <v>0.12821543284533532</v>
      </c>
      <c r="P2004">
        <v>1.8687845456550931E-2</v>
      </c>
      <c r="Q2004">
        <v>8.6578458874648026E-4</v>
      </c>
      <c r="R2004">
        <v>1.3522300107689236E-3</v>
      </c>
      <c r="S2004">
        <v>0.10678443388445208</v>
      </c>
      <c r="T2004">
        <v>1.064762583160153</v>
      </c>
      <c r="U2004">
        <v>0</v>
      </c>
      <c r="V2004">
        <v>0.20873315545768156</v>
      </c>
      <c r="W2004">
        <v>7.9969387460428004E-2</v>
      </c>
      <c r="X2004">
        <v>2.9531016176432008E-2</v>
      </c>
      <c r="Y2004">
        <v>3.6803243268097607E-3</v>
      </c>
    </row>
    <row r="2005" spans="1:25" x14ac:dyDescent="0.25">
      <c r="A2005" s="1095"/>
      <c r="B2005" s="1454">
        <v>1755</v>
      </c>
      <c r="C2005" s="1099">
        <v>1.0201523208347993</v>
      </c>
      <c r="D2005" s="1099">
        <v>0.99593314992188064</v>
      </c>
      <c r="E2005" s="1099">
        <v>0.99589424561085249</v>
      </c>
      <c r="F2005" s="1099">
        <v>1.0081956161796932</v>
      </c>
      <c r="G2005" s="1099">
        <v>1.0035294138667727</v>
      </c>
      <c r="H2005" s="1099">
        <v>0.98148200618816439</v>
      </c>
      <c r="I2005" s="1099">
        <v>1.0085566910845545</v>
      </c>
      <c r="K2005">
        <v>1.7354247373595999</v>
      </c>
      <c r="L2005">
        <v>0</v>
      </c>
      <c r="M2005">
        <v>1.3407875084364401E-3</v>
      </c>
      <c r="N2005">
        <v>0.1218108814372153</v>
      </c>
      <c r="O2005">
        <v>0.12725825423160181</v>
      </c>
      <c r="P2005">
        <v>1.8409512954859757E-2</v>
      </c>
      <c r="Q2005">
        <v>8.787254204465463E-4</v>
      </c>
      <c r="R2005">
        <v>1.3372751102370176E-3</v>
      </c>
      <c r="S2005">
        <v>0.10588181925767889</v>
      </c>
      <c r="T2005">
        <v>1.0396286723108787</v>
      </c>
      <c r="U2005">
        <v>0</v>
      </c>
      <c r="V2005">
        <v>0.20823886654446272</v>
      </c>
      <c r="W2005">
        <v>8.0217295871183564E-2</v>
      </c>
      <c r="X2005">
        <v>2.9464599712028177E-2</v>
      </c>
      <c r="Y2005">
        <v>3.6396220174435487E-3</v>
      </c>
    </row>
    <row r="2006" spans="1:25" x14ac:dyDescent="0.25">
      <c r="A2006" s="1095"/>
      <c r="B2006" s="1454">
        <v>1756</v>
      </c>
      <c r="C2006" s="1099">
        <v>1.0126371922378918</v>
      </c>
      <c r="D2006" s="1099">
        <v>1.014011452654908</v>
      </c>
      <c r="E2006" s="1099">
        <v>0.98181233147670222</v>
      </c>
      <c r="F2006" s="1099">
        <v>0.9994532833528309</v>
      </c>
      <c r="G2006" s="1099">
        <v>0.96623896840057943</v>
      </c>
      <c r="H2006" s="1099">
        <v>0.99642596585183685</v>
      </c>
      <c r="I2006" s="1099">
        <v>0.99392924040549668</v>
      </c>
      <c r="K2006">
        <v>1.7215429175409334</v>
      </c>
      <c r="L2006">
        <v>0</v>
      </c>
      <c r="M2006">
        <v>1.3950789980686047E-3</v>
      </c>
      <c r="N2006">
        <v>0.1214631891915616</v>
      </c>
      <c r="O2006">
        <v>0.12610211155092169</v>
      </c>
      <c r="P2006">
        <v>1.8056003937742166E-2</v>
      </c>
      <c r="Q2006">
        <v>8.6608524044828905E-4</v>
      </c>
      <c r="R2006">
        <v>1.3914619562273368E-3</v>
      </c>
      <c r="S2006">
        <v>0.10485974699540397</v>
      </c>
      <c r="T2006">
        <v>1.0310368355721489</v>
      </c>
      <c r="U2006">
        <v>0</v>
      </c>
      <c r="V2006">
        <v>0.20602097737000077</v>
      </c>
      <c r="W2006">
        <v>8.0666578373566722E-2</v>
      </c>
      <c r="X2006">
        <v>2.8687905601438995E-2</v>
      </c>
      <c r="Y2006">
        <v>3.7871007495402171E-3</v>
      </c>
    </row>
    <row r="2007" spans="1:25" x14ac:dyDescent="0.25">
      <c r="A2007" s="1095"/>
      <c r="B2007" s="1454">
        <v>1757</v>
      </c>
      <c r="C2007" s="1099">
        <v>1.0085328996278158</v>
      </c>
      <c r="D2007" s="1099">
        <v>1.004312398230784</v>
      </c>
      <c r="E2007" s="1099">
        <v>1.017866020243037</v>
      </c>
      <c r="F2007" s="1099">
        <v>1.0412570400117946</v>
      </c>
      <c r="G2007" s="1099">
        <v>1.0045240244933404</v>
      </c>
      <c r="H2007" s="1099">
        <v>1.0015250239494187</v>
      </c>
      <c r="I2007" s="1099">
        <v>0.97803625030254726</v>
      </c>
      <c r="K2007">
        <v>1.7844817136610969</v>
      </c>
      <c r="L2007">
        <v>0</v>
      </c>
      <c r="M2007">
        <v>1.3180195301225692E-3</v>
      </c>
      <c r="N2007">
        <v>0.12796333531073018</v>
      </c>
      <c r="O2007">
        <v>0.13002799079568128</v>
      </c>
      <c r="P2007">
        <v>1.9194192830233166E-2</v>
      </c>
      <c r="Q2007">
        <v>9.0621245696452198E-4</v>
      </c>
      <c r="R2007">
        <v>1.3146364772082129E-3</v>
      </c>
      <c r="S2007">
        <v>0.10483859327060625</v>
      </c>
      <c r="T2007">
        <v>1.0730454446750162</v>
      </c>
      <c r="U2007">
        <v>0</v>
      </c>
      <c r="V2007">
        <v>0.21076446432758691</v>
      </c>
      <c r="W2007">
        <v>8.3181495140817477E-2</v>
      </c>
      <c r="X2007">
        <v>3.0985360785212371E-2</v>
      </c>
      <c r="Y2007">
        <v>3.5780071211625139E-3</v>
      </c>
    </row>
    <row r="2008" spans="1:25" x14ac:dyDescent="0.25">
      <c r="A2008" s="1095"/>
      <c r="B2008" s="1454">
        <v>1758</v>
      </c>
      <c r="C2008" s="1099">
        <v>0.97343354758071243</v>
      </c>
      <c r="D2008" s="1099">
        <v>0.97257767811338114</v>
      </c>
      <c r="E2008" s="1099">
        <v>0.99950933001626951</v>
      </c>
      <c r="F2008" s="1099">
        <v>0.98834917538722789</v>
      </c>
      <c r="G2008" s="1099">
        <v>1.0127570361751588</v>
      </c>
      <c r="H2008" s="1099">
        <v>1.01880791837898</v>
      </c>
      <c r="I2008" s="1099">
        <v>0.95843186662234314</v>
      </c>
      <c r="K2008">
        <v>1.7452440358117824</v>
      </c>
      <c r="L2008">
        <v>0</v>
      </c>
      <c r="M2008">
        <v>1.459624972718884E-3</v>
      </c>
      <c r="N2008">
        <v>0.13407627785888204</v>
      </c>
      <c r="O2008">
        <v>0.12927774651758603</v>
      </c>
      <c r="P2008">
        <v>1.8280466017110773E-2</v>
      </c>
      <c r="Q2008">
        <v>9.3317704956262591E-4</v>
      </c>
      <c r="R2008">
        <v>1.4559366467710195E-3</v>
      </c>
      <c r="S2008">
        <v>0.10921973263448724</v>
      </c>
      <c r="T2008">
        <v>1.0190570106090533</v>
      </c>
      <c r="U2008">
        <v>0</v>
      </c>
      <c r="V2008">
        <v>0.21234938773139062</v>
      </c>
      <c r="W2008">
        <v>8.8104695136375963E-2</v>
      </c>
      <c r="X2008">
        <v>2.9986650980157389E-2</v>
      </c>
      <c r="Y2008">
        <v>3.9625796031240957E-3</v>
      </c>
    </row>
    <row r="2009" spans="1:25" x14ac:dyDescent="0.25">
      <c r="A2009" s="1095"/>
      <c r="B2009" s="1454">
        <v>1759</v>
      </c>
      <c r="C2009" s="1099">
        <v>1.0202421296956603</v>
      </c>
      <c r="D2009" s="1099">
        <v>1.0283265516287055</v>
      </c>
      <c r="E2009" s="1099">
        <v>1.0378093963947457</v>
      </c>
      <c r="F2009" s="1099">
        <v>1.0019691964174244</v>
      </c>
      <c r="G2009" s="1099">
        <v>0.98151348080059797</v>
      </c>
      <c r="H2009" s="1099">
        <v>1.009676012307881</v>
      </c>
      <c r="I2009" s="1099">
        <v>1.0057347953095954</v>
      </c>
      <c r="K2009">
        <v>1.7327136489319697</v>
      </c>
      <c r="L2009">
        <v>0</v>
      </c>
      <c r="M2009">
        <v>1.2397061500154115E-3</v>
      </c>
      <c r="N2009">
        <v>0.12781980548598731</v>
      </c>
      <c r="O2009">
        <v>0.12549778597820577</v>
      </c>
      <c r="P2009">
        <v>1.8840973000331874E-2</v>
      </c>
      <c r="Q2009">
        <v>9.0565000956056851E-4</v>
      </c>
      <c r="R2009">
        <v>1.236528190625568E-3</v>
      </c>
      <c r="S2009">
        <v>0.10545327689980717</v>
      </c>
      <c r="T2009">
        <v>1.0319806447333104</v>
      </c>
      <c r="U2009">
        <v>0</v>
      </c>
      <c r="V2009">
        <v>0.20601562664479378</v>
      </c>
      <c r="W2009">
        <v>8.2130231356832631E-2</v>
      </c>
      <c r="X2009">
        <v>3.070741066905467E-2</v>
      </c>
      <c r="Y2009">
        <v>3.3654221134743079E-3</v>
      </c>
    </row>
    <row r="2010" spans="1:25" x14ac:dyDescent="0.25">
      <c r="A2010" s="1095"/>
      <c r="B2010" s="1454">
        <v>1760</v>
      </c>
      <c r="C2010" s="1099">
        <v>1.0023689261524877</v>
      </c>
      <c r="D2010" s="1099">
        <v>0.9910038514176549</v>
      </c>
      <c r="E2010" s="1099">
        <v>0.98862689919757607</v>
      </c>
      <c r="F2010" s="1099">
        <v>0.99808762117925931</v>
      </c>
      <c r="G2010" s="1099">
        <v>1.0184953641986905</v>
      </c>
      <c r="H2010" s="1099">
        <v>0.98553084362632204</v>
      </c>
      <c r="I2010" s="1099">
        <v>0.96957329387955593</v>
      </c>
      <c r="K2010">
        <v>1.7286556627603828</v>
      </c>
      <c r="L2010">
        <v>0</v>
      </c>
      <c r="M2010">
        <v>1.391827063253736E-3</v>
      </c>
      <c r="N2010">
        <v>0.12370112017484815</v>
      </c>
      <c r="O2010">
        <v>0.12759917739401186</v>
      </c>
      <c r="P2010">
        <v>1.8170444753315609E-2</v>
      </c>
      <c r="Q2010">
        <v>8.8933766783910338E-4</v>
      </c>
      <c r="R2010">
        <v>1.3881909109454476E-3</v>
      </c>
      <c r="S2010">
        <v>0.10402131031494773</v>
      </c>
      <c r="T2010">
        <v>1.029422830336792</v>
      </c>
      <c r="U2010">
        <v>0</v>
      </c>
      <c r="V2010">
        <v>0.21003815340135296</v>
      </c>
      <c r="W2010">
        <v>8.1816882458355292E-2</v>
      </c>
      <c r="X2010">
        <v>2.9221844368647491E-2</v>
      </c>
      <c r="Y2010">
        <v>3.7781980425827034E-3</v>
      </c>
    </row>
    <row r="2011" spans="1:25" x14ac:dyDescent="0.25">
      <c r="A2011" s="1095"/>
      <c r="B2011" s="1454">
        <v>1761</v>
      </c>
      <c r="C2011" s="1099">
        <v>0.99612624837714436</v>
      </c>
      <c r="D2011" s="1099">
        <v>1.0074298581050742</v>
      </c>
      <c r="E2011" s="1099">
        <v>1.0380454342498366</v>
      </c>
      <c r="F2011" s="1099">
        <v>0.99579852143225267</v>
      </c>
      <c r="G2011" s="1099">
        <v>1.0096021731834344</v>
      </c>
      <c r="H2011" s="1099">
        <v>0.99626096882538273</v>
      </c>
      <c r="I2011" s="1099">
        <v>0.99533073436448882</v>
      </c>
      <c r="K2011">
        <v>1.7381323791364751</v>
      </c>
      <c r="L2011">
        <v>0</v>
      </c>
      <c r="M2011">
        <v>1.2643753422781308E-3</v>
      </c>
      <c r="N2011">
        <v>0.13045203390452906</v>
      </c>
      <c r="O2011">
        <v>0.12719034310573238</v>
      </c>
      <c r="P2011">
        <v>1.8829921326726486E-2</v>
      </c>
      <c r="Q2011">
        <v>9.3544859166647619E-4</v>
      </c>
      <c r="R2011">
        <v>1.2610952214166286E-3</v>
      </c>
      <c r="S2011">
        <v>0.10714919344540891</v>
      </c>
      <c r="T2011">
        <v>1.0256184193386706</v>
      </c>
      <c r="U2011">
        <v>0</v>
      </c>
      <c r="V2011">
        <v>0.20966238451423744</v>
      </c>
      <c r="W2011">
        <v>8.3810148994483261E-2</v>
      </c>
      <c r="X2011">
        <v>3.1055480563111654E-2</v>
      </c>
      <c r="Y2011">
        <v>3.4322854727680497E-3</v>
      </c>
    </row>
    <row r="2012" spans="1:25" x14ac:dyDescent="0.25">
      <c r="A2012" s="1095"/>
      <c r="B2012" s="1454">
        <v>1762</v>
      </c>
      <c r="C2012" s="1099">
        <v>0.98843159147706194</v>
      </c>
      <c r="D2012" s="1099">
        <v>0.97880941141987932</v>
      </c>
      <c r="E2012" s="1099">
        <v>0.97453466625774277</v>
      </c>
      <c r="F2012" s="1099">
        <v>0.99195510622790206</v>
      </c>
      <c r="G2012" s="1099">
        <v>1.0101777291539253</v>
      </c>
      <c r="H2012" s="1099">
        <v>1.0315349424052194</v>
      </c>
      <c r="I2012" s="1099">
        <v>0.96861819433294594</v>
      </c>
      <c r="K2012">
        <v>1.7409861692128541</v>
      </c>
      <c r="L2012">
        <v>0</v>
      </c>
      <c r="M2012">
        <v>1.5294635954113578E-3</v>
      </c>
      <c r="N2012">
        <v>0.13027570283301565</v>
      </c>
      <c r="O2012">
        <v>0.12835935629760131</v>
      </c>
      <c r="P2012">
        <v>1.7978676778322912E-2</v>
      </c>
      <c r="Q2012">
        <v>8.9307999429558767E-4</v>
      </c>
      <c r="R2012">
        <v>1.5256482636067782E-3</v>
      </c>
      <c r="S2012">
        <v>0.10923258205003132</v>
      </c>
      <c r="T2012">
        <v>1.0235210159846144</v>
      </c>
      <c r="U2012">
        <v>0</v>
      </c>
      <c r="V2012">
        <v>0.21083091813191518</v>
      </c>
      <c r="W2012">
        <v>8.6900769840648151E-2</v>
      </c>
      <c r="X2012">
        <v>2.884557099048873E-2</v>
      </c>
      <c r="Y2012">
        <v>4.152311643722718E-3</v>
      </c>
    </row>
    <row r="2013" spans="1:25" x14ac:dyDescent="0.25">
      <c r="A2013" s="1095"/>
      <c r="B2013" s="1454">
        <v>1763</v>
      </c>
      <c r="C2013" s="1099">
        <v>1.0043537378494651</v>
      </c>
      <c r="D2013" s="1099">
        <v>0.99564806522058136</v>
      </c>
      <c r="E2013" s="1099">
        <v>1.0269385007724827</v>
      </c>
      <c r="F2013" s="1099">
        <v>1.009157248451102</v>
      </c>
      <c r="G2013" s="1099">
        <v>1.04040472295353</v>
      </c>
      <c r="H2013" s="1099">
        <v>0.990697879419</v>
      </c>
      <c r="I2013" s="1099">
        <v>0.98877105612101501</v>
      </c>
      <c r="K2013">
        <v>1.7512200855131974</v>
      </c>
      <c r="L2013">
        <v>0</v>
      </c>
      <c r="M2013">
        <v>1.2874620649233886E-3</v>
      </c>
      <c r="N2013">
        <v>0.1284602784923978</v>
      </c>
      <c r="O2013">
        <v>0.12827796009454986</v>
      </c>
      <c r="P2013">
        <v>1.88850421583866E-2</v>
      </c>
      <c r="Q2013">
        <v>9.2166992584447049E-4</v>
      </c>
      <c r="R2013">
        <v>1.2841169094281099E-3</v>
      </c>
      <c r="S2013">
        <v>0.10606433581043546</v>
      </c>
      <c r="T2013">
        <v>1.0396995985822186</v>
      </c>
      <c r="U2013">
        <v>0</v>
      </c>
      <c r="V2013">
        <v>0.21147936052466029</v>
      </c>
      <c r="W2013">
        <v>8.3063301503015941E-2</v>
      </c>
      <c r="X2013">
        <v>3.0876940658744922E-2</v>
      </c>
      <c r="Y2013">
        <v>3.4949429184378883E-3</v>
      </c>
    </row>
    <row r="2014" spans="1:25" x14ac:dyDescent="0.25">
      <c r="A2014" s="1095"/>
      <c r="B2014" s="1454">
        <v>1764</v>
      </c>
      <c r="C2014" s="1099">
        <v>0.98065590158041749</v>
      </c>
      <c r="D2014" s="1099">
        <v>1.0318727139908197</v>
      </c>
      <c r="E2014" s="1099">
        <v>0.99228010752115359</v>
      </c>
      <c r="F2014" s="1099">
        <v>0.9681077110982057</v>
      </c>
      <c r="G2014" s="1099">
        <v>1.0217671945952891</v>
      </c>
      <c r="H2014" s="1099">
        <v>1.0205798450852601</v>
      </c>
      <c r="I2014" s="1099">
        <v>1.0208740633208453</v>
      </c>
      <c r="K2014">
        <v>1.7071088129577452</v>
      </c>
      <c r="L2014">
        <v>0</v>
      </c>
      <c r="M2014">
        <v>1.4214560118894501E-3</v>
      </c>
      <c r="N2014">
        <v>0.1277451019072896</v>
      </c>
      <c r="O2014">
        <v>0.12460922584709189</v>
      </c>
      <c r="P2014">
        <v>1.7889262662479272E-2</v>
      </c>
      <c r="Q2014">
        <v>8.9786425426884888E-4</v>
      </c>
      <c r="R2014">
        <v>1.4178265137517064E-3</v>
      </c>
      <c r="S2014">
        <v>0.11137655450129928</v>
      </c>
      <c r="T2014">
        <v>0.99839555211921716</v>
      </c>
      <c r="U2014">
        <v>0</v>
      </c>
      <c r="V2014">
        <v>0.20928236059811589</v>
      </c>
      <c r="W2014">
        <v>8.4306962328695126E-2</v>
      </c>
      <c r="X2014">
        <v>2.875070185337792E-2</v>
      </c>
      <c r="Y2014">
        <v>3.8588563840474994E-3</v>
      </c>
    </row>
    <row r="2015" spans="1:25" x14ac:dyDescent="0.25">
      <c r="A2015" s="1095"/>
      <c r="B2015" s="1454">
        <v>1765</v>
      </c>
      <c r="C2015" s="1099">
        <v>1.0133706863994643</v>
      </c>
      <c r="D2015" s="1099">
        <v>1.0284805744001624</v>
      </c>
      <c r="E2015" s="1099">
        <v>1.0286998489391357</v>
      </c>
      <c r="F2015" s="1099">
        <v>0.98689952001212933</v>
      </c>
      <c r="G2015" s="1099">
        <v>1.0264915629948335</v>
      </c>
      <c r="H2015" s="1099">
        <v>1.0096334811777772</v>
      </c>
      <c r="I2015" s="1099">
        <v>0.99486805771579123</v>
      </c>
      <c r="K2015">
        <v>1.7168468326457555</v>
      </c>
      <c r="L2015">
        <v>0</v>
      </c>
      <c r="M2015">
        <v>1.2695901308579761E-3</v>
      </c>
      <c r="N2015">
        <v>0.12735539786750716</v>
      </c>
      <c r="O2015">
        <v>0.12467063319974429</v>
      </c>
      <c r="P2015">
        <v>1.8523195920874379E-2</v>
      </c>
      <c r="Q2015">
        <v>9.0331486648884715E-4</v>
      </c>
      <c r="R2015">
        <v>1.2663294738285329E-3</v>
      </c>
      <c r="S2015">
        <v>0.10487040056135628</v>
      </c>
      <c r="T2015">
        <v>1.0167179948281764</v>
      </c>
      <c r="U2015">
        <v>0</v>
      </c>
      <c r="V2015">
        <v>0.20794322091127784</v>
      </c>
      <c r="W2015">
        <v>8.2264581893377833E-2</v>
      </c>
      <c r="X2015">
        <v>3.0154821871620104E-2</v>
      </c>
      <c r="Y2015">
        <v>3.4465313823624096E-3</v>
      </c>
    </row>
    <row r="2016" spans="1:25" x14ac:dyDescent="0.25">
      <c r="A2016" s="1095"/>
      <c r="B2016" s="1454">
        <v>1766</v>
      </c>
      <c r="C2016" s="1099">
        <v>1.0166149358142209</v>
      </c>
      <c r="D2016" s="1099">
        <v>1.0361228291925446</v>
      </c>
      <c r="E2016" s="1099">
        <v>1.0027458720119367</v>
      </c>
      <c r="F2016" s="1099">
        <v>1.0292502720635066</v>
      </c>
      <c r="G2016" s="1099">
        <v>1.0136594112012303</v>
      </c>
      <c r="H2016" s="1099">
        <v>0.98267135967355845</v>
      </c>
      <c r="I2016" s="1099">
        <v>0.99539962304613272</v>
      </c>
      <c r="K2016">
        <v>1.7522533619405545</v>
      </c>
      <c r="L2016">
        <v>0</v>
      </c>
      <c r="M2016">
        <v>1.2991402163304638E-3</v>
      </c>
      <c r="N2016">
        <v>0.12049440930804535</v>
      </c>
      <c r="O2016">
        <v>0.12721198910951115</v>
      </c>
      <c r="P2016">
        <v>1.8761185817734716E-2</v>
      </c>
      <c r="Q2016">
        <v>8.7412907380751248E-4</v>
      </c>
      <c r="R2016">
        <v>1.2957198851544318E-3</v>
      </c>
      <c r="S2016">
        <v>0.10250640085108749</v>
      </c>
      <c r="T2016">
        <v>1.0611299822320515</v>
      </c>
      <c r="U2016">
        <v>0</v>
      </c>
      <c r="V2016">
        <v>0.2089398696615293</v>
      </c>
      <c r="W2016">
        <v>7.9027697530429625E-2</v>
      </c>
      <c r="X2016">
        <v>2.9784596294088316E-2</v>
      </c>
      <c r="Y2016">
        <v>3.5265223934450177E-3</v>
      </c>
    </row>
    <row r="2017" spans="1:25" x14ac:dyDescent="0.25">
      <c r="A2017" s="1095"/>
      <c r="B2017" s="1454">
        <v>1767</v>
      </c>
      <c r="C2017" s="1099">
        <v>0.96998941843414721</v>
      </c>
      <c r="D2017" s="1099">
        <v>1.0123189479015386</v>
      </c>
      <c r="E2017" s="1099">
        <v>1.0111563923244071</v>
      </c>
      <c r="F2017" s="1099">
        <v>0.95850810547345922</v>
      </c>
      <c r="G2017" s="1099">
        <v>1.004014282998716</v>
      </c>
      <c r="H2017" s="1099">
        <v>0.99620788417843098</v>
      </c>
      <c r="I2017" s="1099">
        <v>1.0320921434367092</v>
      </c>
      <c r="K2017">
        <v>1.7023764240270343</v>
      </c>
      <c r="L2017">
        <v>0</v>
      </c>
      <c r="M2017">
        <v>1.3615778926260387E-3</v>
      </c>
      <c r="N2017">
        <v>0.12953659228391215</v>
      </c>
      <c r="O2017">
        <v>0.12535669441630901</v>
      </c>
      <c r="P2017">
        <v>1.8027991518937917E-2</v>
      </c>
      <c r="Q2017">
        <v>9.3277243071993921E-4</v>
      </c>
      <c r="R2017">
        <v>1.3580223133505067E-3</v>
      </c>
      <c r="S2017">
        <v>0.11329557690647256</v>
      </c>
      <c r="T2017">
        <v>0.9879586880603779</v>
      </c>
      <c r="U2017">
        <v>0</v>
      </c>
      <c r="V2017">
        <v>0.20946874133614785</v>
      </c>
      <c r="W2017">
        <v>8.4536806360483815E-2</v>
      </c>
      <c r="X2017">
        <v>2.957002722794318E-2</v>
      </c>
      <c r="Y2017">
        <v>3.6960890650047985E-3</v>
      </c>
    </row>
    <row r="2018" spans="1:25" x14ac:dyDescent="0.25">
      <c r="A2018" s="1095"/>
      <c r="B2018" s="1454">
        <v>1768</v>
      </c>
      <c r="C2018" s="1099">
        <v>0.98533432495662576</v>
      </c>
      <c r="D2018" s="1099">
        <v>1.0307529640477089</v>
      </c>
      <c r="E2018" s="1099">
        <v>0.99272227992321338</v>
      </c>
      <c r="F2018" s="1099">
        <v>0.99359851168924906</v>
      </c>
      <c r="G2018" s="1099">
        <v>0.98967499063304132</v>
      </c>
      <c r="H2018" s="1099">
        <v>0.99769180740058516</v>
      </c>
      <c r="I2018" s="1099">
        <v>0.98754251556506301</v>
      </c>
      <c r="K2018">
        <v>1.7246605233186134</v>
      </c>
      <c r="L2018">
        <v>0</v>
      </c>
      <c r="M2018">
        <v>1.3862518115936892E-3</v>
      </c>
      <c r="N2018">
        <v>0.12474156188306312</v>
      </c>
      <c r="O2018">
        <v>0.12636314496041376</v>
      </c>
      <c r="P2018">
        <v>1.8169538228754657E-2</v>
      </c>
      <c r="Q2018">
        <v>8.9440090302514159E-4</v>
      </c>
      <c r="R2018">
        <v>1.3826412865894486E-3</v>
      </c>
      <c r="S2018">
        <v>0.1059144284958802</v>
      </c>
      <c r="T2018">
        <v>1.0246706895394848</v>
      </c>
      <c r="U2018">
        <v>0</v>
      </c>
      <c r="V2018">
        <v>0.20869677265720027</v>
      </c>
      <c r="W2018">
        <v>8.2302978007444405E-2</v>
      </c>
      <c r="X2018">
        <v>2.9147525373832962E-2</v>
      </c>
      <c r="Y2018">
        <v>3.7630937945188521E-3</v>
      </c>
    </row>
    <row r="2019" spans="1:25" x14ac:dyDescent="0.25">
      <c r="A2019" s="1095"/>
      <c r="B2019" s="1454">
        <v>1769</v>
      </c>
      <c r="C2019" s="1099">
        <v>1.0002063763922253</v>
      </c>
      <c r="D2019" s="1099">
        <v>0.9927775045502466</v>
      </c>
      <c r="E2019" s="1099">
        <v>1.0031128673751135</v>
      </c>
      <c r="F2019" s="1099">
        <v>0.98146893524240819</v>
      </c>
      <c r="G2019" s="1099">
        <v>0.9925689963419484</v>
      </c>
      <c r="H2019" s="1099">
        <v>0.98236087265546235</v>
      </c>
      <c r="I2019" s="1099">
        <v>0.98334826560596722</v>
      </c>
      <c r="K2019">
        <v>1.7106695136378827</v>
      </c>
      <c r="L2019">
        <v>0</v>
      </c>
      <c r="M2019">
        <v>1.3455620185866002E-3</v>
      </c>
      <c r="N2019">
        <v>0.12493924802432356</v>
      </c>
      <c r="O2019">
        <v>0.12641320947065224</v>
      </c>
      <c r="P2019">
        <v>1.8119233874208256E-2</v>
      </c>
      <c r="Q2019">
        <v>9.0413056409555873E-4</v>
      </c>
      <c r="R2019">
        <v>1.3420283323044065E-3</v>
      </c>
      <c r="S2019">
        <v>0.10530389181315128</v>
      </c>
      <c r="T2019">
        <v>1.011858003552244</v>
      </c>
      <c r="U2019">
        <v>0</v>
      </c>
      <c r="V2019">
        <v>0.20807967236645536</v>
      </c>
      <c r="W2019">
        <v>8.1925067763965853E-2</v>
      </c>
      <c r="X2019">
        <v>2.947803117405589E-2</v>
      </c>
      <c r="Y2019">
        <v>3.6525587210117475E-3</v>
      </c>
    </row>
    <row r="2020" spans="1:25" x14ac:dyDescent="0.25">
      <c r="A2020" s="1095"/>
      <c r="B2020" s="1454">
        <v>1770</v>
      </c>
      <c r="C2020" s="1099">
        <v>0.96793032811379709</v>
      </c>
      <c r="D2020" s="1099">
        <v>0.96009705215612096</v>
      </c>
      <c r="E2020" s="1099">
        <v>1.0415111379544422</v>
      </c>
      <c r="F2020" s="1099">
        <v>0.99241537050154516</v>
      </c>
      <c r="G2020" s="1099">
        <v>1.0010257736484658</v>
      </c>
      <c r="H2020" s="1099">
        <v>1.0023010078357535</v>
      </c>
      <c r="I2020" s="1099">
        <v>0.97294600651923935</v>
      </c>
      <c r="K2020">
        <v>1.7605835160178818</v>
      </c>
      <c r="L2020">
        <v>0</v>
      </c>
      <c r="M2020">
        <v>1.3331410290097546E-3</v>
      </c>
      <c r="N2020">
        <v>0.13899486423264734</v>
      </c>
      <c r="O2020">
        <v>0.13066135832123874</v>
      </c>
      <c r="P2020">
        <v>1.8931748853833186E-2</v>
      </c>
      <c r="Q2020">
        <v>9.8486810291989642E-4</v>
      </c>
      <c r="R2020">
        <v>1.3297245472638176E-3</v>
      </c>
      <c r="S2020">
        <v>0.11127631944083395</v>
      </c>
      <c r="T2020">
        <v>1.0220357603277732</v>
      </c>
      <c r="U2020">
        <v>0</v>
      </c>
      <c r="V2020">
        <v>0.21300935785118183</v>
      </c>
      <c r="W2020">
        <v>8.9120473995342828E-2</v>
      </c>
      <c r="X2020">
        <v>3.1953109499784409E-2</v>
      </c>
      <c r="Y2020">
        <v>3.6190718740729132E-3</v>
      </c>
    </row>
    <row r="2021" spans="1:25" x14ac:dyDescent="0.25">
      <c r="A2021" s="1095"/>
      <c r="B2021" s="1454">
        <v>1771</v>
      </c>
      <c r="C2021" s="1099">
        <v>1.0176326831450124</v>
      </c>
      <c r="D2021" s="1099">
        <v>1.0025315975747788</v>
      </c>
      <c r="E2021" s="1099">
        <v>1.0016168017768521</v>
      </c>
      <c r="F2021" s="1099">
        <v>1.0315348750954452</v>
      </c>
      <c r="G2021" s="1099">
        <v>1.0159575428670962</v>
      </c>
      <c r="H2021" s="1099">
        <v>1.0209386125579392</v>
      </c>
      <c r="I2021" s="1099">
        <v>1.0303023929277872</v>
      </c>
      <c r="K2021">
        <v>1.7781218220589718</v>
      </c>
      <c r="L2021">
        <v>0</v>
      </c>
      <c r="M2021">
        <v>1.3786337405328976E-3</v>
      </c>
      <c r="N2021">
        <v>0.12744677637895124</v>
      </c>
      <c r="O2021">
        <v>0.12885296029479631</v>
      </c>
      <c r="P2021">
        <v>1.8908445580267785E-2</v>
      </c>
      <c r="Q2021">
        <v>8.8380909814850511E-4</v>
      </c>
      <c r="R2021">
        <v>1.3751633660180167E-3</v>
      </c>
      <c r="S2021">
        <v>0.11091786600042991</v>
      </c>
      <c r="T2021">
        <v>1.0635198945593409</v>
      </c>
      <c r="U2021">
        <v>0</v>
      </c>
      <c r="V2021">
        <v>0.21007140442330685</v>
      </c>
      <c r="W2021">
        <v>8.3643504794061435E-2</v>
      </c>
      <c r="X2021">
        <v>3.0137889944361979E-2</v>
      </c>
      <c r="Y2021">
        <v>3.7427413598192681E-3</v>
      </c>
    </row>
    <row r="2022" spans="1:25" x14ac:dyDescent="0.25">
      <c r="A2022" s="1095"/>
      <c r="B2022" s="1454">
        <v>1772</v>
      </c>
      <c r="C2022" s="1099">
        <v>1.0286673135173585</v>
      </c>
      <c r="D2022" s="1099">
        <v>1.0111370664379189</v>
      </c>
      <c r="E2022" s="1099">
        <v>1.0166040085040846</v>
      </c>
      <c r="F2022" s="1099">
        <v>0.99894007568087695</v>
      </c>
      <c r="G2022" s="1099">
        <v>1.0196302409480824</v>
      </c>
      <c r="H2022" s="1099">
        <v>0.97179963054505136</v>
      </c>
      <c r="I2022" s="1099">
        <v>1.0196028635256758</v>
      </c>
      <c r="K2022">
        <v>1.7191233020949039</v>
      </c>
      <c r="L2022">
        <v>0</v>
      </c>
      <c r="M2022">
        <v>1.2497700070136385E-3</v>
      </c>
      <c r="N2022">
        <v>0.12086544312227093</v>
      </c>
      <c r="O2022">
        <v>0.12552901358465673</v>
      </c>
      <c r="P2022">
        <v>1.8524746821911468E-2</v>
      </c>
      <c r="Q2022">
        <v>8.8492323797799909E-4</v>
      </c>
      <c r="R2022">
        <v>1.2464534509658417E-3</v>
      </c>
      <c r="S2022">
        <v>0.10452312310785682</v>
      </c>
      <c r="T2022">
        <v>1.0294734221388586</v>
      </c>
      <c r="U2022">
        <v>0</v>
      </c>
      <c r="V2022">
        <v>0.20745854446474091</v>
      </c>
      <c r="W2022">
        <v>7.8625727416848604E-2</v>
      </c>
      <c r="X2022">
        <v>2.9849239355568696E-2</v>
      </c>
      <c r="Y2022">
        <v>3.3924354002593405E-3</v>
      </c>
    </row>
    <row r="2023" spans="1:25" x14ac:dyDescent="0.25">
      <c r="A2023" s="1095"/>
      <c r="B2023" s="1454">
        <v>1773</v>
      </c>
      <c r="C2023" s="1099">
        <v>0.98805261275726686</v>
      </c>
      <c r="D2023" s="1099">
        <v>1.0094280125604584</v>
      </c>
      <c r="E2023" s="1099">
        <v>0.96567288241529003</v>
      </c>
      <c r="F2023" s="1099">
        <v>1.0012074268798372</v>
      </c>
      <c r="G2023" s="1099">
        <v>1.0259239910952906</v>
      </c>
      <c r="H2023" s="1099">
        <v>1.005417643758908</v>
      </c>
      <c r="I2023" s="1099">
        <v>1.0143028921042547</v>
      </c>
      <c r="K2023">
        <v>1.7407412353210154</v>
      </c>
      <c r="L2023">
        <v>0</v>
      </c>
      <c r="M2023">
        <v>1.4928055481836895E-3</v>
      </c>
      <c r="N2023">
        <v>0.12377719637699633</v>
      </c>
      <c r="O2023">
        <v>0.12764241037889129</v>
      </c>
      <c r="P2023">
        <v>1.8008112263158623E-2</v>
      </c>
      <c r="Q2023">
        <v>8.7428175962900355E-4</v>
      </c>
      <c r="R2023">
        <v>1.4889658822474885E-3</v>
      </c>
      <c r="S2023">
        <v>0.11045882928255425</v>
      </c>
      <c r="T2023">
        <v>1.0333394423367517</v>
      </c>
      <c r="U2023">
        <v>0</v>
      </c>
      <c r="V2023">
        <v>0.21115884384789876</v>
      </c>
      <c r="W2023">
        <v>8.3012416003874948E-2</v>
      </c>
      <c r="X2023">
        <v>2.8421068443188802E-2</v>
      </c>
      <c r="Y2023">
        <v>4.0524742940064966E-3</v>
      </c>
    </row>
    <row r="2024" spans="1:25" x14ac:dyDescent="0.25">
      <c r="A2024" s="1095"/>
      <c r="B2024" s="1454">
        <v>1774</v>
      </c>
      <c r="C2024" s="1099">
        <v>0.99925852314548902</v>
      </c>
      <c r="D2024" s="1099">
        <v>1.0166923779711177</v>
      </c>
      <c r="E2024" s="1099">
        <v>1.0024490027687807</v>
      </c>
      <c r="F2024" s="1099">
        <v>0.98134883559392982</v>
      </c>
      <c r="G2024" s="1099">
        <v>0.97891129519438691</v>
      </c>
      <c r="H2024" s="1099">
        <v>0.98119313696664445</v>
      </c>
      <c r="I2024" s="1099">
        <v>1.0115644934459389</v>
      </c>
      <c r="K2024">
        <v>1.7063714706912998</v>
      </c>
      <c r="L2024">
        <v>0</v>
      </c>
      <c r="M2024">
        <v>1.3282824034975009E-3</v>
      </c>
      <c r="N2024">
        <v>0.12308585295132841</v>
      </c>
      <c r="O2024">
        <v>0.12537816097432863</v>
      </c>
      <c r="P2024">
        <v>1.8111074999058591E-2</v>
      </c>
      <c r="Q2024">
        <v>8.9579651985480279E-4</v>
      </c>
      <c r="R2024">
        <v>1.3247740528032396E-3</v>
      </c>
      <c r="S2024">
        <v>0.10675863758079</v>
      </c>
      <c r="T2024">
        <v>1.0117534979647942</v>
      </c>
      <c r="U2024">
        <v>0</v>
      </c>
      <c r="V2024">
        <v>0.20678705649707382</v>
      </c>
      <c r="W2024">
        <v>8.0741542633295346E-2</v>
      </c>
      <c r="X2024">
        <v>2.9257760661388743E-2</v>
      </c>
      <c r="Y2024">
        <v>3.6055982600812814E-3</v>
      </c>
    </row>
    <row r="2025" spans="1:25" x14ac:dyDescent="0.25">
      <c r="A2025" s="1095"/>
      <c r="B2025" s="1454">
        <v>1775</v>
      </c>
      <c r="C2025" s="1099">
        <v>1.0002188715091316</v>
      </c>
      <c r="D2025" s="1099">
        <v>0.9915040956287432</v>
      </c>
      <c r="E2025" s="1099">
        <v>1.013521430602579</v>
      </c>
      <c r="F2025" s="1099">
        <v>0.95600259371775786</v>
      </c>
      <c r="G2025" s="1099">
        <v>1.0118516161698297</v>
      </c>
      <c r="H2025" s="1099">
        <v>1.0029088060637497</v>
      </c>
      <c r="I2025" s="1099">
        <v>0.98894123236431408</v>
      </c>
      <c r="K2025">
        <v>1.6891952564321577</v>
      </c>
      <c r="L2025">
        <v>0</v>
      </c>
      <c r="M2025">
        <v>1.3421669168737107E-3</v>
      </c>
      <c r="N2025">
        <v>0.12860903199515991</v>
      </c>
      <c r="O2025">
        <v>0.12454347168004933</v>
      </c>
      <c r="P2025">
        <v>1.7915908553310725E-2</v>
      </c>
      <c r="Q2025">
        <v>9.1435481319189222E-4</v>
      </c>
      <c r="R2025">
        <v>1.3387070702719427E-3</v>
      </c>
      <c r="S2025">
        <v>0.1072646328720991</v>
      </c>
      <c r="T2025">
        <v>0.98530980996864048</v>
      </c>
      <c r="U2025">
        <v>0</v>
      </c>
      <c r="V2025">
        <v>0.20773180033963592</v>
      </c>
      <c r="W2025">
        <v>8.3814717067109315E-2</v>
      </c>
      <c r="X2025">
        <v>2.9451469648950908E-2</v>
      </c>
      <c r="Y2025">
        <v>3.6435193406131167E-3</v>
      </c>
    </row>
    <row r="2026" spans="1:25" x14ac:dyDescent="0.25">
      <c r="A2026" s="1095"/>
      <c r="B2026" s="1454">
        <v>1776</v>
      </c>
      <c r="C2026" s="1099">
        <v>1.0262351546578001</v>
      </c>
      <c r="D2026" s="1099">
        <v>1.0484468337194701</v>
      </c>
      <c r="E2026" s="1099">
        <v>1.01877190126374</v>
      </c>
      <c r="F2026" s="1099">
        <v>0.97708544380743179</v>
      </c>
      <c r="G2026" s="1099">
        <v>1.0155547931325233</v>
      </c>
      <c r="H2026" s="1099">
        <v>1.0334529249544604</v>
      </c>
      <c r="I2026" s="1099">
        <v>0.96887017645510676</v>
      </c>
      <c r="K2026">
        <v>1.6956857425060332</v>
      </c>
      <c r="L2026">
        <v>0</v>
      </c>
      <c r="M2026">
        <v>1.2954908429957601E-3</v>
      </c>
      <c r="N2026">
        <v>0.12612650572437553</v>
      </c>
      <c r="O2026">
        <v>0.12240838358049717</v>
      </c>
      <c r="P2026">
        <v>1.8165608117586846E-2</v>
      </c>
      <c r="Q2026">
        <v>8.7620579632441539E-4</v>
      </c>
      <c r="R2026">
        <v>1.2922290036078048E-3</v>
      </c>
      <c r="S2026">
        <v>0.1011818931374856</v>
      </c>
      <c r="T2026">
        <v>1.0068889311148126</v>
      </c>
      <c r="U2026">
        <v>0</v>
      </c>
      <c r="V2026">
        <v>0.20528466898731421</v>
      </c>
      <c r="W2026">
        <v>8.1943981082701012E-2</v>
      </c>
      <c r="X2026">
        <v>2.9295805439678496E-2</v>
      </c>
      <c r="Y2026">
        <v>3.5170213646438914E-3</v>
      </c>
    </row>
    <row r="2027" spans="1:25" x14ac:dyDescent="0.25">
      <c r="A2027" s="1095"/>
      <c r="B2027" s="1454">
        <v>1777</v>
      </c>
      <c r="C2027" s="1099">
        <v>1.0080644849258651</v>
      </c>
      <c r="D2027" s="1099">
        <v>0.96032839189381536</v>
      </c>
      <c r="E2027" s="1099">
        <v>1.0120824939218069</v>
      </c>
      <c r="F2027" s="1099">
        <v>0.98419412321705746</v>
      </c>
      <c r="G2027" s="1099">
        <v>0.99349205459939371</v>
      </c>
      <c r="H2027" s="1099">
        <v>1.0208335559210786</v>
      </c>
      <c r="I2027" s="1099">
        <v>1.0403994858140593</v>
      </c>
      <c r="K2027">
        <v>1.7389644116233891</v>
      </c>
      <c r="L2027">
        <v>0</v>
      </c>
      <c r="M2027">
        <v>1.3898526389984006E-3</v>
      </c>
      <c r="N2027">
        <v>0.13261031151856209</v>
      </c>
      <c r="O2027">
        <v>0.12776722786752587</v>
      </c>
      <c r="P2027">
        <v>1.842667045209765E-2</v>
      </c>
      <c r="Q2027">
        <v>9.1754602211066767E-4</v>
      </c>
      <c r="R2027">
        <v>1.3863651543380023E-3</v>
      </c>
      <c r="S2027">
        <v>0.11575799137466126</v>
      </c>
      <c r="T2027">
        <v>1.0144071395875203</v>
      </c>
      <c r="U2027">
        <v>0</v>
      </c>
      <c r="V2027">
        <v>0.20863103864411492</v>
      </c>
      <c r="W2027">
        <v>8.6495556759909886E-2</v>
      </c>
      <c r="X2027">
        <v>3.0181187946589291E-2</v>
      </c>
      <c r="Y2027">
        <v>3.7732289349577401E-3</v>
      </c>
    </row>
    <row r="2028" spans="1:25" x14ac:dyDescent="0.25">
      <c r="A2028" s="1095"/>
      <c r="B2028" s="1454">
        <v>1778</v>
      </c>
      <c r="C2028" s="1099">
        <v>1.0327086306010245</v>
      </c>
      <c r="D2028" s="1099">
        <v>0.99747000386042428</v>
      </c>
      <c r="E2028" s="1099">
        <v>1.0148576362365749</v>
      </c>
      <c r="F2028" s="1099">
        <v>1.0322624889284295</v>
      </c>
      <c r="G2028" s="1099">
        <v>0.97342131830921275</v>
      </c>
      <c r="H2028" s="1099">
        <v>1.0059040607922107</v>
      </c>
      <c r="I2028" s="1099">
        <v>0.96775178329246758</v>
      </c>
      <c r="K2028">
        <v>1.7630147463042791</v>
      </c>
      <c r="L2028">
        <v>0</v>
      </c>
      <c r="M2028">
        <v>1.3077079394575189E-3</v>
      </c>
      <c r="N2028">
        <v>0.12581706043475815</v>
      </c>
      <c r="O2028">
        <v>0.12842746121015935</v>
      </c>
      <c r="P2028">
        <v>1.8935700616430948E-2</v>
      </c>
      <c r="Q2028">
        <v>8.8468161619931565E-4</v>
      </c>
      <c r="R2028">
        <v>1.3043742465719693E-3</v>
      </c>
      <c r="S2028">
        <v>0.10209872987949782</v>
      </c>
      <c r="T2028">
        <v>1.0638671069877292</v>
      </c>
      <c r="U2028">
        <v>0</v>
      </c>
      <c r="V2028">
        <v>0.20701620633043319</v>
      </c>
      <c r="W2028">
        <v>8.1930816367297654E-2</v>
      </c>
      <c r="X2028">
        <v>3.0490239842341928E-2</v>
      </c>
      <c r="Y2028">
        <v>3.5500767123140806E-3</v>
      </c>
    </row>
    <row r="2029" spans="1:25" x14ac:dyDescent="0.25">
      <c r="A2029" s="1095"/>
      <c r="B2029" s="1454">
        <v>1779</v>
      </c>
      <c r="C2029" s="1099">
        <v>0.97478844028171929</v>
      </c>
      <c r="D2029" s="1099">
        <v>1.0314924792903761</v>
      </c>
      <c r="E2029" s="1099">
        <v>1.0192250009462103</v>
      </c>
      <c r="F2029" s="1099">
        <v>0.9944343258134275</v>
      </c>
      <c r="G2029" s="1099">
        <v>0.9789468539384889</v>
      </c>
      <c r="H2029" s="1099">
        <v>0.98976107360457388</v>
      </c>
      <c r="I2029" s="1099">
        <v>1.0164839806674444</v>
      </c>
      <c r="K2029">
        <v>1.7352548108539105</v>
      </c>
      <c r="L2029">
        <v>0</v>
      </c>
      <c r="M2029">
        <v>1.3140622285524571E-3</v>
      </c>
      <c r="N2029">
        <v>0.12809545392695784</v>
      </c>
      <c r="O2029">
        <v>0.12705067248131355</v>
      </c>
      <c r="P2029">
        <v>1.8589022218707126E-2</v>
      </c>
      <c r="Q2029">
        <v>9.2891665499979042E-4</v>
      </c>
      <c r="R2029">
        <v>1.3106090275329413E-3</v>
      </c>
      <c r="S2029">
        <v>0.10957219069221334</v>
      </c>
      <c r="T2029">
        <v>1.0247538560201723</v>
      </c>
      <c r="U2029">
        <v>0</v>
      </c>
      <c r="V2029">
        <v>0.20919209000731012</v>
      </c>
      <c r="W2029">
        <v>8.3201124462356613E-2</v>
      </c>
      <c r="X2029">
        <v>3.0307891860102625E-2</v>
      </c>
      <c r="Y2029">
        <v>3.5670457307948539E-3</v>
      </c>
    </row>
    <row r="2030" spans="1:25" x14ac:dyDescent="0.25">
      <c r="A2030" s="1095"/>
      <c r="B2030" s="1454">
        <v>1780</v>
      </c>
      <c r="C2030" s="1099">
        <v>0.98879175760756921</v>
      </c>
      <c r="D2030" s="1099">
        <v>1.018524466338143</v>
      </c>
      <c r="E2030" s="1099">
        <v>0.98909189657305063</v>
      </c>
      <c r="F2030" s="1099">
        <v>0.98097518630113023</v>
      </c>
      <c r="G2030" s="1099">
        <v>0.96345988979521446</v>
      </c>
      <c r="H2030" s="1099">
        <v>1.0021143822394822</v>
      </c>
      <c r="I2030" s="1099">
        <v>0.96930532249775203</v>
      </c>
      <c r="K2030">
        <v>1.7083431392233472</v>
      </c>
      <c r="L2030">
        <v>0</v>
      </c>
      <c r="M2030">
        <v>1.4066793015794661E-3</v>
      </c>
      <c r="N2030">
        <v>0.12519994826069503</v>
      </c>
      <c r="O2030">
        <v>0.12574662712187565</v>
      </c>
      <c r="P2030">
        <v>1.7902010532615937E-2</v>
      </c>
      <c r="Q2030">
        <v>8.9215768706911924E-4</v>
      </c>
      <c r="R2030">
        <v>1.4030368968079242E-3</v>
      </c>
      <c r="S2030">
        <v>0.10459758053644537</v>
      </c>
      <c r="T2030">
        <v>1.0117594348653969</v>
      </c>
      <c r="U2030">
        <v>0</v>
      </c>
      <c r="V2030">
        <v>0.20681274430913074</v>
      </c>
      <c r="W2030">
        <v>8.2785134198756979E-2</v>
      </c>
      <c r="X2030">
        <v>2.8832540194008899E-2</v>
      </c>
      <c r="Y2030">
        <v>3.8186039221224394E-3</v>
      </c>
    </row>
    <row r="2031" spans="1:25" x14ac:dyDescent="0.25">
      <c r="A2031" s="1095"/>
      <c r="B2031" s="1454">
        <v>1781</v>
      </c>
      <c r="C2031" s="1099">
        <v>1.0114005338444825</v>
      </c>
      <c r="D2031" s="1099">
        <v>0.97809981953675107</v>
      </c>
      <c r="E2031" s="1099">
        <v>1.0162430751244393</v>
      </c>
      <c r="F2031" s="1099">
        <v>0.99134104683449109</v>
      </c>
      <c r="G2031" s="1099">
        <v>0.98425946059622704</v>
      </c>
      <c r="H2031" s="1099">
        <v>0.98190201134086119</v>
      </c>
      <c r="I2031" s="1099">
        <v>0.98641293258001583</v>
      </c>
      <c r="K2031">
        <v>1.723924397889419</v>
      </c>
      <c r="L2031">
        <v>0</v>
      </c>
      <c r="M2031">
        <v>1.3080260938680348E-3</v>
      </c>
      <c r="N2031">
        <v>0.12636656792891665</v>
      </c>
      <c r="O2031">
        <v>0.12732669629231338</v>
      </c>
      <c r="P2031">
        <v>1.842989312961588E-2</v>
      </c>
      <c r="Q2031">
        <v>9.1173157263585187E-4</v>
      </c>
      <c r="R2031">
        <v>1.3046052298262729E-3</v>
      </c>
      <c r="S2031">
        <v>0.10554284181908943</v>
      </c>
      <c r="T2031">
        <v>1.021652585412729</v>
      </c>
      <c r="U2031">
        <v>0</v>
      </c>
      <c r="V2031">
        <v>0.2077433241739009</v>
      </c>
      <c r="W2031">
        <v>8.2221744009241413E-2</v>
      </c>
      <c r="X2031">
        <v>3.018172904242632E-2</v>
      </c>
      <c r="Y2031">
        <v>3.5507053725886842E-3</v>
      </c>
    </row>
    <row r="2032" spans="1:25" x14ac:dyDescent="0.25">
      <c r="A2032" s="1095"/>
      <c r="B2032" s="1454">
        <v>1782</v>
      </c>
      <c r="C2032" s="1099">
        <v>1.0173780933216365</v>
      </c>
      <c r="D2032" s="1099">
        <v>1.0215210861497241</v>
      </c>
      <c r="E2032" s="1099">
        <v>0.97256337174857233</v>
      </c>
      <c r="F2032" s="1099">
        <v>0.99198647043067512</v>
      </c>
      <c r="G2032" s="1099">
        <v>1.0283562241443078</v>
      </c>
      <c r="H2032" s="1099">
        <v>1.0011777162802666</v>
      </c>
      <c r="I2032" s="1099">
        <v>1.0047026208608834</v>
      </c>
      <c r="K2032">
        <v>1.7124256018394228</v>
      </c>
      <c r="L2032">
        <v>0</v>
      </c>
      <c r="M2032">
        <v>1.4155852557942679E-3</v>
      </c>
      <c r="N2032">
        <v>0.11984764358381127</v>
      </c>
      <c r="O2032">
        <v>0.12493432026908233</v>
      </c>
      <c r="P2032">
        <v>1.7862713067772144E-2</v>
      </c>
      <c r="Q2032">
        <v>8.5120593355077494E-4</v>
      </c>
      <c r="R2032">
        <v>1.4119263998166529E-3</v>
      </c>
      <c r="S2032">
        <v>0.10531283310754773</v>
      </c>
      <c r="T2032">
        <v>1.0236130542977968</v>
      </c>
      <c r="U2032">
        <v>0</v>
      </c>
      <c r="V2032">
        <v>0.20800780889484913</v>
      </c>
      <c r="W2032">
        <v>8.0040408580536196E-2</v>
      </c>
      <c r="X2032">
        <v>2.8116474741566699E-2</v>
      </c>
      <c r="Y2032">
        <v>3.8427982188883199E-3</v>
      </c>
    </row>
    <row r="2033" spans="1:25" x14ac:dyDescent="0.25">
      <c r="A2033" s="1095"/>
      <c r="B2033" s="1454">
        <v>1783</v>
      </c>
      <c r="C2033" s="1099">
        <v>0.99471066346255854</v>
      </c>
      <c r="D2033" s="1099">
        <v>0.97914938460202128</v>
      </c>
      <c r="E2033" s="1099">
        <v>1.0349060082354355</v>
      </c>
      <c r="F2033" s="1099">
        <v>1.0356344284449355</v>
      </c>
      <c r="G2033" s="1099">
        <v>1.0181562076786745</v>
      </c>
      <c r="H2033" s="1099">
        <v>1.0043275812045336</v>
      </c>
      <c r="I2033" s="1099">
        <v>1.0015923347281908</v>
      </c>
      <c r="K2033">
        <v>1.7983443690951144</v>
      </c>
      <c r="L2033">
        <v>0</v>
      </c>
      <c r="M2033">
        <v>1.3108550744962901E-3</v>
      </c>
      <c r="N2033">
        <v>0.13398002198829032</v>
      </c>
      <c r="O2033">
        <v>0.13159938216460179</v>
      </c>
      <c r="P2033">
        <v>1.9461001370280458E-2</v>
      </c>
      <c r="Q2033">
        <v>9.4448993471947832E-4</v>
      </c>
      <c r="R2033">
        <v>1.3075108330582103E-3</v>
      </c>
      <c r="S2033">
        <v>0.11069884801361167</v>
      </c>
      <c r="T2033">
        <v>1.0667403829522346</v>
      </c>
      <c r="U2033">
        <v>0</v>
      </c>
      <c r="V2033">
        <v>0.21313370828157616</v>
      </c>
      <c r="W2033">
        <v>8.6232948428416598E-2</v>
      </c>
      <c r="X2033">
        <v>3.1998316736066103E-2</v>
      </c>
      <c r="Y2033">
        <v>3.5586134667541713E-3</v>
      </c>
    </row>
    <row r="2034" spans="1:25" x14ac:dyDescent="0.25">
      <c r="A2034" s="1095"/>
      <c r="B2034" s="1454">
        <v>1784</v>
      </c>
      <c r="C2034" s="1099">
        <v>1.0048011429686596</v>
      </c>
      <c r="D2034" s="1099">
        <v>0.96747309415182059</v>
      </c>
      <c r="E2034" s="1099">
        <v>1.0094544861298183</v>
      </c>
      <c r="F2034" s="1099">
        <v>1.0136813432527865</v>
      </c>
      <c r="G2034" s="1099">
        <v>1.0104900024926675</v>
      </c>
      <c r="H2034" s="1099">
        <v>1.0193815495583487</v>
      </c>
      <c r="I2034" s="1099">
        <v>1.0241446003343002</v>
      </c>
      <c r="K2034">
        <v>1.772417817008229</v>
      </c>
      <c r="L2034">
        <v>0</v>
      </c>
      <c r="M2034">
        <v>1.3972246516651791E-3</v>
      </c>
      <c r="N2034">
        <v>0.13226008970987571</v>
      </c>
      <c r="O2034">
        <v>0.12985492057234363</v>
      </c>
      <c r="P2034">
        <v>1.8816654862296996E-2</v>
      </c>
      <c r="Q2034">
        <v>9.1531762220276166E-4</v>
      </c>
      <c r="R2034">
        <v>1.3937170986399977E-3</v>
      </c>
      <c r="S2034">
        <v>0.11386294595683068</v>
      </c>
      <c r="T2034">
        <v>1.0448779041534444</v>
      </c>
      <c r="U2034">
        <v>0</v>
      </c>
      <c r="V2034">
        <v>0.21105074033354435</v>
      </c>
      <c r="W2034">
        <v>8.6400831811621601E-2</v>
      </c>
      <c r="X2034">
        <v>3.0588681035311861E-2</v>
      </c>
      <c r="Y2034">
        <v>3.7932385037799847E-3</v>
      </c>
    </row>
    <row r="2035" spans="1:25" x14ac:dyDescent="0.25">
      <c r="A2035" s="1095"/>
      <c r="B2035" s="1454">
        <v>1785</v>
      </c>
      <c r="C2035" s="1099">
        <v>0.9919433399194848</v>
      </c>
      <c r="D2035" s="1099">
        <v>0.97524900815961901</v>
      </c>
      <c r="E2035" s="1099">
        <v>1.0270587685424704</v>
      </c>
      <c r="F2035" s="1099">
        <v>0.99334629865887725</v>
      </c>
      <c r="G2035" s="1099">
        <v>0.97860179684005377</v>
      </c>
      <c r="H2035" s="1099">
        <v>1.017708357016498</v>
      </c>
      <c r="I2035" s="1099">
        <v>1.0178910693875434</v>
      </c>
      <c r="K2035">
        <v>1.7516985343204885</v>
      </c>
      <c r="L2035">
        <v>0</v>
      </c>
      <c r="M2035">
        <v>1.3518686525367271E-3</v>
      </c>
      <c r="N2035">
        <v>0.13494538288055055</v>
      </c>
      <c r="O2035">
        <v>0.12866753517668675</v>
      </c>
      <c r="P2035">
        <v>1.8737412189999011E-2</v>
      </c>
      <c r="Q2035">
        <v>9.4107615466612713E-4</v>
      </c>
      <c r="R2035">
        <v>1.3484543383018928E-3</v>
      </c>
      <c r="S2035">
        <v>0.11376448209567186</v>
      </c>
      <c r="T2035">
        <v>1.023406671352854</v>
      </c>
      <c r="U2035">
        <v>0</v>
      </c>
      <c r="V2035">
        <v>0.20933950518068148</v>
      </c>
      <c r="W2035">
        <v>8.7250508942653598E-2</v>
      </c>
      <c r="X2035">
        <v>3.0979326469954535E-2</v>
      </c>
      <c r="Y2035">
        <v>3.6700481910045984E-3</v>
      </c>
    </row>
    <row r="2036" spans="1:25" x14ac:dyDescent="0.25">
      <c r="A2036" s="1095"/>
      <c r="B2036" s="1454">
        <v>1786</v>
      </c>
      <c r="C2036" s="1099">
        <v>1.0074830935908103</v>
      </c>
      <c r="D2036" s="1099">
        <v>1.0020969862416798</v>
      </c>
      <c r="E2036" s="1099">
        <v>0.99058399824473486</v>
      </c>
      <c r="F2036" s="1099">
        <v>1.0093288344260989</v>
      </c>
      <c r="G2036" s="1099">
        <v>1.0035292563687765</v>
      </c>
      <c r="H2036" s="1099">
        <v>1.0065740648370756</v>
      </c>
      <c r="I2036" s="1099">
        <v>0.98321252309675866</v>
      </c>
      <c r="K2036">
        <v>1.744035516183448</v>
      </c>
      <c r="L2036">
        <v>0</v>
      </c>
      <c r="M2036">
        <v>1.4013461901671786E-3</v>
      </c>
      <c r="N2036">
        <v>0.1252929519779668</v>
      </c>
      <c r="O2036">
        <v>0.12768610608930556</v>
      </c>
      <c r="P2036">
        <v>1.8364909879324806E-2</v>
      </c>
      <c r="Q2036">
        <v>8.8269138935378902E-4</v>
      </c>
      <c r="R2036">
        <v>1.3977591361237736E-3</v>
      </c>
      <c r="S2036">
        <v>0.10576075494986194</v>
      </c>
      <c r="T2036">
        <v>1.0409576310040358</v>
      </c>
      <c r="U2036">
        <v>0</v>
      </c>
      <c r="V2036">
        <v>0.20914379897765412</v>
      </c>
      <c r="W2036">
        <v>8.2772600766185048E-2</v>
      </c>
      <c r="X2036">
        <v>2.9373418606450347E-2</v>
      </c>
      <c r="Y2036">
        <v>3.8042395973535248E-3</v>
      </c>
    </row>
    <row r="2037" spans="1:25" x14ac:dyDescent="0.25">
      <c r="A2037" s="1095"/>
      <c r="B2037" s="1454">
        <v>1787</v>
      </c>
      <c r="C2037" s="1099">
        <v>0.96780707756045992</v>
      </c>
      <c r="D2037" s="1099">
        <v>0.95916552800639243</v>
      </c>
      <c r="E2037" s="1099">
        <v>1.0015294178334919</v>
      </c>
      <c r="F2037" s="1099">
        <v>0.99042919419009645</v>
      </c>
      <c r="G2037" s="1099">
        <v>0.99877219058567046</v>
      </c>
      <c r="H2037" s="1099">
        <v>0.96833388687546229</v>
      </c>
      <c r="I2037" s="1099">
        <v>0.98055394456825651</v>
      </c>
      <c r="K2037">
        <v>1.7416149627281281</v>
      </c>
      <c r="L2037">
        <v>0</v>
      </c>
      <c r="M2037">
        <v>1.4004107383044982E-3</v>
      </c>
      <c r="N2037">
        <v>0.12940819449679838</v>
      </c>
      <c r="O2037">
        <v>0.13039167328665996</v>
      </c>
      <c r="P2037">
        <v>1.8347887745831546E-2</v>
      </c>
      <c r="Q2037">
        <v>9.4580849353478446E-4</v>
      </c>
      <c r="R2037">
        <v>1.3966959066189916E-3</v>
      </c>
      <c r="S2037">
        <v>0.10968590057869117</v>
      </c>
      <c r="T2037">
        <v>1.0211422098791478</v>
      </c>
      <c r="U2037">
        <v>0</v>
      </c>
      <c r="V2037">
        <v>0.2127171912517887</v>
      </c>
      <c r="W2037">
        <v>8.4935191984117128E-2</v>
      </c>
      <c r="X2037">
        <v>3.0243274006106515E-2</v>
      </c>
      <c r="Y2037">
        <v>3.8013458371350191E-3</v>
      </c>
    </row>
    <row r="2038" spans="1:25" x14ac:dyDescent="0.25">
      <c r="A2038" s="1095"/>
      <c r="B2038" s="1454">
        <v>1788</v>
      </c>
      <c r="C2038" s="1099">
        <v>0.98953730035605503</v>
      </c>
      <c r="D2038" s="1099">
        <v>0.98611102399137618</v>
      </c>
      <c r="E2038" s="1099">
        <v>1.0375406443319226</v>
      </c>
      <c r="F2038" s="1099">
        <v>1.0092408134755604</v>
      </c>
      <c r="G2038" s="1099">
        <v>0.99155445890706428</v>
      </c>
      <c r="H2038" s="1099">
        <v>0.98068312342357022</v>
      </c>
      <c r="I2038" s="1099">
        <v>1.0068902051050468</v>
      </c>
      <c r="K2038">
        <v>1.7592810893667825</v>
      </c>
      <c r="L2038">
        <v>0</v>
      </c>
      <c r="M2038">
        <v>1.2708741375395299E-3</v>
      </c>
      <c r="N2038">
        <v>0.13091947324124276</v>
      </c>
      <c r="O2038">
        <v>0.12954554884534236</v>
      </c>
      <c r="P2038">
        <v>1.9064838450419043E-2</v>
      </c>
      <c r="Q2038">
        <v>9.4928135977796085E-4</v>
      </c>
      <c r="R2038">
        <v>1.2675402955598613E-3</v>
      </c>
      <c r="S2038">
        <v>0.10949192489282748</v>
      </c>
      <c r="T2038">
        <v>1.0394778253385837</v>
      </c>
      <c r="U2038">
        <v>0</v>
      </c>
      <c r="V2038">
        <v>0.21070335053542946</v>
      </c>
      <c r="W2038">
        <v>8.4134959181861632E-2</v>
      </c>
      <c r="X2038">
        <v>3.1547394523307265E-2</v>
      </c>
      <c r="Y2038">
        <v>3.4498268399678097E-3</v>
      </c>
    </row>
    <row r="2039" spans="1:25" x14ac:dyDescent="0.25">
      <c r="A2039" s="1095"/>
      <c r="B2039" s="1454">
        <v>1789</v>
      </c>
      <c r="C2039" s="1099">
        <v>1.0286585909241346</v>
      </c>
      <c r="D2039" s="1099">
        <v>0.99703098742748819</v>
      </c>
      <c r="E2039" s="1099">
        <v>0.95592832513704273</v>
      </c>
      <c r="F2039" s="1099">
        <v>0.98970498785397509</v>
      </c>
      <c r="G2039" s="1099">
        <v>1.0284296479826358</v>
      </c>
      <c r="H2039" s="1099">
        <v>0.99497774258026694</v>
      </c>
      <c r="I2039" s="1099">
        <v>0.96088169674797852</v>
      </c>
      <c r="K2039">
        <v>1.7023223716210001</v>
      </c>
      <c r="L2039">
        <v>0</v>
      </c>
      <c r="M2039">
        <v>1.4617632632990081E-3</v>
      </c>
      <c r="N2039">
        <v>0.11767527948682563</v>
      </c>
      <c r="O2039">
        <v>0.12523324799107335</v>
      </c>
      <c r="P2039">
        <v>1.7545704894621105E-2</v>
      </c>
      <c r="Q2039">
        <v>8.3526838422746355E-4</v>
      </c>
      <c r="R2039">
        <v>1.4579816888571431E-3</v>
      </c>
      <c r="S2039">
        <v>0.10073521630171389</v>
      </c>
      <c r="T2039">
        <v>1.0217658582843463</v>
      </c>
      <c r="U2039">
        <v>0</v>
      </c>
      <c r="V2039">
        <v>0.20765115111522278</v>
      </c>
      <c r="W2039">
        <v>7.9393016609788439E-2</v>
      </c>
      <c r="X2039">
        <v>2.7523264594087483E-2</v>
      </c>
      <c r="Y2039">
        <v>3.9681455335345821E-3</v>
      </c>
    </row>
    <row r="2040" spans="1:25" x14ac:dyDescent="0.25">
      <c r="A2040" s="1095"/>
      <c r="B2040" s="1454">
        <v>1790</v>
      </c>
      <c r="C2040" s="1099">
        <v>0.99226204596933654</v>
      </c>
      <c r="D2040" s="1099">
        <v>1.0262835800549996</v>
      </c>
      <c r="E2040" s="1099">
        <v>1.0298837093977264</v>
      </c>
      <c r="F2040" s="1099">
        <v>0.99833470348631426</v>
      </c>
      <c r="G2040" s="1099">
        <v>0.96028601079045472</v>
      </c>
      <c r="H2040" s="1099">
        <v>0.9685974445697948</v>
      </c>
      <c r="I2040" s="1099">
        <v>0.97848516076711933</v>
      </c>
      <c r="K2040">
        <v>1.7241383969824724</v>
      </c>
      <c r="L2040">
        <v>0</v>
      </c>
      <c r="M2040">
        <v>1.2414895116153951E-3</v>
      </c>
      <c r="N2040">
        <v>0.12496808594827084</v>
      </c>
      <c r="O2040">
        <v>0.12670410577906466</v>
      </c>
      <c r="P2040">
        <v>1.8660960894417208E-2</v>
      </c>
      <c r="Q2040">
        <v>9.2443726972920909E-4</v>
      </c>
      <c r="R2040">
        <v>1.2381648510478348E-3</v>
      </c>
      <c r="S2040">
        <v>0.10264502792968121</v>
      </c>
      <c r="T2040">
        <v>1.0284645759986497</v>
      </c>
      <c r="U2040">
        <v>0</v>
      </c>
      <c r="V2040">
        <v>0.20716081822321328</v>
      </c>
      <c r="W2040">
        <v>8.0667025259954825E-2</v>
      </c>
      <c r="X2040">
        <v>3.0576807776437946E-2</v>
      </c>
      <c r="Y2040">
        <v>3.3698765636187532E-3</v>
      </c>
    </row>
    <row r="2041" spans="1:25" x14ac:dyDescent="0.25">
      <c r="A2041" s="1095"/>
      <c r="B2041" s="1454">
        <v>1791</v>
      </c>
      <c r="C2041" s="1099">
        <v>0.9908483368590425</v>
      </c>
      <c r="D2041" s="1099">
        <v>1.00230206857884</v>
      </c>
      <c r="E2041" s="1099">
        <v>1.0108787816024201</v>
      </c>
      <c r="F2041" s="1099">
        <v>1.0038283027687873</v>
      </c>
      <c r="G2041" s="1099">
        <v>1.0369360478114893</v>
      </c>
      <c r="H2041" s="1099">
        <v>1.0159304757990342</v>
      </c>
      <c r="I2041" s="1099">
        <v>0.99171781310221152</v>
      </c>
      <c r="K2041">
        <v>1.7535983608613552</v>
      </c>
      <c r="L2041">
        <v>0</v>
      </c>
      <c r="M2041">
        <v>1.3761143434238513E-3</v>
      </c>
      <c r="N2041">
        <v>0.13081911515219813</v>
      </c>
      <c r="O2041">
        <v>0.12820276108988773</v>
      </c>
      <c r="P2041">
        <v>1.864162900029253E-2</v>
      </c>
      <c r="Q2041">
        <v>9.16513227554991E-4</v>
      </c>
      <c r="R2041">
        <v>1.3726177254424685E-3</v>
      </c>
      <c r="S2041">
        <v>0.10901159697748201</v>
      </c>
      <c r="T2041">
        <v>1.0346795612131012</v>
      </c>
      <c r="U2041">
        <v>0</v>
      </c>
      <c r="V2041">
        <v>0.21193160782976328</v>
      </c>
      <c r="W2041">
        <v>8.5387758592987389E-2</v>
      </c>
      <c r="X2041">
        <v>3.0275501430726146E-2</v>
      </c>
      <c r="Y2041">
        <v>3.7358129653428137E-3</v>
      </c>
    </row>
    <row r="2042" spans="1:25" x14ac:dyDescent="0.25">
      <c r="A2042" s="1095"/>
      <c r="B2042" s="1454">
        <v>1792</v>
      </c>
      <c r="C2042" s="1099">
        <v>1.012830274288735</v>
      </c>
      <c r="D2042" s="1099">
        <v>1.0080871921854764</v>
      </c>
      <c r="E2042" s="1099">
        <v>0.9774022106777821</v>
      </c>
      <c r="F2042" s="1099">
        <v>0.99150136426339286</v>
      </c>
      <c r="G2042" s="1099">
        <v>0.97975269814713495</v>
      </c>
      <c r="H2042" s="1099">
        <v>1.008961182428695</v>
      </c>
      <c r="I2042" s="1099">
        <v>1.0044173498799271</v>
      </c>
      <c r="K2042">
        <v>1.7179345955855649</v>
      </c>
      <c r="L2042">
        <v>0</v>
      </c>
      <c r="M2042">
        <v>1.4292876784871632E-3</v>
      </c>
      <c r="N2042">
        <v>0.12279618387483983</v>
      </c>
      <c r="O2042">
        <v>0.12574495963394977</v>
      </c>
      <c r="P2042">
        <v>1.79232162481376E-2</v>
      </c>
      <c r="Q2042">
        <v>8.6394919902613089E-4</v>
      </c>
      <c r="R2042">
        <v>1.4256296355432498E-3</v>
      </c>
      <c r="S2042">
        <v>0.10714210838001063</v>
      </c>
      <c r="T2042">
        <v>1.022966275903455</v>
      </c>
      <c r="U2042">
        <v>0</v>
      </c>
      <c r="V2042">
        <v>0.20640930734708185</v>
      </c>
      <c r="W2042">
        <v>8.1769376226005636E-2</v>
      </c>
      <c r="X2042">
        <v>2.844278290673535E-2</v>
      </c>
      <c r="Y2042">
        <v>3.8800939092656734E-3</v>
      </c>
    </row>
    <row r="2043" spans="1:25" x14ac:dyDescent="0.25">
      <c r="A2043" s="1095"/>
      <c r="B2043" s="1454">
        <v>1793</v>
      </c>
      <c r="C2043" s="1099">
        <v>0.98720317448075823</v>
      </c>
      <c r="D2043" s="1099">
        <v>0.96296907168716717</v>
      </c>
      <c r="E2043" s="1099">
        <v>1.0005336828548965</v>
      </c>
      <c r="F2043" s="1099">
        <v>1.0165183125730792</v>
      </c>
      <c r="G2043" s="1099">
        <v>1.0085460363905028</v>
      </c>
      <c r="H2043" s="1099">
        <v>0.9645097121702253</v>
      </c>
      <c r="I2043" s="1099">
        <v>0.98372635711588485</v>
      </c>
      <c r="K2043">
        <v>1.7628970945042644</v>
      </c>
      <c r="L2043">
        <v>0</v>
      </c>
      <c r="M2043">
        <v>1.3727638315822735E-3</v>
      </c>
      <c r="N2043">
        <v>0.1264722085944647</v>
      </c>
      <c r="O2043">
        <v>0.13118494078077</v>
      </c>
      <c r="P2043">
        <v>1.8673771922783116E-2</v>
      </c>
      <c r="Q2043">
        <v>9.2480429440914278E-4</v>
      </c>
      <c r="R2043">
        <v>1.3691202286561931E-3</v>
      </c>
      <c r="S2043">
        <v>0.10762467353802256</v>
      </c>
      <c r="T2043">
        <v>1.04807040474286</v>
      </c>
      <c r="U2043">
        <v>0</v>
      </c>
      <c r="V2043">
        <v>0.21273321758003486</v>
      </c>
      <c r="W2043">
        <v>8.3057299850869848E-2</v>
      </c>
      <c r="X2043">
        <v>3.0433122870935778E-2</v>
      </c>
      <c r="Y2043">
        <v>3.7262939320400782E-3</v>
      </c>
    </row>
    <row r="2044" spans="1:25" x14ac:dyDescent="0.25">
      <c r="A2044" s="1095"/>
      <c r="B2044" s="1454">
        <v>1794</v>
      </c>
      <c r="C2044" s="1099">
        <v>0.99432915668512889</v>
      </c>
      <c r="D2044" s="1099">
        <v>0.9903362753067565</v>
      </c>
      <c r="E2044" s="1099">
        <v>0.98130380969094866</v>
      </c>
      <c r="F2044" s="1099">
        <v>0.99548793067333374</v>
      </c>
      <c r="G2044" s="1099">
        <v>1.0436889036530275</v>
      </c>
      <c r="H2044" s="1099">
        <v>1.0336565726032705</v>
      </c>
      <c r="I2044" s="1099">
        <v>0.98864340401257478</v>
      </c>
      <c r="K2044">
        <v>1.7450287165497627</v>
      </c>
      <c r="L2044">
        <v>0</v>
      </c>
      <c r="M2044">
        <v>1.4933011884453202E-3</v>
      </c>
      <c r="N2044">
        <v>0.12982808460074544</v>
      </c>
      <c r="O2044">
        <v>0.12781730275775974</v>
      </c>
      <c r="P2044">
        <v>1.8144569480852801E-2</v>
      </c>
      <c r="Q2044">
        <v>8.8993269697304348E-4</v>
      </c>
      <c r="R2044">
        <v>1.4895786595142595E-3</v>
      </c>
      <c r="S2044">
        <v>0.11025275112048324</v>
      </c>
      <c r="T2044">
        <v>1.0269615016129261</v>
      </c>
      <c r="U2044">
        <v>0</v>
      </c>
      <c r="V2044">
        <v>0.21180028316951938</v>
      </c>
      <c r="W2044">
        <v>8.6248349822325682E-2</v>
      </c>
      <c r="X2044">
        <v>2.9035521745381293E-2</v>
      </c>
      <c r="Y2044">
        <v>4.0541420717246741E-3</v>
      </c>
    </row>
    <row r="2045" spans="1:25" x14ac:dyDescent="0.25">
      <c r="A2045" s="1095"/>
      <c r="B2045" s="1454">
        <v>1795</v>
      </c>
      <c r="C2045" s="1099">
        <v>1.0264099781923453</v>
      </c>
      <c r="D2045" s="1099">
        <v>0.98368415903739737</v>
      </c>
      <c r="E2045" s="1099">
        <v>0.9976831966815296</v>
      </c>
      <c r="F2045" s="1099">
        <v>1.0018834836915955</v>
      </c>
      <c r="G2045" s="1099">
        <v>0.97277785076397538</v>
      </c>
      <c r="H2045" s="1099">
        <v>1.0063132703722251</v>
      </c>
      <c r="I2045" s="1099">
        <v>1.0160229176654811</v>
      </c>
      <c r="K2045">
        <v>1.7350712233550489</v>
      </c>
      <c r="L2045">
        <v>0</v>
      </c>
      <c r="M2045">
        <v>1.3712157503819294E-3</v>
      </c>
      <c r="N2045">
        <v>0.12525944701840563</v>
      </c>
      <c r="O2045">
        <v>0.12704241785807785</v>
      </c>
      <c r="P2045">
        <v>1.8354917863612544E-2</v>
      </c>
      <c r="Q2045">
        <v>8.7933438770622309E-4</v>
      </c>
      <c r="R2045">
        <v>1.3677204305804819E-3</v>
      </c>
      <c r="S2045">
        <v>0.10857025646016151</v>
      </c>
      <c r="T2045">
        <v>1.0330662915240323</v>
      </c>
      <c r="U2045">
        <v>0</v>
      </c>
      <c r="V2045">
        <v>0.20629160072846703</v>
      </c>
      <c r="W2045">
        <v>8.2400431113559477E-2</v>
      </c>
      <c r="X2045">
        <v>2.9487537577704372E-2</v>
      </c>
      <c r="Y2045">
        <v>3.7224841431213046E-3</v>
      </c>
    </row>
    <row r="2046" spans="1:25" x14ac:dyDescent="0.25">
      <c r="A2046" s="1095"/>
      <c r="B2046" s="1454">
        <v>1796</v>
      </c>
      <c r="C2046" s="1099">
        <v>1.0089135182948117</v>
      </c>
      <c r="D2046" s="1099">
        <v>0.98188420893501438</v>
      </c>
      <c r="E2046" s="1099">
        <v>0.98440834764442042</v>
      </c>
      <c r="F2046" s="1099">
        <v>1.009953480521989</v>
      </c>
      <c r="G2046" s="1099">
        <v>1.012232494621415</v>
      </c>
      <c r="H2046" s="1099">
        <v>0.9961974677674803</v>
      </c>
      <c r="I2046" s="1099">
        <v>1.0195264585757213</v>
      </c>
      <c r="K2046">
        <v>1.750240877254841</v>
      </c>
      <c r="L2046">
        <v>0</v>
      </c>
      <c r="M2046">
        <v>1.4199606891953547E-3</v>
      </c>
      <c r="N2046">
        <v>0.12460628717563059</v>
      </c>
      <c r="O2046">
        <v>0.12857038089982156</v>
      </c>
      <c r="P2046">
        <v>1.8362625408392501E-2</v>
      </c>
      <c r="Q2046">
        <v>8.8294392983686643E-4</v>
      </c>
      <c r="R2046">
        <v>1.416302938939563E-3</v>
      </c>
      <c r="S2046">
        <v>0.11015991075190505</v>
      </c>
      <c r="T2046">
        <v>1.0417895869151588</v>
      </c>
      <c r="U2046">
        <v>0</v>
      </c>
      <c r="V2046">
        <v>0.21007264943733059</v>
      </c>
      <c r="W2046">
        <v>8.2624684747832772E-2</v>
      </c>
      <c r="X2046">
        <v>2.9320756023530747E-2</v>
      </c>
      <c r="Y2046">
        <v>3.8547097156551476E-3</v>
      </c>
    </row>
    <row r="2047" spans="1:25" x14ac:dyDescent="0.25">
      <c r="A2047" s="1095"/>
      <c r="B2047" s="1454">
        <v>1797</v>
      </c>
      <c r="C2047" s="1099">
        <v>0.99911595583950519</v>
      </c>
      <c r="D2047" s="1099">
        <v>0.99086800645303996</v>
      </c>
      <c r="E2047" s="1099">
        <v>1.0240747350709158</v>
      </c>
      <c r="F2047" s="1099">
        <v>1.0327536904739438</v>
      </c>
      <c r="G2047" s="1099">
        <v>1.0340748724320794</v>
      </c>
      <c r="H2047" s="1099">
        <v>1.0026916699829296</v>
      </c>
      <c r="I2047" s="1099">
        <v>1.0135294560413932</v>
      </c>
      <c r="K2047">
        <v>1.7890539398128205</v>
      </c>
      <c r="L2047">
        <v>0</v>
      </c>
      <c r="M2047">
        <v>1.3235207706838294E-3</v>
      </c>
      <c r="N2047">
        <v>0.13092752504589794</v>
      </c>
      <c r="O2047">
        <v>0.13054523767627524</v>
      </c>
      <c r="P2047">
        <v>1.9267911925429697E-2</v>
      </c>
      <c r="Q2047">
        <v>9.2557175390247347E-4</v>
      </c>
      <c r="R2047">
        <v>1.3201314471041321E-3</v>
      </c>
      <c r="S2047">
        <v>0.11057851506620715</v>
      </c>
      <c r="T2047">
        <v>1.0640958748771263</v>
      </c>
      <c r="U2047">
        <v>0</v>
      </c>
      <c r="V2047">
        <v>0.21298063936185349</v>
      </c>
      <c r="W2047">
        <v>8.4799987303525337E-2</v>
      </c>
      <c r="X2047">
        <v>3.1343103508379475E-2</v>
      </c>
      <c r="Y2047">
        <v>3.5929626178028665E-3</v>
      </c>
    </row>
    <row r="2048" spans="1:25" x14ac:dyDescent="0.25">
      <c r="A2048" s="1095"/>
      <c r="B2048" s="1454">
        <v>1798</v>
      </c>
      <c r="C2048" s="1099">
        <v>1.0090886170112556</v>
      </c>
      <c r="D2048" s="1099">
        <v>0.98081757173471484</v>
      </c>
      <c r="E2048" s="1099">
        <v>1.012830125135042</v>
      </c>
      <c r="F2048" s="1099">
        <v>1.0004377957276742</v>
      </c>
      <c r="G2048" s="1099">
        <v>0.96329070289395147</v>
      </c>
      <c r="H2048" s="1099">
        <v>0.99783775204941039</v>
      </c>
      <c r="I2048" s="1099">
        <v>1.0241352117662912</v>
      </c>
      <c r="K2048">
        <v>1.7423868639617761</v>
      </c>
      <c r="L2048">
        <v>0</v>
      </c>
      <c r="M2048">
        <v>1.3404239405418858E-3</v>
      </c>
      <c r="N2048">
        <v>0.12817487537504096</v>
      </c>
      <c r="O2048">
        <v>0.12800367576647895</v>
      </c>
      <c r="P2048">
        <v>1.8580852241687582E-2</v>
      </c>
      <c r="Q2048">
        <v>9.0960721359060136E-4</v>
      </c>
      <c r="R2048">
        <v>1.3369746551976783E-3</v>
      </c>
      <c r="S2048">
        <v>0.11082340622883606</v>
      </c>
      <c r="T2048">
        <v>1.0311275063068877</v>
      </c>
      <c r="U2048">
        <v>0</v>
      </c>
      <c r="V2048">
        <v>0.20730789552465273</v>
      </c>
      <c r="W2048">
        <v>8.3565749746109155E-2</v>
      </c>
      <c r="X2048">
        <v>3.0257940565966493E-2</v>
      </c>
      <c r="Y2048">
        <v>3.6388042778714436E-3</v>
      </c>
    </row>
    <row r="2049" spans="1:25" x14ac:dyDescent="0.25">
      <c r="A2049" s="1095"/>
      <c r="B2049" s="1454">
        <v>1799</v>
      </c>
      <c r="C2049" s="1099">
        <v>0.98846763713233665</v>
      </c>
      <c r="D2049" s="1099">
        <v>1.018919625917587</v>
      </c>
      <c r="E2049" s="1099">
        <v>1.0368667675659782</v>
      </c>
      <c r="F2049" s="1099">
        <v>0.99160749939287318</v>
      </c>
      <c r="G2049" s="1099">
        <v>0.97849138997769503</v>
      </c>
      <c r="H2049" s="1099">
        <v>1.0195811581516989</v>
      </c>
      <c r="I2049" s="1099">
        <v>1.0134417421379687</v>
      </c>
      <c r="K2049">
        <v>1.7404053786555453</v>
      </c>
      <c r="L2049">
        <v>0</v>
      </c>
      <c r="M2049">
        <v>1.2972178610042007E-3</v>
      </c>
      <c r="N2049">
        <v>0.13337297691059954</v>
      </c>
      <c r="O2049">
        <v>0.12674572354561892</v>
      </c>
      <c r="P2049">
        <v>1.8784632475403285E-2</v>
      </c>
      <c r="Q2049">
        <v>9.3730625371005465E-4</v>
      </c>
      <c r="R2049">
        <v>1.2939191856859095E-3</v>
      </c>
      <c r="S2049">
        <v>0.11075487018934833</v>
      </c>
      <c r="T2049">
        <v>1.0213353430562671</v>
      </c>
      <c r="U2049">
        <v>0</v>
      </c>
      <c r="V2049">
        <v>0.2082489988867062</v>
      </c>
      <c r="W2049">
        <v>8.5745040473881026E-2</v>
      </c>
      <c r="X2049">
        <v>3.0962164056235243E-2</v>
      </c>
      <c r="Y2049">
        <v>3.5216214830921201E-3</v>
      </c>
    </row>
    <row r="2050" spans="1:25" x14ac:dyDescent="0.25">
      <c r="A2050" s="1095"/>
      <c r="B2050" s="1454">
        <v>1800</v>
      </c>
      <c r="C2050" s="1099">
        <v>0.9933154657134563</v>
      </c>
      <c r="D2050" s="1099">
        <v>1.016954267606857</v>
      </c>
      <c r="E2050" s="1099">
        <v>1.0057769512004779</v>
      </c>
      <c r="F2050" s="1099">
        <v>0.95821865343583557</v>
      </c>
      <c r="G2050" s="1099">
        <v>1.0317063760542735</v>
      </c>
      <c r="H2050" s="1099">
        <v>1.0075877128350919</v>
      </c>
      <c r="I2050" s="1099">
        <v>0.97332844176086297</v>
      </c>
      <c r="K2050">
        <v>1.6872508719461965</v>
      </c>
      <c r="L2050">
        <v>0</v>
      </c>
      <c r="M2050">
        <v>1.359006656160869E-3</v>
      </c>
      <c r="N2050">
        <v>0.1272130756145366</v>
      </c>
      <c r="O2050">
        <v>0.123911046650517</v>
      </c>
      <c r="P2050">
        <v>1.7828269546790662E-2</v>
      </c>
      <c r="Q2050">
        <v>9.0417088535220652E-4</v>
      </c>
      <c r="R2050">
        <v>1.3555019711021569E-3</v>
      </c>
      <c r="S2050">
        <v>0.10493746376535269</v>
      </c>
      <c r="T2050">
        <v>0.98781227821850226</v>
      </c>
      <c r="U2050">
        <v>0</v>
      </c>
      <c r="V2050">
        <v>0.20862906353767902</v>
      </c>
      <c r="W2050">
        <v>8.3284546690948133E-2</v>
      </c>
      <c r="X2050">
        <v>2.9045232197339108E-2</v>
      </c>
      <c r="Y2050">
        <v>3.6892295242353891E-3</v>
      </c>
    </row>
    <row r="2051" spans="1:25" x14ac:dyDescent="0.25">
      <c r="A2051" s="1095"/>
      <c r="B2051" s="1454">
        <v>1801</v>
      </c>
      <c r="C2051" s="1099">
        <v>0.99278459600709013</v>
      </c>
      <c r="D2051" s="1099">
        <v>0.98490209599508771</v>
      </c>
      <c r="E2051" s="1099">
        <v>0.98957640278827108</v>
      </c>
      <c r="F2051" s="1099">
        <v>0.98682153707807552</v>
      </c>
      <c r="G2051" s="1099">
        <v>1.0357822468894153</v>
      </c>
      <c r="H2051" s="1099">
        <v>1.0040271060314159</v>
      </c>
      <c r="I2051" s="1099">
        <v>0.97462912594231843</v>
      </c>
      <c r="K2051">
        <v>1.7277286008711428</v>
      </c>
      <c r="L2051">
        <v>0</v>
      </c>
      <c r="M2051">
        <v>1.4314021537363377E-3</v>
      </c>
      <c r="N2051">
        <v>0.12759012706790721</v>
      </c>
      <c r="O2051">
        <v>0.12751227049729935</v>
      </c>
      <c r="P2051">
        <v>1.8084738740260564E-2</v>
      </c>
      <c r="Q2051">
        <v>9.0103611545745287E-4</v>
      </c>
      <c r="R2051">
        <v>1.4277290463066562E-3</v>
      </c>
      <c r="S2051">
        <v>0.10713123782795377</v>
      </c>
      <c r="T2051">
        <v>1.0177748864910856</v>
      </c>
      <c r="U2051">
        <v>0</v>
      </c>
      <c r="V2051">
        <v>0.21127966558083214</v>
      </c>
      <c r="W2051">
        <v>8.4341079987951137E-2</v>
      </c>
      <c r="X2051">
        <v>2.9231423856532837E-2</v>
      </c>
      <c r="Y2051">
        <v>3.8858078132930928E-3</v>
      </c>
    </row>
    <row r="2052" spans="1:25" x14ac:dyDescent="0.25">
      <c r="A2052" s="1095"/>
      <c r="B2052" s="1454">
        <v>1802</v>
      </c>
      <c r="C2052" s="1099">
        <v>0.97434968022059787</v>
      </c>
      <c r="D2052" s="1099">
        <v>1.0073093657938887</v>
      </c>
      <c r="E2052" s="1099">
        <v>0.97571402040123678</v>
      </c>
      <c r="F2052" s="1099">
        <v>0.99148808710955971</v>
      </c>
      <c r="G2052" s="1099">
        <v>0.99028366975820292</v>
      </c>
      <c r="H2052" s="1099">
        <v>1.0185052402132053</v>
      </c>
      <c r="I2052" s="1099">
        <v>0.98657493477664249</v>
      </c>
      <c r="K2052">
        <v>1.736395295824817</v>
      </c>
      <c r="L2052">
        <v>0</v>
      </c>
      <c r="M2052">
        <v>1.5008471940012296E-3</v>
      </c>
      <c r="N2052">
        <v>0.12828912146380414</v>
      </c>
      <c r="O2052">
        <v>0.12775679184653135</v>
      </c>
      <c r="P2052">
        <v>1.7988342893067843E-2</v>
      </c>
      <c r="Q2052">
        <v>8.9675619169660517E-4</v>
      </c>
      <c r="R2052">
        <v>1.497030213656403E-3</v>
      </c>
      <c r="S2052">
        <v>0.10988461694500572</v>
      </c>
      <c r="T2052">
        <v>1.0230035065578615</v>
      </c>
      <c r="U2052">
        <v>0</v>
      </c>
      <c r="V2052">
        <v>0.21020953569491696</v>
      </c>
      <c r="W2052">
        <v>8.5514460749837651E-2</v>
      </c>
      <c r="X2052">
        <v>2.8781557716744288E-2</v>
      </c>
      <c r="Y2052">
        <v>4.0744227456954267E-3</v>
      </c>
    </row>
    <row r="2053" spans="1:25" x14ac:dyDescent="0.25">
      <c r="A2053" s="1095"/>
      <c r="B2053" s="1454">
        <v>1803</v>
      </c>
      <c r="C2053" s="1099">
        <v>1.0266384643549529</v>
      </c>
      <c r="D2053" s="1099">
        <v>0.97138468040495851</v>
      </c>
      <c r="E2053" s="1099">
        <v>0.96390543070343992</v>
      </c>
      <c r="F2053" s="1099">
        <v>1.001010354297551</v>
      </c>
      <c r="G2053" s="1099">
        <v>0.96073959099779072</v>
      </c>
      <c r="H2053" s="1099">
        <v>1.0278629386304476</v>
      </c>
      <c r="I2053" s="1099">
        <v>1.0026697830860967</v>
      </c>
      <c r="K2053">
        <v>1.7355698251128522</v>
      </c>
      <c r="L2053">
        <v>0</v>
      </c>
      <c r="M2053">
        <v>1.5126841963217345E-3</v>
      </c>
      <c r="N2053">
        <v>0.12476605049836707</v>
      </c>
      <c r="O2053">
        <v>0.12740008302728301</v>
      </c>
      <c r="P2053">
        <v>1.7897970501154176E-2</v>
      </c>
      <c r="Q2053">
        <v>8.5285776829740914E-4</v>
      </c>
      <c r="R2053">
        <v>1.5089179133249116E-3</v>
      </c>
      <c r="S2053">
        <v>0.10939254990978066</v>
      </c>
      <c r="T2053">
        <v>1.0331905021170265</v>
      </c>
      <c r="U2053">
        <v>0</v>
      </c>
      <c r="V2053">
        <v>0.20592402991764192</v>
      </c>
      <c r="W2053">
        <v>8.3766035576484932E-2</v>
      </c>
      <c r="X2053">
        <v>2.8276734934397571E-2</v>
      </c>
      <c r="Y2053">
        <v>4.1067771454139645E-3</v>
      </c>
    </row>
    <row r="2054" spans="1:25" x14ac:dyDescent="0.25">
      <c r="A2054" s="1095"/>
      <c r="B2054" s="1454">
        <v>1804</v>
      </c>
      <c r="C2054" s="1099">
        <v>1.0189423668757518</v>
      </c>
      <c r="D2054" s="1099">
        <v>0.97084177950975425</v>
      </c>
      <c r="E2054" s="1099">
        <v>0.99859184305601434</v>
      </c>
      <c r="F2054" s="1099">
        <v>0.9753599962570052</v>
      </c>
      <c r="G2054" s="1099">
        <v>1.0176656289749977</v>
      </c>
      <c r="H2054" s="1099">
        <v>1.0124394234992513</v>
      </c>
      <c r="I2054" s="1099">
        <v>0.98146841507260585</v>
      </c>
      <c r="K2054">
        <v>1.7099694253590103</v>
      </c>
      <c r="L2054">
        <v>0</v>
      </c>
      <c r="M2054">
        <v>1.3936740928604586E-3</v>
      </c>
      <c r="N2054">
        <v>0.1276628353493218</v>
      </c>
      <c r="O2054">
        <v>0.1259899307835084</v>
      </c>
      <c r="P2054">
        <v>1.7993502573833756E-2</v>
      </c>
      <c r="Q2054">
        <v>8.9128734584852467E-4</v>
      </c>
      <c r="R2054">
        <v>1.3901412629853246E-3</v>
      </c>
      <c r="S2054">
        <v>0.10672306657958354</v>
      </c>
      <c r="T2054">
        <v>1.005690887290061</v>
      </c>
      <c r="U2054">
        <v>0</v>
      </c>
      <c r="V2054">
        <v>0.20807270011800383</v>
      </c>
      <c r="W2054">
        <v>8.3936062786591201E-2</v>
      </c>
      <c r="X2054">
        <v>2.9229179104229727E-2</v>
      </c>
      <c r="Y2054">
        <v>3.7835062579018694E-3</v>
      </c>
    </row>
    <row r="2055" spans="1:25" x14ac:dyDescent="0.25">
      <c r="A2055" s="1095"/>
      <c r="B2055" s="1454">
        <v>1805</v>
      </c>
      <c r="C2055" s="1099">
        <v>0.97899516886941673</v>
      </c>
      <c r="D2055" s="1099">
        <v>1.0355424480807103</v>
      </c>
      <c r="E2055" s="1099">
        <v>1.0023939841553378</v>
      </c>
      <c r="F2055" s="1099">
        <v>0.99067008924682498</v>
      </c>
      <c r="G2055" s="1099">
        <v>1.0241755690611396</v>
      </c>
      <c r="H2055" s="1099">
        <v>0.98866757924923487</v>
      </c>
      <c r="I2055" s="1099">
        <v>0.99428102226083592</v>
      </c>
      <c r="K2055">
        <v>1.7242167793127299</v>
      </c>
      <c r="L2055">
        <v>0</v>
      </c>
      <c r="M2055">
        <v>1.3504118686007789E-3</v>
      </c>
      <c r="N2055">
        <v>0.1251167758903512</v>
      </c>
      <c r="O2055">
        <v>0.12629629163376535</v>
      </c>
      <c r="P2055">
        <v>1.8288983061616595E-2</v>
      </c>
      <c r="Q2055">
        <v>9.0759188994279753E-4</v>
      </c>
      <c r="R2055">
        <v>1.3468567134473153E-3</v>
      </c>
      <c r="S2055">
        <v>0.10635786519094928</v>
      </c>
      <c r="T2055">
        <v>1.0213651639172701</v>
      </c>
      <c r="U2055">
        <v>0</v>
      </c>
      <c r="V2055">
        <v>0.21064954358285931</v>
      </c>
      <c r="W2055">
        <v>8.2076460998160419E-2</v>
      </c>
      <c r="X2055">
        <v>2.9495958320161351E-2</v>
      </c>
      <c r="Y2055">
        <v>3.6656999828073287E-3</v>
      </c>
    </row>
    <row r="2056" spans="1:25" x14ac:dyDescent="0.25">
      <c r="A2056" s="1095"/>
      <c r="B2056" s="1454">
        <v>1806</v>
      </c>
      <c r="C2056" s="1099">
        <v>0.95608847628617355</v>
      </c>
      <c r="D2056" s="1099">
        <v>1.0078510223904056</v>
      </c>
      <c r="E2056" s="1099">
        <v>0.98530561614948053</v>
      </c>
      <c r="F2056" s="1099">
        <v>1.0334575270654405</v>
      </c>
      <c r="G2056" s="1099">
        <v>0.99320700898745173</v>
      </c>
      <c r="H2056" s="1099">
        <v>1.0088838727113028</v>
      </c>
      <c r="I2056" s="1099">
        <v>0.98882557860350118</v>
      </c>
      <c r="K2056">
        <v>1.7954111592840678</v>
      </c>
      <c r="L2056">
        <v>0</v>
      </c>
      <c r="M2056">
        <v>1.4878788822167842E-3</v>
      </c>
      <c r="N2056">
        <v>0.13092292267086333</v>
      </c>
      <c r="O2056">
        <v>0.13197197258844584</v>
      </c>
      <c r="P2056">
        <v>1.8778066560690258E-2</v>
      </c>
      <c r="Q2056">
        <v>9.2291532354712275E-4</v>
      </c>
      <c r="R2056">
        <v>1.4840662133713163E-3</v>
      </c>
      <c r="S2056">
        <v>0.1116771198180307</v>
      </c>
      <c r="T2056">
        <v>1.0660065519719806</v>
      </c>
      <c r="U2056">
        <v>0</v>
      </c>
      <c r="V2056">
        <v>0.21420911460686126</v>
      </c>
      <c r="W2056">
        <v>8.6766315956933376E-2</v>
      </c>
      <c r="X2056">
        <v>3.0120853445059097E-2</v>
      </c>
      <c r="Y2056">
        <v>4.039139010500967E-3</v>
      </c>
    </row>
    <row r="2057" spans="1:25" x14ac:dyDescent="0.25">
      <c r="A2057" s="1095"/>
      <c r="B2057" s="1454">
        <v>1807</v>
      </c>
      <c r="C2057" s="1099">
        <v>1.0132044867383727</v>
      </c>
      <c r="D2057" s="1099">
        <v>1.014326868057277</v>
      </c>
      <c r="E2057" s="1099">
        <v>0.96415338869091927</v>
      </c>
      <c r="F2057" s="1099">
        <v>1.0097721098602432</v>
      </c>
      <c r="G2057" s="1099">
        <v>0.98620614928430639</v>
      </c>
      <c r="H2057" s="1099">
        <v>1.0217100306336553</v>
      </c>
      <c r="I2057" s="1099">
        <v>1.0145917702659788</v>
      </c>
      <c r="K2057">
        <v>1.7409757416131437</v>
      </c>
      <c r="L2057">
        <v>0</v>
      </c>
      <c r="M2057">
        <v>1.4838669973445745E-3</v>
      </c>
      <c r="N2057">
        <v>0.12247668052336913</v>
      </c>
      <c r="O2057">
        <v>0.12676416612782973</v>
      </c>
      <c r="P2057">
        <v>1.8032585240581392E-2</v>
      </c>
      <c r="Q2057">
        <v>8.4956416663133538E-4</v>
      </c>
      <c r="R2057">
        <v>1.4801181599305596E-3</v>
      </c>
      <c r="S2057">
        <v>0.10874848919942688</v>
      </c>
      <c r="T2057">
        <v>1.0422262152468349</v>
      </c>
      <c r="U2057">
        <v>0</v>
      </c>
      <c r="V2057">
        <v>0.20741616704188953</v>
      </c>
      <c r="W2057">
        <v>8.2216519569638782E-2</v>
      </c>
      <c r="X2057">
        <v>2.8220709623844088E-2</v>
      </c>
      <c r="Y2057">
        <v>4.0283937105106945E-3</v>
      </c>
    </row>
    <row r="2058" spans="1:25" x14ac:dyDescent="0.25">
      <c r="A2058" s="1095"/>
      <c r="B2058" s="1454">
        <v>1808</v>
      </c>
      <c r="C2058" s="1099">
        <v>0.98485001570090425</v>
      </c>
      <c r="D2058" s="1099">
        <v>0.99385236693771162</v>
      </c>
      <c r="E2058" s="1099">
        <v>0.98580704812212305</v>
      </c>
      <c r="F2058" s="1099">
        <v>1.0255697766345375</v>
      </c>
      <c r="G2058" s="1099">
        <v>1.010790809625093</v>
      </c>
      <c r="H2058" s="1099">
        <v>0.95252835422317894</v>
      </c>
      <c r="I2058" s="1099">
        <v>0.98541102324853991</v>
      </c>
      <c r="K2058">
        <v>1.7605001327717422</v>
      </c>
      <c r="L2058">
        <v>0</v>
      </c>
      <c r="M2058">
        <v>1.3760610182192048E-3</v>
      </c>
      <c r="N2058">
        <v>0.12125052973163478</v>
      </c>
      <c r="O2058">
        <v>0.13045906331777077</v>
      </c>
      <c r="P2058">
        <v>1.856402190282495E-2</v>
      </c>
      <c r="Q2058">
        <v>9.0146145494910128E-4</v>
      </c>
      <c r="R2058">
        <v>1.3723427889866819E-3</v>
      </c>
      <c r="S2058">
        <v>0.10514972798548354</v>
      </c>
      <c r="T2058">
        <v>1.0578548660177542</v>
      </c>
      <c r="U2058">
        <v>0</v>
      </c>
      <c r="V2058">
        <v>0.2125039027074877</v>
      </c>
      <c r="W2058">
        <v>8.0331928736325109E-2</v>
      </c>
      <c r="X2058">
        <v>2.9753284467802153E-2</v>
      </c>
      <c r="Y2058">
        <v>3.735064678942942E-3</v>
      </c>
    </row>
    <row r="2059" spans="1:25" x14ac:dyDescent="0.25">
      <c r="A2059" s="1095"/>
      <c r="B2059" s="1454">
        <v>1809</v>
      </c>
      <c r="C2059" s="1099">
        <v>0.9928213619068188</v>
      </c>
      <c r="D2059" s="1099">
        <v>1.0247671675065382</v>
      </c>
      <c r="E2059" s="1099">
        <v>1.0183430025343188</v>
      </c>
      <c r="F2059" s="1099">
        <v>1.0211839928863646</v>
      </c>
      <c r="G2059" s="1099">
        <v>1.029598466242108</v>
      </c>
      <c r="H2059" s="1099">
        <v>1.00797412182475</v>
      </c>
      <c r="I2059" s="1099">
        <v>0.9855084293617079</v>
      </c>
      <c r="K2059">
        <v>1.7655204905231348</v>
      </c>
      <c r="L2059">
        <v>0</v>
      </c>
      <c r="M2059">
        <v>1.3263783020658324E-3</v>
      </c>
      <c r="N2059">
        <v>0.12896022143851107</v>
      </c>
      <c r="O2059">
        <v>0.12841729876603608</v>
      </c>
      <c r="P2059">
        <v>1.8946343846914137E-2</v>
      </c>
      <c r="Q2059">
        <v>9.1360643888620913E-4</v>
      </c>
      <c r="R2059">
        <v>1.3229726968004717E-3</v>
      </c>
      <c r="S2059">
        <v>0.10622430070801804</v>
      </c>
      <c r="T2059">
        <v>1.0523453721493814</v>
      </c>
      <c r="U2059">
        <v>0</v>
      </c>
      <c r="V2059">
        <v>0.21166429551071023</v>
      </c>
      <c r="W2059">
        <v>8.3806087540346491E-2</v>
      </c>
      <c r="X2059">
        <v>3.064567416673562E-2</v>
      </c>
      <c r="Y2059">
        <v>3.6006955628585923E-3</v>
      </c>
    </row>
    <row r="2060" spans="1:25" x14ac:dyDescent="0.25">
      <c r="A2060" s="1095"/>
      <c r="B2060" s="1454">
        <v>1810</v>
      </c>
      <c r="C2060" s="1099">
        <v>1.0173921966267463</v>
      </c>
      <c r="D2060" s="1099">
        <v>1.0111904813248582</v>
      </c>
      <c r="E2060" s="1099">
        <v>0.9639641661682623</v>
      </c>
      <c r="F2060" s="1099">
        <v>1.0013876715639953</v>
      </c>
      <c r="G2060" s="1099">
        <v>0.98574957699332766</v>
      </c>
      <c r="H2060" s="1099">
        <v>0.99772927088578689</v>
      </c>
      <c r="I2060" s="1099">
        <v>0.98500474297648688</v>
      </c>
      <c r="K2060">
        <v>1.7200112296739936</v>
      </c>
      <c r="L2060">
        <v>0</v>
      </c>
      <c r="M2060">
        <v>1.4457510510173701E-3</v>
      </c>
      <c r="N2060">
        <v>0.11925506289362871</v>
      </c>
      <c r="O2060">
        <v>0.12606690218618702</v>
      </c>
      <c r="P2060">
        <v>1.7838838182331434E-2</v>
      </c>
      <c r="Q2060">
        <v>8.4694656850273578E-4</v>
      </c>
      <c r="R2060">
        <v>1.4420115575365091E-3</v>
      </c>
      <c r="S2060">
        <v>0.10370558036947267</v>
      </c>
      <c r="T2060">
        <v>1.0335781373593247</v>
      </c>
      <c r="U2060">
        <v>0</v>
      </c>
      <c r="V2060">
        <v>0.20670976278411665</v>
      </c>
      <c r="W2060">
        <v>8.0063166006878406E-2</v>
      </c>
      <c r="X2060">
        <v>2.8025892716399485E-2</v>
      </c>
      <c r="Y2060">
        <v>3.9246801006321917E-3</v>
      </c>
    </row>
    <row r="2061" spans="1:25" x14ac:dyDescent="0.25">
      <c r="A2061" s="1095"/>
      <c r="B2061" s="1454">
        <v>1811</v>
      </c>
      <c r="C2061" s="1099">
        <v>0.99769000576615319</v>
      </c>
      <c r="D2061" s="1099">
        <v>0.99543126483993416</v>
      </c>
      <c r="E2061" s="1099">
        <v>1.0051507515601266</v>
      </c>
      <c r="F2061" s="1099">
        <v>0.99138496747209459</v>
      </c>
      <c r="G2061" s="1099">
        <v>1.0020901262119695</v>
      </c>
      <c r="H2061" s="1099">
        <v>1.0048026378783659</v>
      </c>
      <c r="I2061" s="1099">
        <v>1.0042722180351666</v>
      </c>
      <c r="K2061">
        <v>1.7327019813320332</v>
      </c>
      <c r="L2061">
        <v>0</v>
      </c>
      <c r="M2061">
        <v>1.3727171473053778E-3</v>
      </c>
      <c r="N2061">
        <v>0.12825521960669148</v>
      </c>
      <c r="O2061">
        <v>0.12718694612849343</v>
      </c>
      <c r="P2061">
        <v>1.8355499678371953E-2</v>
      </c>
      <c r="Q2061">
        <v>9.0735452052674137E-4</v>
      </c>
      <c r="R2061">
        <v>1.3691932663710826E-3</v>
      </c>
      <c r="S2061">
        <v>0.10926954906255978</v>
      </c>
      <c r="T2061">
        <v>1.0220212544551914</v>
      </c>
      <c r="U2061">
        <v>0</v>
      </c>
      <c r="V2061">
        <v>0.20919860654772429</v>
      </c>
      <c r="W2061">
        <v>8.3997945170361188E-2</v>
      </c>
      <c r="X2061">
        <v>2.9786637326425759E-2</v>
      </c>
      <c r="Y2061">
        <v>3.7264927166231307E-3</v>
      </c>
    </row>
    <row r="2062" spans="1:25" x14ac:dyDescent="0.25">
      <c r="A2062" s="1095"/>
      <c r="B2062" s="1454">
        <v>1812</v>
      </c>
      <c r="C2062" s="1099">
        <v>1.0218732214009192</v>
      </c>
      <c r="D2062" s="1099">
        <v>1.0107750970054694</v>
      </c>
      <c r="E2062" s="1099">
        <v>1.0067255488564721</v>
      </c>
      <c r="F2062" s="1099">
        <v>1.0146137077335879</v>
      </c>
      <c r="G2062" s="1099">
        <v>1.0007710844337601</v>
      </c>
      <c r="H2062" s="1099">
        <v>1.030907790512515</v>
      </c>
      <c r="I2062" s="1099">
        <v>1.0150609747306625</v>
      </c>
      <c r="K2062">
        <v>1.754686316975647</v>
      </c>
      <c r="L2062">
        <v>0</v>
      </c>
      <c r="M2062">
        <v>1.3636240390395374E-3</v>
      </c>
      <c r="N2062">
        <v>0.12802166293217257</v>
      </c>
      <c r="O2062">
        <v>0.12701924819131633</v>
      </c>
      <c r="P2062">
        <v>1.8681466414202836E-2</v>
      </c>
      <c r="Q2062">
        <v>8.8191182847208323E-4</v>
      </c>
      <c r="R2062">
        <v>1.3602157018553082E-3</v>
      </c>
      <c r="S2062">
        <v>0.10889712859661675</v>
      </c>
      <c r="T2062">
        <v>1.0459206052648831</v>
      </c>
      <c r="U2062">
        <v>0</v>
      </c>
      <c r="V2062">
        <v>0.20788749652268124</v>
      </c>
      <c r="W2062">
        <v>8.376690887612856E-2</v>
      </c>
      <c r="X2062">
        <v>2.9911237940892225E-2</v>
      </c>
      <c r="Y2062">
        <v>3.7020587454645402E-3</v>
      </c>
    </row>
    <row r="2063" spans="1:25" x14ac:dyDescent="0.25">
      <c r="A2063" s="1095"/>
      <c r="B2063" s="1454">
        <v>1813</v>
      </c>
      <c r="C2063" s="1099">
        <v>0.98289941659856239</v>
      </c>
      <c r="D2063" s="1099">
        <v>1.0267862860952108</v>
      </c>
      <c r="E2063" s="1099">
        <v>0.97447414055222858</v>
      </c>
      <c r="F2063" s="1099">
        <v>0.99683671624009562</v>
      </c>
      <c r="G2063" s="1099">
        <v>1.0177449120001754</v>
      </c>
      <c r="H2063" s="1099">
        <v>1.0176650169576493</v>
      </c>
      <c r="I2063" s="1099">
        <v>1.0011845959194743</v>
      </c>
      <c r="K2063">
        <v>1.7361398425119432</v>
      </c>
      <c r="L2063">
        <v>0</v>
      </c>
      <c r="M2063">
        <v>1.4754952375042945E-3</v>
      </c>
      <c r="N2063">
        <v>0.12564863965701706</v>
      </c>
      <c r="O2063">
        <v>0.12683615900965986</v>
      </c>
      <c r="P2063">
        <v>1.8041259097596778E-2</v>
      </c>
      <c r="Q2063">
        <v>8.8102352392274014E-4</v>
      </c>
      <c r="R2063">
        <v>1.4717307020664925E-3</v>
      </c>
      <c r="S2063">
        <v>0.10926996996382601</v>
      </c>
      <c r="T2063">
        <v>1.0285598076653113</v>
      </c>
      <c r="U2063">
        <v>0</v>
      </c>
      <c r="V2063">
        <v>0.21049483463672017</v>
      </c>
      <c r="W2063">
        <v>8.3817351064719603E-2</v>
      </c>
      <c r="X2063">
        <v>2.8588996613476005E-2</v>
      </c>
      <c r="Y2063">
        <v>4.0055658151294431E-3</v>
      </c>
    </row>
    <row r="2064" spans="1:25" x14ac:dyDescent="0.25">
      <c r="A2064" s="1095"/>
      <c r="B2064" s="1454">
        <v>1814</v>
      </c>
      <c r="C2064" s="1099">
        <v>1.0286361963013357</v>
      </c>
      <c r="D2064" s="1099">
        <v>1.0311733379104884</v>
      </c>
      <c r="E2064" s="1099">
        <v>1.0274138005129501</v>
      </c>
      <c r="F2064" s="1099">
        <v>1.0058941128569789</v>
      </c>
      <c r="G2064" s="1099">
        <v>1.0087393405880272</v>
      </c>
      <c r="H2064" s="1099">
        <v>0.96512531160706982</v>
      </c>
      <c r="I2064" s="1099">
        <v>1.0269118937000246</v>
      </c>
      <c r="K2064">
        <v>1.7224049223313211</v>
      </c>
      <c r="L2064">
        <v>0</v>
      </c>
      <c r="M2064">
        <v>1.2002710493377873E-3</v>
      </c>
      <c r="N2064">
        <v>0.11992238683552396</v>
      </c>
      <c r="O2064">
        <v>0.12520765726429101</v>
      </c>
      <c r="P2064">
        <v>1.8744415149809946E-2</v>
      </c>
      <c r="Q2064">
        <v>8.878118517791462E-4</v>
      </c>
      <c r="R2064">
        <v>1.1970535317741117E-3</v>
      </c>
      <c r="S2064">
        <v>0.10359947952655821</v>
      </c>
      <c r="T2064">
        <v>1.0363238760880273</v>
      </c>
      <c r="U2064">
        <v>0</v>
      </c>
      <c r="V2064">
        <v>0.20674963205109179</v>
      </c>
      <c r="W2064">
        <v>7.7521203393600552E-2</v>
      </c>
      <c r="X2064">
        <v>3.0193692583304624E-2</v>
      </c>
      <c r="Y2064">
        <v>3.257985104898436E-3</v>
      </c>
    </row>
    <row r="2065" spans="1:25" x14ac:dyDescent="0.25">
      <c r="A2065" s="1095"/>
      <c r="B2065" s="1454">
        <v>1815</v>
      </c>
      <c r="C2065" s="1099">
        <v>0.99002790247772965</v>
      </c>
      <c r="D2065" s="1099">
        <v>1.0114394490808243</v>
      </c>
      <c r="E2065" s="1099">
        <v>0.98772811932225923</v>
      </c>
      <c r="F2065" s="1099">
        <v>1.0113632617142401</v>
      </c>
      <c r="G2065" s="1099">
        <v>0.98857791506640258</v>
      </c>
      <c r="H2065" s="1099">
        <v>0.97450604824594123</v>
      </c>
      <c r="I2065" s="1099">
        <v>1.0041638037314586</v>
      </c>
      <c r="K2065">
        <v>1.7436690743616983</v>
      </c>
      <c r="L2065">
        <v>0</v>
      </c>
      <c r="M2065">
        <v>1.379486940225531E-3</v>
      </c>
      <c r="N2065">
        <v>0.12226677473400355</v>
      </c>
      <c r="O2065">
        <v>0.12830335724505196</v>
      </c>
      <c r="P2065">
        <v>1.8378603009390287E-2</v>
      </c>
      <c r="Q2065">
        <v>8.9226481248470271E-4</v>
      </c>
      <c r="R2065">
        <v>1.3758285958428017E-3</v>
      </c>
      <c r="S2065">
        <v>0.10693816383775008</v>
      </c>
      <c r="T2065">
        <v>1.0431426048426948</v>
      </c>
      <c r="U2065">
        <v>0</v>
      </c>
      <c r="V2065">
        <v>0.20971395536665799</v>
      </c>
      <c r="W2065">
        <v>8.0911811186715185E-2</v>
      </c>
      <c r="X2065">
        <v>2.9380645775221502E-2</v>
      </c>
      <c r="Y2065">
        <v>3.7445518961093799E-3</v>
      </c>
    </row>
    <row r="2066" spans="1:25" x14ac:dyDescent="0.25">
      <c r="A2066" s="1095"/>
      <c r="B2066" s="1454">
        <v>1816</v>
      </c>
      <c r="C2066" s="1099">
        <v>1.0234620213084886</v>
      </c>
      <c r="D2066" s="1099">
        <v>1.0056042740457498</v>
      </c>
      <c r="E2066" s="1099">
        <v>1.0215335882252705</v>
      </c>
      <c r="F2066" s="1099">
        <v>1.0061488201213076</v>
      </c>
      <c r="G2066" s="1099">
        <v>1.0473096314395833</v>
      </c>
      <c r="H2066" s="1099">
        <v>0.97342756077486159</v>
      </c>
      <c r="I2066" s="1099">
        <v>0.98233286711906587</v>
      </c>
      <c r="K2066">
        <v>1.7302906401717513</v>
      </c>
      <c r="L2066">
        <v>0</v>
      </c>
      <c r="M2066">
        <v>1.2496907502160793E-3</v>
      </c>
      <c r="N2066">
        <v>0.12266962039134056</v>
      </c>
      <c r="O2066">
        <v>0.1265986645370811</v>
      </c>
      <c r="P2066">
        <v>1.8685504229936641E-2</v>
      </c>
      <c r="Q2066">
        <v>8.9589947921032704E-4</v>
      </c>
      <c r="R2066">
        <v>1.2463840876743228E-3</v>
      </c>
      <c r="S2066">
        <v>0.10168969260902117</v>
      </c>
      <c r="T2066">
        <v>1.0367578713086911</v>
      </c>
      <c r="U2066">
        <v>0</v>
      </c>
      <c r="V2066">
        <v>0.20976688052155623</v>
      </c>
      <c r="W2066">
        <v>7.9569402482143073E-2</v>
      </c>
      <c r="X2066">
        <v>3.026816465906651E-2</v>
      </c>
      <c r="Y2066">
        <v>3.3922466162454291E-3</v>
      </c>
    </row>
    <row r="2067" spans="1:25" x14ac:dyDescent="0.25">
      <c r="A2067" s="1095"/>
      <c r="B2067" s="1454">
        <v>1817</v>
      </c>
      <c r="C2067" s="1099">
        <v>0.98541539762035879</v>
      </c>
      <c r="D2067" s="1099">
        <v>1.0240521616471072</v>
      </c>
      <c r="E2067" s="1099">
        <v>1.0259017929300176</v>
      </c>
      <c r="F2067" s="1099">
        <v>0.98465324589861702</v>
      </c>
      <c r="G2067" s="1099">
        <v>0.99392087655804828</v>
      </c>
      <c r="H2067" s="1099">
        <v>1.0014597176583186</v>
      </c>
      <c r="I2067" s="1099">
        <v>0.99430322899108925</v>
      </c>
      <c r="K2067">
        <v>1.7233432529413146</v>
      </c>
      <c r="L2067">
        <v>0</v>
      </c>
      <c r="M2067">
        <v>1.3026822252678949E-3</v>
      </c>
      <c r="N2067">
        <v>0.12957383792702215</v>
      </c>
      <c r="O2067">
        <v>0.12610688928659208</v>
      </c>
      <c r="P2067">
        <v>1.8499340693695829E-2</v>
      </c>
      <c r="Q2067">
        <v>9.278888940871101E-4</v>
      </c>
      <c r="R2067">
        <v>1.2993036401088339E-3</v>
      </c>
      <c r="S2067">
        <v>0.10732569389356268</v>
      </c>
      <c r="T2067">
        <v>1.0144835232318299</v>
      </c>
      <c r="U2067">
        <v>0</v>
      </c>
      <c r="V2067">
        <v>0.2087161528518742</v>
      </c>
      <c r="W2067">
        <v>8.3833913290776177E-2</v>
      </c>
      <c r="X2067">
        <v>3.0343115263988158E-2</v>
      </c>
      <c r="Y2067">
        <v>3.5362761930463958E-3</v>
      </c>
    </row>
    <row r="2068" spans="1:25" x14ac:dyDescent="0.25">
      <c r="A2068" s="1095"/>
      <c r="B2068" s="1454">
        <v>1818</v>
      </c>
      <c r="C2068" s="1099">
        <v>0.99939983776771846</v>
      </c>
      <c r="D2068" s="1099">
        <v>1.0120603559581924</v>
      </c>
      <c r="E2068" s="1099">
        <v>0.98875730131786654</v>
      </c>
      <c r="F2068" s="1099">
        <v>1.0013494939606455</v>
      </c>
      <c r="G2068" s="1099">
        <v>0.98585150898146079</v>
      </c>
      <c r="H2068" s="1099">
        <v>0.99410085850072683</v>
      </c>
      <c r="I2068" s="1099">
        <v>1.0377919558747353</v>
      </c>
      <c r="K2068">
        <v>1.7364157031465224</v>
      </c>
      <c r="L2068">
        <v>0</v>
      </c>
      <c r="M2068">
        <v>1.3904478138362854E-3</v>
      </c>
      <c r="N2068">
        <v>0.1236287991128045</v>
      </c>
      <c r="O2068">
        <v>0.12703571943433861</v>
      </c>
      <c r="P2068">
        <v>1.8285850882404649E-2</v>
      </c>
      <c r="Q2068">
        <v>8.846299765909373E-4</v>
      </c>
      <c r="R2068">
        <v>1.3868323777216918E-3</v>
      </c>
      <c r="S2068">
        <v>0.11084920330088309</v>
      </c>
      <c r="T2068">
        <v>1.0327831847252862</v>
      </c>
      <c r="U2068">
        <v>0</v>
      </c>
      <c r="V2068">
        <v>0.20824791624635566</v>
      </c>
      <c r="W2068">
        <v>8.1762654682306646E-2</v>
      </c>
      <c r="X2068">
        <v>2.9166859658677696E-2</v>
      </c>
      <c r="Y2068">
        <v>3.7745005629879957E-3</v>
      </c>
    </row>
    <row r="2069" spans="1:25" x14ac:dyDescent="0.25">
      <c r="A2069" s="1095"/>
      <c r="B2069" s="1454">
        <v>1819</v>
      </c>
      <c r="C2069" s="1099">
        <v>1.0199406666393913</v>
      </c>
      <c r="D2069" s="1099">
        <v>1.0197179340845479</v>
      </c>
      <c r="E2069" s="1099">
        <v>1.0372255512848318</v>
      </c>
      <c r="F2069" s="1099">
        <v>1.0389526012465993</v>
      </c>
      <c r="G2069" s="1099">
        <v>0.96846580833155305</v>
      </c>
      <c r="H2069" s="1099">
        <v>1.0190857077556523</v>
      </c>
      <c r="I2069" s="1099">
        <v>0.96676607794574509</v>
      </c>
      <c r="K2069">
        <v>1.7777291063546927</v>
      </c>
      <c r="L2069">
        <v>0</v>
      </c>
      <c r="M2069">
        <v>1.2631178406827584E-3</v>
      </c>
      <c r="N2069">
        <v>0.13000936661274662</v>
      </c>
      <c r="O2069">
        <v>0.12863665678233824</v>
      </c>
      <c r="P2069">
        <v>1.9350716077998001E-2</v>
      </c>
      <c r="Q2069">
        <v>9.0842990142388799E-4</v>
      </c>
      <c r="R2069">
        <v>1.2599243471772565E-3</v>
      </c>
      <c r="S2069">
        <v>0.10274030933254606</v>
      </c>
      <c r="T2069">
        <v>1.0700891524347687</v>
      </c>
      <c r="U2069">
        <v>0</v>
      </c>
      <c r="V2069">
        <v>0.20755374599966758</v>
      </c>
      <c r="W2069">
        <v>8.3565277024543999E-2</v>
      </c>
      <c r="X2069">
        <v>3.1449546943100135E-2</v>
      </c>
      <c r="Y2069">
        <v>3.4290987390670677E-3</v>
      </c>
    </row>
    <row r="2070" spans="1:25" x14ac:dyDescent="0.25">
      <c r="A2070" s="1095"/>
      <c r="B2070" s="1454">
        <v>1820</v>
      </c>
      <c r="C2070" s="1099">
        <v>1.0118255489799717</v>
      </c>
      <c r="D2070" s="1099">
        <v>0.97888473243389451</v>
      </c>
      <c r="E2070" s="1099">
        <v>1.0010825850447138</v>
      </c>
      <c r="F2070" s="1099">
        <v>0.99028137318886655</v>
      </c>
      <c r="G2070" s="1099">
        <v>1.0117420355227493</v>
      </c>
      <c r="H2070" s="1099">
        <v>0.99135662101833766</v>
      </c>
      <c r="I2070" s="1099">
        <v>0.99025983378698723</v>
      </c>
      <c r="K2070">
        <v>1.7240988261628569</v>
      </c>
      <c r="L2070">
        <v>0</v>
      </c>
      <c r="M2070">
        <v>1.3615756827886989E-3</v>
      </c>
      <c r="N2070">
        <v>0.12565761301894784</v>
      </c>
      <c r="O2070">
        <v>0.12712811221119261</v>
      </c>
      <c r="P2070">
        <v>1.8244207185021989E-2</v>
      </c>
      <c r="Q2070">
        <v>8.9691256000594183E-4</v>
      </c>
      <c r="R2070">
        <v>1.3580479984930244E-3</v>
      </c>
      <c r="S2070">
        <v>0.10648246293421797</v>
      </c>
      <c r="T2070">
        <v>1.0210029416574138</v>
      </c>
      <c r="U2070">
        <v>0</v>
      </c>
      <c r="V2070">
        <v>0.20891577960630878</v>
      </c>
      <c r="W2070">
        <v>8.2495435293544084E-2</v>
      </c>
      <c r="X2070">
        <v>2.9582730409001622E-2</v>
      </c>
      <c r="Y2070">
        <v>3.6961589714956254E-3</v>
      </c>
    </row>
    <row r="2071" spans="1:25" x14ac:dyDescent="0.25">
      <c r="A2071" s="1095"/>
      <c r="B2071" s="1454">
        <v>1821</v>
      </c>
      <c r="C2071" s="1099">
        <v>1.0146735227328361</v>
      </c>
      <c r="D2071" s="1099">
        <v>1.0291864965544659</v>
      </c>
      <c r="E2071" s="1099">
        <v>1.0176840052913403</v>
      </c>
      <c r="F2071" s="1099">
        <v>0.99392944961003427</v>
      </c>
      <c r="G2071" s="1099">
        <v>1.0079786833279976</v>
      </c>
      <c r="H2071" s="1099">
        <v>1.0078882123236423</v>
      </c>
      <c r="I2071" s="1099">
        <v>1.0160509594522211</v>
      </c>
      <c r="K2071">
        <v>1.7235933886850818</v>
      </c>
      <c r="L2071">
        <v>0</v>
      </c>
      <c r="M2071">
        <v>1.2955067984819428E-3</v>
      </c>
      <c r="N2071">
        <v>0.12570800499970755</v>
      </c>
      <c r="O2071">
        <v>0.12505771392058074</v>
      </c>
      <c r="P2071">
        <v>1.8496706226022307E-2</v>
      </c>
      <c r="Q2071">
        <v>8.9178975938189833E-4</v>
      </c>
      <c r="R2071">
        <v>1.2921757047916723E-3</v>
      </c>
      <c r="S2071">
        <v>0.10682961399688114</v>
      </c>
      <c r="T2071">
        <v>1.0242782787039948</v>
      </c>
      <c r="U2071">
        <v>0</v>
      </c>
      <c r="V2071">
        <v>0.20725272846735171</v>
      </c>
      <c r="W2071">
        <v>8.1724153999646582E-2</v>
      </c>
      <c r="X2071">
        <v>2.9840853402369402E-2</v>
      </c>
      <c r="Y2071">
        <v>3.5168763028363271E-3</v>
      </c>
    </row>
    <row r="2072" spans="1:25" x14ac:dyDescent="0.25">
      <c r="A2072" s="1095"/>
      <c r="B2072" s="1454">
        <v>1822</v>
      </c>
      <c r="C2072" s="1099">
        <v>1.0108828106872103</v>
      </c>
      <c r="D2072" s="1099">
        <v>0.99496870013855487</v>
      </c>
      <c r="E2072" s="1099">
        <v>1.0270551530069236</v>
      </c>
      <c r="F2072" s="1099">
        <v>1.0096945261176251</v>
      </c>
      <c r="G2072" s="1099">
        <v>1.0094935517887673</v>
      </c>
      <c r="H2072" s="1099">
        <v>0.99500325847019244</v>
      </c>
      <c r="I2072" s="1099">
        <v>1.0236269059471603</v>
      </c>
      <c r="K2072">
        <v>1.7526970368272277</v>
      </c>
      <c r="L2072">
        <v>0</v>
      </c>
      <c r="M2072">
        <v>1.2856574893689602E-3</v>
      </c>
      <c r="N2072">
        <v>0.12832703309686014</v>
      </c>
      <c r="O2072">
        <v>0.12801512658111369</v>
      </c>
      <c r="P2072">
        <v>1.8914233762629941E-2</v>
      </c>
      <c r="Q2072">
        <v>9.1607632184767702E-4</v>
      </c>
      <c r="R2072">
        <v>1.2823338396064825E-3</v>
      </c>
      <c r="S2072">
        <v>0.10948747856414724</v>
      </c>
      <c r="T2072">
        <v>1.0402497299715727</v>
      </c>
      <c r="U2072">
        <v>0</v>
      </c>
      <c r="V2072">
        <v>0.20948789583377936</v>
      </c>
      <c r="W2072">
        <v>8.2971512346766807E-2</v>
      </c>
      <c r="X2072">
        <v>3.084118400810176E-2</v>
      </c>
      <c r="Y2072">
        <v>3.4900899901722285E-3</v>
      </c>
    </row>
    <row r="2073" spans="1:25" x14ac:dyDescent="0.25">
      <c r="A2073" s="1095"/>
      <c r="B2073" s="1454">
        <v>1823</v>
      </c>
      <c r="C2073" s="1099">
        <v>0.98650721416019971</v>
      </c>
      <c r="D2073" s="1099">
        <v>1.0104931183394454</v>
      </c>
      <c r="E2073" s="1099">
        <v>1.0067255087585463</v>
      </c>
      <c r="F2073" s="1099">
        <v>0.99351173562735018</v>
      </c>
      <c r="G2073" s="1099">
        <v>1.0230455016149458</v>
      </c>
      <c r="H2073" s="1099">
        <v>1.0028550650798282</v>
      </c>
      <c r="I2073" s="1099">
        <v>0.99511167752169238</v>
      </c>
      <c r="K2073">
        <v>1.7359028869158819</v>
      </c>
      <c r="L2073">
        <v>0</v>
      </c>
      <c r="M2073">
        <v>1.3678974869951012E-3</v>
      </c>
      <c r="N2073">
        <v>0.12841232124982255</v>
      </c>
      <c r="O2073">
        <v>0.12725030198891843</v>
      </c>
      <c r="P2073">
        <v>1.8415562638072668E-2</v>
      </c>
      <c r="Q2073">
        <v>9.1363004226959106E-4</v>
      </c>
      <c r="R2073">
        <v>1.3643665675387186E-3</v>
      </c>
      <c r="S2073">
        <v>0.10830387043598798</v>
      </c>
      <c r="T2073">
        <v>1.0241675123626968</v>
      </c>
      <c r="U2073">
        <v>0</v>
      </c>
      <c r="V2073">
        <v>0.21083393686475438</v>
      </c>
      <c r="W2073">
        <v>8.4022525729901557E-2</v>
      </c>
      <c r="X2073">
        <v>2.9873400489390297E-2</v>
      </c>
      <c r="Y2073">
        <v>3.7133560335222784E-3</v>
      </c>
    </row>
    <row r="2074" spans="1:25" x14ac:dyDescent="0.25">
      <c r="A2074" s="1095"/>
      <c r="B2074" s="1454">
        <v>1824</v>
      </c>
      <c r="C2074" s="1099">
        <v>0.99621179556290507</v>
      </c>
      <c r="D2074" s="1099">
        <v>1.03305375474006</v>
      </c>
      <c r="E2074" s="1099">
        <v>1.0076581683577133</v>
      </c>
      <c r="F2074" s="1099">
        <v>0.95723177667891146</v>
      </c>
      <c r="G2074" s="1099">
        <v>0.99296059989401519</v>
      </c>
      <c r="H2074" s="1099">
        <v>1.0099260251247699</v>
      </c>
      <c r="I2074" s="1099">
        <v>0.98734823050323761</v>
      </c>
      <c r="K2074">
        <v>1.6810699980874875</v>
      </c>
      <c r="L2074">
        <v>0</v>
      </c>
      <c r="M2074">
        <v>1.340734798308565E-3</v>
      </c>
      <c r="N2074">
        <v>0.12621753189543028</v>
      </c>
      <c r="O2074">
        <v>0.12300094068855039</v>
      </c>
      <c r="P2074">
        <v>1.7807337939320031E-2</v>
      </c>
      <c r="Q2074">
        <v>8.9763852961914246E-4</v>
      </c>
      <c r="R2074">
        <v>1.3372757275683365E-3</v>
      </c>
      <c r="S2074">
        <v>0.10529088357242002</v>
      </c>
      <c r="T2074">
        <v>0.98674175130037933</v>
      </c>
      <c r="U2074">
        <v>0</v>
      </c>
      <c r="V2074">
        <v>0.20600707230568158</v>
      </c>
      <c r="W2074">
        <v>8.2540927081127757E-2</v>
      </c>
      <c r="X2074">
        <v>2.8929750148084011E-2</v>
      </c>
      <c r="Y2074">
        <v>3.6396236976158954E-3</v>
      </c>
    </row>
    <row r="2075" spans="1:25" x14ac:dyDescent="0.25">
      <c r="A2075" s="1095"/>
      <c r="B2075" s="1454">
        <v>1825</v>
      </c>
      <c r="C2075" s="1099">
        <v>1.0054663629987781</v>
      </c>
      <c r="D2075" s="1099">
        <v>0.9587826076597088</v>
      </c>
      <c r="E2075" s="1099">
        <v>0.97100089647803611</v>
      </c>
      <c r="F2075" s="1099">
        <v>1.0029755913931311</v>
      </c>
      <c r="G2075" s="1099">
        <v>0.97939999209819339</v>
      </c>
      <c r="H2075" s="1099">
        <v>0.99731094291118716</v>
      </c>
      <c r="I2075" s="1099">
        <v>1.0298927689463699</v>
      </c>
      <c r="K2075">
        <v>1.7475053901377657</v>
      </c>
      <c r="L2075">
        <v>0</v>
      </c>
      <c r="M2075">
        <v>1.4858674671123868E-3</v>
      </c>
      <c r="N2075">
        <v>0.12520689415788047</v>
      </c>
      <c r="O2075">
        <v>0.12925893268986247</v>
      </c>
      <c r="P2075">
        <v>1.8114530570152252E-2</v>
      </c>
      <c r="Q2075">
        <v>8.8195434964087767E-4</v>
      </c>
      <c r="R2075">
        <v>1.4820579290142429E-3</v>
      </c>
      <c r="S2075">
        <v>0.11330821263075758</v>
      </c>
      <c r="T2075">
        <v>1.0350004382707545</v>
      </c>
      <c r="U2075">
        <v>0</v>
      </c>
      <c r="V2075">
        <v>0.20909152763214958</v>
      </c>
      <c r="W2075">
        <v>8.3699036585382386E-2</v>
      </c>
      <c r="X2075">
        <v>2.8913999666771203E-2</v>
      </c>
      <c r="Y2075">
        <v>4.0336731225117722E-3</v>
      </c>
    </row>
    <row r="2076" spans="1:25" x14ac:dyDescent="0.25">
      <c r="A2076" s="1095"/>
      <c r="B2076" s="1454">
        <v>1826</v>
      </c>
      <c r="C2076" s="1099">
        <v>0.9789651465640814</v>
      </c>
      <c r="D2076" s="1099">
        <v>0.9730791595468099</v>
      </c>
      <c r="E2076" s="1099">
        <v>0.98660425074498437</v>
      </c>
      <c r="F2076" s="1099">
        <v>1.0007419939478015</v>
      </c>
      <c r="G2076" s="1099">
        <v>0.9945978532847306</v>
      </c>
      <c r="H2076" s="1099">
        <v>1.0289866702087993</v>
      </c>
      <c r="I2076" s="1099">
        <v>1.0054436547998078</v>
      </c>
      <c r="K2076">
        <v>1.7628016227337167</v>
      </c>
      <c r="L2076">
        <v>0</v>
      </c>
      <c r="M2076">
        <v>1.507597010708957E-3</v>
      </c>
      <c r="N2076">
        <v>0.1331886188784957</v>
      </c>
      <c r="O2076">
        <v>0.12986573335899179</v>
      </c>
      <c r="P2076">
        <v>1.8346128273783843E-2</v>
      </c>
      <c r="Q2076">
        <v>9.1533722734297746E-4</v>
      </c>
      <c r="R2076">
        <v>1.5038309103216623E-3</v>
      </c>
      <c r="S2076">
        <v>0.11473093191011818</v>
      </c>
      <c r="T2076">
        <v>1.0322214568999952</v>
      </c>
      <c r="U2076">
        <v>0</v>
      </c>
      <c r="V2076">
        <v>0.21158539063245457</v>
      </c>
      <c r="W2076">
        <v>8.8198994513710036E-2</v>
      </c>
      <c r="X2076">
        <v>2.9659865139040634E-2</v>
      </c>
      <c r="Y2076">
        <v>4.0929320001692098E-3</v>
      </c>
    </row>
    <row r="2077" spans="1:25" x14ac:dyDescent="0.25">
      <c r="A2077" s="1095"/>
      <c r="B2077" s="1454">
        <v>1827</v>
      </c>
      <c r="C2077" s="1099">
        <v>1.0200409745181438</v>
      </c>
      <c r="D2077" s="1099">
        <v>0.98755389102308366</v>
      </c>
      <c r="E2077" s="1099">
        <v>1.0114814407929384</v>
      </c>
      <c r="F2077" s="1099">
        <v>0.98619822556564896</v>
      </c>
      <c r="G2077" s="1099">
        <v>1.0101902106686784</v>
      </c>
      <c r="H2077" s="1099">
        <v>1.0055368425576443</v>
      </c>
      <c r="I2077" s="1099">
        <v>0.9842903387227433</v>
      </c>
      <c r="K2077">
        <v>1.7182092352699436</v>
      </c>
      <c r="L2077">
        <v>0</v>
      </c>
      <c r="M2077">
        <v>1.334159731364965E-3</v>
      </c>
      <c r="N2077">
        <v>0.12705954142633771</v>
      </c>
      <c r="O2077">
        <v>0.12604754782040806</v>
      </c>
      <c r="P2077">
        <v>1.8292356635534357E-2</v>
      </c>
      <c r="Q2077">
        <v>8.9613448231084245E-4</v>
      </c>
      <c r="R2077">
        <v>1.3307472598412633E-3</v>
      </c>
      <c r="S2077">
        <v>0.10542073373786386</v>
      </c>
      <c r="T2077">
        <v>1.0164901777217772</v>
      </c>
      <c r="U2077">
        <v>0</v>
      </c>
      <c r="V2077">
        <v>0.20772168149123355</v>
      </c>
      <c r="W2077">
        <v>8.2904383946122373E-2</v>
      </c>
      <c r="X2077">
        <v>2.9758235119308037E-2</v>
      </c>
      <c r="Y2077">
        <v>3.6218553605716101E-3</v>
      </c>
    </row>
    <row r="2078" spans="1:25" x14ac:dyDescent="0.25">
      <c r="A2078" s="1095"/>
      <c r="B2078" s="1454">
        <v>1828</v>
      </c>
      <c r="C2078" s="1099">
        <v>1.0101681431467087</v>
      </c>
      <c r="D2078" s="1099">
        <v>0.96434678047647582</v>
      </c>
      <c r="E2078" s="1099">
        <v>0.99221195293358089</v>
      </c>
      <c r="F2078" s="1099">
        <v>1.0278762291684782</v>
      </c>
      <c r="G2078" s="1099">
        <v>0.99795317930819527</v>
      </c>
      <c r="H2078" s="1099">
        <v>0.99393364377949678</v>
      </c>
      <c r="I2078" s="1099">
        <v>1.0130460352453812</v>
      </c>
      <c r="K2078">
        <v>1.7758422071508317</v>
      </c>
      <c r="L2078">
        <v>0</v>
      </c>
      <c r="M2078">
        <v>1.4094999625680117E-3</v>
      </c>
      <c r="N2078">
        <v>0.12664257247000729</v>
      </c>
      <c r="O2078">
        <v>0.13073420156594942</v>
      </c>
      <c r="P2078">
        <v>1.8732906440319816E-2</v>
      </c>
      <c r="Q2078">
        <v>8.9548847610413946E-4</v>
      </c>
      <c r="R2078">
        <v>1.40587930012868E-3</v>
      </c>
      <c r="S2078">
        <v>0.11051899985692623</v>
      </c>
      <c r="T2078">
        <v>1.0600360634698138</v>
      </c>
      <c r="U2078">
        <v>0</v>
      </c>
      <c r="V2078">
        <v>0.210783972435893</v>
      </c>
      <c r="W2078">
        <v>8.3582740822268867E-2</v>
      </c>
      <c r="X2078">
        <v>3.0092542269023866E-2</v>
      </c>
      <c r="Y2078">
        <v>3.8263400069635336E-3</v>
      </c>
    </row>
    <row r="2079" spans="1:25" x14ac:dyDescent="0.25">
      <c r="A2079" s="1095"/>
      <c r="B2079" s="1454">
        <v>1829</v>
      </c>
      <c r="C2079" s="1099">
        <v>0.99722032533436256</v>
      </c>
      <c r="D2079" s="1099">
        <v>1.0258251243402727</v>
      </c>
      <c r="E2079" s="1099">
        <v>1.0480641127512229</v>
      </c>
      <c r="F2079" s="1099">
        <v>0.96330868786290935</v>
      </c>
      <c r="G2079" s="1099">
        <v>1.0320978080712979</v>
      </c>
      <c r="H2079" s="1099">
        <v>1.0014113276466672</v>
      </c>
      <c r="I2079" s="1099">
        <v>0.99804580597667958</v>
      </c>
      <c r="K2079">
        <v>1.6976747422341765</v>
      </c>
      <c r="L2079">
        <v>0</v>
      </c>
      <c r="M2079">
        <v>1.2266798486552978E-3</v>
      </c>
      <c r="N2079">
        <v>0.1304394511187498</v>
      </c>
      <c r="O2079">
        <v>0.12388030605466996</v>
      </c>
      <c r="P2079">
        <v>1.8460366848273149E-2</v>
      </c>
      <c r="Q2079">
        <v>9.371503917089566E-4</v>
      </c>
      <c r="R2079">
        <v>1.22349428986542E-3</v>
      </c>
      <c r="S2079">
        <v>0.10631295584519937</v>
      </c>
      <c r="T2079">
        <v>0.99188103909005854</v>
      </c>
      <c r="U2079">
        <v>0</v>
      </c>
      <c r="V2079">
        <v>0.20845160121266965</v>
      </c>
      <c r="W2079">
        <v>8.332105015189048E-2</v>
      </c>
      <c r="X2079">
        <v>3.066405894751623E-2</v>
      </c>
      <c r="Y2079">
        <v>3.3299481322294155E-3</v>
      </c>
    </row>
    <row r="2080" spans="1:25" x14ac:dyDescent="0.25">
      <c r="A2080" s="1095"/>
      <c r="B2080" s="1454">
        <v>1830</v>
      </c>
      <c r="C2080" s="1099">
        <v>1.0028229236026387</v>
      </c>
      <c r="D2080" s="1099">
        <v>1.0353299347633107</v>
      </c>
      <c r="E2080" s="1099">
        <v>0.98163904171402872</v>
      </c>
      <c r="F2080" s="1099">
        <v>0.97168367916513487</v>
      </c>
      <c r="G2080" s="1099">
        <v>0.99782818134277729</v>
      </c>
      <c r="H2080" s="1099">
        <v>0.98248839097300067</v>
      </c>
      <c r="I2080" s="1099">
        <v>0.9629463405672305</v>
      </c>
      <c r="K2080">
        <v>1.6808236202274192</v>
      </c>
      <c r="L2080">
        <v>0</v>
      </c>
      <c r="M2080">
        <v>1.3682394114993162E-3</v>
      </c>
      <c r="N2080">
        <v>0.11905732088423772</v>
      </c>
      <c r="O2080">
        <v>0.12356598071772522</v>
      </c>
      <c r="P2080">
        <v>1.7608829146163012E-2</v>
      </c>
      <c r="Q2080">
        <v>8.6715573443501084E-4</v>
      </c>
      <c r="R2080">
        <v>1.3646159433239758E-3</v>
      </c>
      <c r="S2080">
        <v>0.10015277680386891</v>
      </c>
      <c r="T2080">
        <v>1.0023947861920335</v>
      </c>
      <c r="U2080">
        <v>0</v>
      </c>
      <c r="V2080">
        <v>0.20630637590236411</v>
      </c>
      <c r="W2080">
        <v>7.9077046893712172E-2</v>
      </c>
      <c r="X2080">
        <v>2.8082936668851425E-2</v>
      </c>
      <c r="Y2080">
        <v>3.7140347522030444E-3</v>
      </c>
    </row>
    <row r="2081" spans="1:25" x14ac:dyDescent="0.25">
      <c r="A2081" s="1095"/>
      <c r="B2081" s="1454">
        <v>1831</v>
      </c>
      <c r="C2081" s="1099">
        <v>1.0357420349582065</v>
      </c>
      <c r="D2081" s="1099">
        <v>0.96861478510502597</v>
      </c>
      <c r="E2081" s="1099">
        <v>1.0305961879843313</v>
      </c>
      <c r="F2081" s="1099">
        <v>1.0126579030713456</v>
      </c>
      <c r="G2081" s="1099">
        <v>1.042529146786173</v>
      </c>
      <c r="H2081" s="1099">
        <v>1.0023819588416079</v>
      </c>
      <c r="I2081" s="1099">
        <v>1.0217226962227091</v>
      </c>
      <c r="K2081">
        <v>1.7570976708526969</v>
      </c>
      <c r="L2081">
        <v>0</v>
      </c>
      <c r="M2081">
        <v>1.2777705500831035E-3</v>
      </c>
      <c r="N2081">
        <v>0.12891356668944018</v>
      </c>
      <c r="O2081">
        <v>0.12822859273290638</v>
      </c>
      <c r="P2081">
        <v>1.9006829996511692E-2</v>
      </c>
      <c r="Q2081">
        <v>9.0701495228338294E-4</v>
      </c>
      <c r="R2081">
        <v>1.2745157538319412E-3</v>
      </c>
      <c r="S2081">
        <v>0.10913486217684965</v>
      </c>
      <c r="T2081">
        <v>1.0431992499934424</v>
      </c>
      <c r="U2081">
        <v>0</v>
      </c>
      <c r="V2081">
        <v>0.21003339882532554</v>
      </c>
      <c r="W2081">
        <v>8.3179435355703601E-2</v>
      </c>
      <c r="X2081">
        <v>3.1029163188559226E-2</v>
      </c>
      <c r="Y2081">
        <v>3.4688117379252097E-3</v>
      </c>
    </row>
    <row r="2082" spans="1:25" x14ac:dyDescent="0.25">
      <c r="A2082" s="1095"/>
      <c r="B2082" s="1454">
        <v>1832</v>
      </c>
      <c r="C2082" s="1099">
        <v>1.0188655525393351</v>
      </c>
      <c r="D2082" s="1099">
        <v>0.99721292048361709</v>
      </c>
      <c r="E2082" s="1099">
        <v>1.0009295792244355</v>
      </c>
      <c r="F2082" s="1099">
        <v>1.009788564071219</v>
      </c>
      <c r="G2082" s="1099">
        <v>0.98695561068046611</v>
      </c>
      <c r="H2082" s="1099">
        <v>0.9995542428295654</v>
      </c>
      <c r="I2082" s="1099">
        <v>1.0003450204103943</v>
      </c>
      <c r="K2082">
        <v>1.7418066388092235</v>
      </c>
      <c r="L2082">
        <v>0</v>
      </c>
      <c r="M2082">
        <v>1.3520141878106916E-3</v>
      </c>
      <c r="N2082">
        <v>0.12471979309738648</v>
      </c>
      <c r="O2082">
        <v>0.12740494767411212</v>
      </c>
      <c r="P2082">
        <v>1.8496575319902751E-2</v>
      </c>
      <c r="Q2082">
        <v>8.8399024557880444E-4</v>
      </c>
      <c r="R2082">
        <v>1.3485356734918295E-3</v>
      </c>
      <c r="S2082">
        <v>0.10632418360507806</v>
      </c>
      <c r="T2082">
        <v>1.0411198937802912</v>
      </c>
      <c r="U2082">
        <v>0</v>
      </c>
      <c r="V2082">
        <v>0.20760101795596242</v>
      </c>
      <c r="W2082">
        <v>8.1887187896946878E-2</v>
      </c>
      <c r="X2082">
        <v>2.9702258189701677E-2</v>
      </c>
      <c r="Y2082">
        <v>3.6702695585794673E-3</v>
      </c>
    </row>
    <row r="2083" spans="1:25" x14ac:dyDescent="0.25">
      <c r="A2083" s="1095"/>
      <c r="B2083" s="1454">
        <v>1833</v>
      </c>
      <c r="C2083" s="1099">
        <v>0.95602792085302801</v>
      </c>
      <c r="D2083" s="1099">
        <v>1.0023692743357588</v>
      </c>
      <c r="E2083" s="1099">
        <v>1.0368772543530429</v>
      </c>
      <c r="F2083" s="1099">
        <v>1.0023532135802389</v>
      </c>
      <c r="G2083" s="1099">
        <v>1.0168340934107092</v>
      </c>
      <c r="H2083" s="1099">
        <v>0.98799864392261616</v>
      </c>
      <c r="I2083" s="1099">
        <v>0.98781371745425939</v>
      </c>
      <c r="K2083">
        <v>1.7632736603878152</v>
      </c>
      <c r="L2083">
        <v>0</v>
      </c>
      <c r="M2083">
        <v>1.3097561149991342E-3</v>
      </c>
      <c r="N2083">
        <v>0.13465579393571608</v>
      </c>
      <c r="O2083">
        <v>0.13006093724989731</v>
      </c>
      <c r="P2083">
        <v>1.901530210667168E-2</v>
      </c>
      <c r="Q2083">
        <v>9.754901686283594E-4</v>
      </c>
      <c r="R2083">
        <v>1.3063231701808751E-3</v>
      </c>
      <c r="S2083">
        <v>0.11034159770575405</v>
      </c>
      <c r="T2083">
        <v>1.0324029067980047</v>
      </c>
      <c r="U2083">
        <v>0</v>
      </c>
      <c r="V2083">
        <v>0.21404270273860829</v>
      </c>
      <c r="W2083">
        <v>8.6569235101159561E-2</v>
      </c>
      <c r="X2083">
        <v>3.1657746488279119E-2</v>
      </c>
      <c r="Y2083">
        <v>3.5553810399150264E-3</v>
      </c>
    </row>
    <row r="2084" spans="1:25" x14ac:dyDescent="0.25">
      <c r="A2084" s="1095"/>
      <c r="B2084" s="1454">
        <v>1834</v>
      </c>
      <c r="C2084" s="1099">
        <v>1.0301079688529207</v>
      </c>
      <c r="D2084" s="1099">
        <v>1.0073259503975203</v>
      </c>
      <c r="E2084" s="1099">
        <v>1.0211052108760243</v>
      </c>
      <c r="F2084" s="1099">
        <v>1.0073168744705099</v>
      </c>
      <c r="G2084" s="1099">
        <v>0.98486111189397996</v>
      </c>
      <c r="H2084" s="1099">
        <v>0.96113401351280081</v>
      </c>
      <c r="I2084" s="1099">
        <v>0.99181943850680587</v>
      </c>
      <c r="K2084">
        <v>1.7228403064170859</v>
      </c>
      <c r="L2084">
        <v>0</v>
      </c>
      <c r="M2084">
        <v>1.2265525127154117E-3</v>
      </c>
      <c r="N2084">
        <v>0.12023890568889549</v>
      </c>
      <c r="O2084">
        <v>0.12627395025971128</v>
      </c>
      <c r="P2084">
        <v>1.8639335518858508E-2</v>
      </c>
      <c r="Q2084">
        <v>8.8912001557933402E-4</v>
      </c>
      <c r="R2084">
        <v>1.2232665028491909E-3</v>
      </c>
      <c r="S2084">
        <v>0.10111438533154653</v>
      </c>
      <c r="T2084">
        <v>1.0379740148327741</v>
      </c>
      <c r="U2084">
        <v>0</v>
      </c>
      <c r="V2084">
        <v>0.20621827101936457</v>
      </c>
      <c r="W2084">
        <v>7.8012253268289602E-2</v>
      </c>
      <c r="X2084">
        <v>3.0154028320870042E-2</v>
      </c>
      <c r="Y2084">
        <v>3.3293281710612094E-3</v>
      </c>
    </row>
    <row r="2085" spans="1:25" x14ac:dyDescent="0.25">
      <c r="A2085" s="1095"/>
      <c r="B2085" s="1454">
        <v>1835</v>
      </c>
      <c r="C2085" s="1099">
        <v>0.99475097933310785</v>
      </c>
      <c r="D2085" s="1099">
        <v>0.97731471472794706</v>
      </c>
      <c r="E2085" s="1099">
        <v>1.0205770766913842</v>
      </c>
      <c r="F2085" s="1099">
        <v>1.0121968699102475</v>
      </c>
      <c r="G2085" s="1099">
        <v>0.98659409087160022</v>
      </c>
      <c r="H2085" s="1099">
        <v>1.0231090402872471</v>
      </c>
      <c r="I2085" s="1099">
        <v>1.0013248102142069</v>
      </c>
      <c r="K2085">
        <v>1.7716896323306794</v>
      </c>
      <c r="L2085">
        <v>0</v>
      </c>
      <c r="M2085">
        <v>1.3745404580494428E-3</v>
      </c>
      <c r="N2085">
        <v>0.13455466691080389</v>
      </c>
      <c r="O2085">
        <v>0.12984224292018767</v>
      </c>
      <c r="P2085">
        <v>1.8910159901108895E-2</v>
      </c>
      <c r="Q2085">
        <v>9.3142481290912188E-4</v>
      </c>
      <c r="R2085">
        <v>1.3710924461043091E-3</v>
      </c>
      <c r="S2085">
        <v>0.11196411277482705</v>
      </c>
      <c r="T2085">
        <v>1.0430180910698161</v>
      </c>
      <c r="U2085">
        <v>0</v>
      </c>
      <c r="V2085">
        <v>0.21039338901199331</v>
      </c>
      <c r="W2085">
        <v>8.7327429122783323E-2</v>
      </c>
      <c r="X2085">
        <v>3.1019902160401586E-2</v>
      </c>
      <c r="Y2085">
        <v>3.7316616577925438E-3</v>
      </c>
    </row>
    <row r="2086" spans="1:25" x14ac:dyDescent="0.25">
      <c r="A2086" s="1095"/>
      <c r="B2086" s="1454">
        <v>1836</v>
      </c>
      <c r="C2086" s="1099">
        <v>0.9798500689936458</v>
      </c>
      <c r="D2086" s="1099">
        <v>0.99510840765103004</v>
      </c>
      <c r="E2086" s="1099">
        <v>1.0025188977514614</v>
      </c>
      <c r="F2086" s="1099">
        <v>1.0131423411965559</v>
      </c>
      <c r="G2086" s="1099">
        <v>0.97596120732169089</v>
      </c>
      <c r="H2086" s="1099">
        <v>0.97391407616437542</v>
      </c>
      <c r="I2086" s="1099">
        <v>0.99919177885219879</v>
      </c>
      <c r="K2086">
        <v>1.7561550397792054</v>
      </c>
      <c r="L2086">
        <v>0</v>
      </c>
      <c r="M2086">
        <v>1.3629499594646985E-3</v>
      </c>
      <c r="N2086">
        <v>0.12632423871852211</v>
      </c>
      <c r="O2086">
        <v>0.12979122932160986</v>
      </c>
      <c r="P2086">
        <v>1.8636544692337338E-2</v>
      </c>
      <c r="Q2086">
        <v>9.2148167708670152E-4</v>
      </c>
      <c r="R2086">
        <v>1.3593417984345154E-3</v>
      </c>
      <c r="S2086">
        <v>0.10853535233074721</v>
      </c>
      <c r="T2086">
        <v>1.0445299467326974</v>
      </c>
      <c r="U2086">
        <v>0</v>
      </c>
      <c r="V2086">
        <v>0.21061669525553467</v>
      </c>
      <c r="W2086">
        <v>8.2862415057561714E-2</v>
      </c>
      <c r="X2086">
        <v>3.0241063885702819E-2</v>
      </c>
      <c r="Y2086">
        <v>3.6996802684353277E-3</v>
      </c>
    </row>
    <row r="2087" spans="1:25" x14ac:dyDescent="0.25">
      <c r="A2087" s="1095"/>
      <c r="B2087" s="1454">
        <v>1837</v>
      </c>
      <c r="C2087" s="1099">
        <v>0.97694470783257537</v>
      </c>
      <c r="D2087" s="1099">
        <v>0.98203106793434214</v>
      </c>
      <c r="E2087" s="1099">
        <v>0.99007440050104456</v>
      </c>
      <c r="F2087" s="1099">
        <v>1.0428815550438484</v>
      </c>
      <c r="G2087" s="1099">
        <v>1.0094459913167362</v>
      </c>
      <c r="H2087" s="1099">
        <v>0.98136066094916474</v>
      </c>
      <c r="I2087" s="1099">
        <v>1.013143404944632</v>
      </c>
      <c r="K2087">
        <v>1.8006769848722284</v>
      </c>
      <c r="L2087">
        <v>0</v>
      </c>
      <c r="M2087">
        <v>1.4277633241594123E-3</v>
      </c>
      <c r="N2087">
        <v>0.1274513295440064</v>
      </c>
      <c r="O2087">
        <v>0.132784565442855</v>
      </c>
      <c r="P2087">
        <v>1.8982180077297434E-2</v>
      </c>
      <c r="Q2087">
        <v>9.1719110884772416E-4</v>
      </c>
      <c r="R2087">
        <v>1.4240301530468636E-3</v>
      </c>
      <c r="S2087">
        <v>0.11197160056303694</v>
      </c>
      <c r="T2087">
        <v>1.0755777267864826</v>
      </c>
      <c r="U2087">
        <v>0</v>
      </c>
      <c r="V2087">
        <v>0.21442218858292997</v>
      </c>
      <c r="W2087">
        <v>8.4224196563955092E-2</v>
      </c>
      <c r="X2087">
        <v>3.0473998728750829E-2</v>
      </c>
      <c r="Y2087">
        <v>3.8757406451797745E-3</v>
      </c>
    </row>
    <row r="2088" spans="1:25" x14ac:dyDescent="0.25">
      <c r="A2088" s="1095"/>
      <c r="B2088" s="1454">
        <v>1838</v>
      </c>
      <c r="C2088" s="1099">
        <v>1.0352983171335086</v>
      </c>
      <c r="D2088" s="1099">
        <v>0.97934393258946606</v>
      </c>
      <c r="E2088" s="1099">
        <v>1.0197654897220167</v>
      </c>
      <c r="F2088" s="1099">
        <v>1.02788231014346</v>
      </c>
      <c r="G2088" s="1099">
        <v>0.99642513520515918</v>
      </c>
      <c r="H2088" s="1099">
        <v>0.99075757868377323</v>
      </c>
      <c r="I2088" s="1099">
        <v>0.97628696039540586</v>
      </c>
      <c r="K2088">
        <v>1.7603159090059211</v>
      </c>
      <c r="L2088">
        <v>0</v>
      </c>
      <c r="M2088">
        <v>1.2854911941432327E-3</v>
      </c>
      <c r="N2088">
        <v>0.12552093158419722</v>
      </c>
      <c r="O2088">
        <v>0.12884216202881621</v>
      </c>
      <c r="P2088">
        <v>1.8967954033557784E-2</v>
      </c>
      <c r="Q2088">
        <v>8.9345936634811383E-4</v>
      </c>
      <c r="R2088">
        <v>1.2821753760670863E-3</v>
      </c>
      <c r="S2088">
        <v>0.10290098972222055</v>
      </c>
      <c r="T2088">
        <v>1.0592054497158023</v>
      </c>
      <c r="U2088">
        <v>0</v>
      </c>
      <c r="V2088">
        <v>0.20826369986550355</v>
      </c>
      <c r="W2088">
        <v>8.1503122561693994E-2</v>
      </c>
      <c r="X2088">
        <v>3.0731797241200662E-2</v>
      </c>
      <c r="Y2088">
        <v>3.4896587046554829E-3</v>
      </c>
    </row>
    <row r="2089" spans="1:25" x14ac:dyDescent="0.25">
      <c r="A2089" s="1095"/>
      <c r="B2089" s="1454">
        <v>1839</v>
      </c>
      <c r="C2089" s="1099">
        <v>1.0157045457640197</v>
      </c>
      <c r="D2089" s="1099">
        <v>1.0206537565173792</v>
      </c>
      <c r="E2089" s="1099">
        <v>0.97600354156324209</v>
      </c>
      <c r="F2089" s="1099">
        <v>0.98058294278955904</v>
      </c>
      <c r="G2089" s="1099">
        <v>0.99464257509048792</v>
      </c>
      <c r="H2089" s="1099">
        <v>1.0111468526377834</v>
      </c>
      <c r="I2089" s="1099">
        <v>0.99298394709802396</v>
      </c>
      <c r="K2089">
        <v>1.6999032289069105</v>
      </c>
      <c r="L2089">
        <v>0</v>
      </c>
      <c r="M2089">
        <v>1.4210275037210987E-3</v>
      </c>
      <c r="N2089">
        <v>0.12157054636720449</v>
      </c>
      <c r="O2089">
        <v>0.12421186196459875</v>
      </c>
      <c r="P2089">
        <v>1.7717868592624572E-2</v>
      </c>
      <c r="Q2089">
        <v>8.5598798055058778E-4</v>
      </c>
      <c r="R2089">
        <v>1.4173873366039326E-3</v>
      </c>
      <c r="S2089">
        <v>0.10491372050088697</v>
      </c>
      <c r="T2089">
        <v>1.0117430874233957</v>
      </c>
      <c r="U2089">
        <v>0</v>
      </c>
      <c r="V2089">
        <v>0.20595666217982284</v>
      </c>
      <c r="W2089">
        <v>8.1021807204514948E-2</v>
      </c>
      <c r="X2089">
        <v>2.8057665771803023E-2</v>
      </c>
      <c r="Y2089">
        <v>3.8576610886259673E-3</v>
      </c>
    </row>
    <row r="2090" spans="1:25" x14ac:dyDescent="0.25">
      <c r="A2090" s="1095"/>
      <c r="B2090" s="1454">
        <v>1840</v>
      </c>
      <c r="C2090" s="1099">
        <v>1.0236144052654579</v>
      </c>
      <c r="D2090" s="1099">
        <v>1.0115389213904422</v>
      </c>
      <c r="E2090" s="1099">
        <v>1.028614509305624</v>
      </c>
      <c r="F2090" s="1099">
        <v>1.0386613729521961</v>
      </c>
      <c r="G2090" s="1099">
        <v>0.99941290627350843</v>
      </c>
      <c r="H2090" s="1099">
        <v>1.0057083592757028</v>
      </c>
      <c r="I2090" s="1099">
        <v>1.0007808389140225</v>
      </c>
      <c r="K2090">
        <v>1.7779356621195079</v>
      </c>
      <c r="L2090">
        <v>0</v>
      </c>
      <c r="M2090">
        <v>1.2709619804300435E-3</v>
      </c>
      <c r="N2090">
        <v>0.12746162642617689</v>
      </c>
      <c r="O2090">
        <v>0.12876691025315939</v>
      </c>
      <c r="P2090">
        <v>1.9289073504953527E-2</v>
      </c>
      <c r="Q2090">
        <v>9.0015781762035852E-4</v>
      </c>
      <c r="R2090">
        <v>1.2677118582958224E-3</v>
      </c>
      <c r="S2090">
        <v>0.10559529717312181</v>
      </c>
      <c r="T2090">
        <v>1.0700463554513542</v>
      </c>
      <c r="U2090">
        <v>0</v>
      </c>
      <c r="V2090">
        <v>0.2089539028116344</v>
      </c>
      <c r="W2090">
        <v>8.2337282688152214E-2</v>
      </c>
      <c r="X2090">
        <v>3.1138012338287929E-2</v>
      </c>
      <c r="Y2090">
        <v>3.4502937771794537E-3</v>
      </c>
    </row>
    <row r="2091" spans="1:25" x14ac:dyDescent="0.25">
      <c r="A2091" s="1095"/>
      <c r="B2091" s="1454">
        <v>1841</v>
      </c>
      <c r="C2091" s="1099">
        <v>1.0199305261541904</v>
      </c>
      <c r="D2091" s="1099">
        <v>0.97668669319320123</v>
      </c>
      <c r="E2091" s="1099">
        <v>0.99321979117946924</v>
      </c>
      <c r="F2091" s="1099">
        <v>0.97080850770533489</v>
      </c>
      <c r="G2091" s="1099">
        <v>0.98550229369234332</v>
      </c>
      <c r="H2091" s="1099">
        <v>1.0084641046311871</v>
      </c>
      <c r="I2091" s="1099">
        <v>0.9976963805889405</v>
      </c>
      <c r="K2091">
        <v>1.700455445396762</v>
      </c>
      <c r="L2091">
        <v>0</v>
      </c>
      <c r="M2091">
        <v>1.3969776812918341E-3</v>
      </c>
      <c r="N2091">
        <v>0.12590297079559959</v>
      </c>
      <c r="O2091">
        <v>0.1252949518397195</v>
      </c>
      <c r="P2091">
        <v>1.7844473047406113E-2</v>
      </c>
      <c r="Q2091">
        <v>8.8334395101619231E-4</v>
      </c>
      <c r="R2091">
        <v>1.3934173090154496E-3</v>
      </c>
      <c r="S2091">
        <v>0.10767363691091854</v>
      </c>
      <c r="T2091">
        <v>1.0011535292842928</v>
      </c>
      <c r="U2091">
        <v>0</v>
      </c>
      <c r="V2091">
        <v>0.20600014663361532</v>
      </c>
      <c r="W2091">
        <v>8.3044565452856364E-2</v>
      </c>
      <c r="X2091">
        <v>2.8868965278364186E-2</v>
      </c>
      <c r="Y2091">
        <v>3.7924225752475863E-3</v>
      </c>
    </row>
    <row r="2092" spans="1:25" x14ac:dyDescent="0.25">
      <c r="A2092" s="1095"/>
      <c r="B2092" s="1454">
        <v>1842</v>
      </c>
      <c r="C2092" s="1099">
        <v>0.9874974216338207</v>
      </c>
      <c r="D2092" s="1099">
        <v>1.0351489803148457</v>
      </c>
      <c r="E2092" s="1099">
        <v>0.95635550820431503</v>
      </c>
      <c r="F2092" s="1099">
        <v>0.97320457004686767</v>
      </c>
      <c r="G2092" s="1099">
        <v>0.9883195171674759</v>
      </c>
      <c r="H2092" s="1099">
        <v>1.0191402912473579</v>
      </c>
      <c r="I2092" s="1099">
        <v>1.011900396820703</v>
      </c>
      <c r="K2092">
        <v>1.7000796777635161</v>
      </c>
      <c r="L2092">
        <v>0</v>
      </c>
      <c r="M2092">
        <v>1.5169632088277961E-3</v>
      </c>
      <c r="N2092">
        <v>0.12228104100087725</v>
      </c>
      <c r="O2092">
        <v>0.1243641645142211</v>
      </c>
      <c r="P2092">
        <v>1.7433434698350968E-2</v>
      </c>
      <c r="Q2092">
        <v>8.5751272886895906E-4</v>
      </c>
      <c r="R2092">
        <v>1.5130860988388738E-3</v>
      </c>
      <c r="S2092">
        <v>0.10932902771026552</v>
      </c>
      <c r="T2092">
        <v>1.0047180153471484</v>
      </c>
      <c r="U2092">
        <v>0</v>
      </c>
      <c r="V2092">
        <v>0.20714906354212601</v>
      </c>
      <c r="W2092">
        <v>8.2478741489773563E-2</v>
      </c>
      <c r="X2092">
        <v>2.7354432269532936E-2</v>
      </c>
      <c r="Y2092">
        <v>4.1181215723409843E-3</v>
      </c>
    </row>
    <row r="2093" spans="1:25" x14ac:dyDescent="0.25">
      <c r="A2093" s="1095"/>
      <c r="B2093" s="1454">
        <v>1843</v>
      </c>
      <c r="C2093" s="1099">
        <v>0.99625738410087505</v>
      </c>
      <c r="D2093" s="1099">
        <v>1.0267874564870372</v>
      </c>
      <c r="E2093" s="1099">
        <v>1.0106511786950354</v>
      </c>
      <c r="F2093" s="1099">
        <v>0.99672931388074104</v>
      </c>
      <c r="G2093" s="1099">
        <v>1.016155626861428</v>
      </c>
      <c r="H2093" s="1099">
        <v>0.99563790709585109</v>
      </c>
      <c r="I2093" s="1099">
        <v>0.97960459629834618</v>
      </c>
      <c r="K2093">
        <v>1.7275667634471967</v>
      </c>
      <c r="L2093">
        <v>0</v>
      </c>
      <c r="M2093">
        <v>1.3227943444788755E-3</v>
      </c>
      <c r="N2093">
        <v>0.1256558547947258</v>
      </c>
      <c r="O2093">
        <v>0.12627706968241453</v>
      </c>
      <c r="P2093">
        <v>1.84356073094584E-2</v>
      </c>
      <c r="Q2093">
        <v>9.0256751421232979E-4</v>
      </c>
      <c r="R2093">
        <v>1.3193484940269319E-3</v>
      </c>
      <c r="S2093">
        <v>0.10412817722935017</v>
      </c>
      <c r="T2093">
        <v>1.0273690660807864</v>
      </c>
      <c r="U2093">
        <v>0</v>
      </c>
      <c r="V2093">
        <v>0.20937126643776086</v>
      </c>
      <c r="W2093">
        <v>8.202861665354047E-2</v>
      </c>
      <c r="X2093">
        <v>2.981115191777102E-2</v>
      </c>
      <c r="Y2093">
        <v>3.5908316776271398E-3</v>
      </c>
    </row>
    <row r="2094" spans="1:25" x14ac:dyDescent="0.25">
      <c r="A2094" s="1095"/>
      <c r="B2094" s="1454">
        <v>1844</v>
      </c>
      <c r="C2094" s="1099">
        <v>1.0114375547375567</v>
      </c>
      <c r="D2094" s="1099">
        <v>0.96968489553325476</v>
      </c>
      <c r="E2094" s="1099">
        <v>0.9765019813986896</v>
      </c>
      <c r="F2094" s="1099">
        <v>0.99476973357971521</v>
      </c>
      <c r="G2094" s="1099">
        <v>0.9869970391847589</v>
      </c>
      <c r="H2094" s="1099">
        <v>1.0447161125108209</v>
      </c>
      <c r="I2094" s="1099">
        <v>0.97228018085954537</v>
      </c>
      <c r="K2094">
        <v>1.7399810476862716</v>
      </c>
      <c r="L2094">
        <v>0</v>
      </c>
      <c r="M2094">
        <v>1.5193362496689928E-3</v>
      </c>
      <c r="N2094">
        <v>0.13019134334082946</v>
      </c>
      <c r="O2094">
        <v>0.12782323277323673</v>
      </c>
      <c r="P2094">
        <v>1.8003178016172433E-2</v>
      </c>
      <c r="Q2094">
        <v>8.7785424646271229E-4</v>
      </c>
      <c r="R2094">
        <v>1.5156088889672454E-3</v>
      </c>
      <c r="S2094">
        <v>0.10883439376643177</v>
      </c>
      <c r="T2094">
        <v>1.0263656029989452</v>
      </c>
      <c r="U2094">
        <v>0</v>
      </c>
      <c r="V2094">
        <v>0.20820008103485232</v>
      </c>
      <c r="W2094">
        <v>8.6741028474177653E-2</v>
      </c>
      <c r="X2094">
        <v>2.8823072620432631E-2</v>
      </c>
      <c r="Y2094">
        <v>4.1249877754328699E-3</v>
      </c>
    </row>
    <row r="2095" spans="1:25" x14ac:dyDescent="0.25">
      <c r="A2095" s="1095"/>
      <c r="B2095" s="1454">
        <v>1845</v>
      </c>
      <c r="C2095" s="1099">
        <v>1.0367107597944689</v>
      </c>
      <c r="D2095" s="1099">
        <v>1.035699699830422</v>
      </c>
      <c r="E2095" s="1099">
        <v>1.0257997033538151</v>
      </c>
      <c r="F2095" s="1099">
        <v>0.96695423455132279</v>
      </c>
      <c r="G2095" s="1099">
        <v>0.96257060104517433</v>
      </c>
      <c r="H2095" s="1099">
        <v>1.0150140533249083</v>
      </c>
      <c r="I2095" s="1099">
        <v>0.96732325828946353</v>
      </c>
      <c r="K2095">
        <v>1.6756835913227137</v>
      </c>
      <c r="L2095">
        <v>0</v>
      </c>
      <c r="M2095">
        <v>1.2501519812005571E-3</v>
      </c>
      <c r="N2095">
        <v>0.12431500021440736</v>
      </c>
      <c r="O2095">
        <v>0.12171227152224258</v>
      </c>
      <c r="P2095">
        <v>1.8039872434519866E-2</v>
      </c>
      <c r="Q2095">
        <v>8.7790528568882525E-4</v>
      </c>
      <c r="R2095">
        <v>1.2469543804978181E-3</v>
      </c>
      <c r="S2095">
        <v>9.9587629869887354E-2</v>
      </c>
      <c r="T2095">
        <v>0.99625117549149222</v>
      </c>
      <c r="U2095">
        <v>0</v>
      </c>
      <c r="V2095">
        <v>0.20174068039590803</v>
      </c>
      <c r="W2095">
        <v>8.0436241997301205E-2</v>
      </c>
      <c r="X2095">
        <v>2.9332212946653721E-2</v>
      </c>
      <c r="Y2095">
        <v>3.3937987653140031E-3</v>
      </c>
    </row>
    <row r="2096" spans="1:25" x14ac:dyDescent="0.25">
      <c r="A2096" s="1095"/>
      <c r="B2096" s="1454">
        <v>1846</v>
      </c>
      <c r="C2096" s="1099">
        <v>1.0095956032209414</v>
      </c>
      <c r="D2096" s="1099">
        <v>0.99872141109818191</v>
      </c>
      <c r="E2096" s="1099">
        <v>0.97212713123657013</v>
      </c>
      <c r="F2096" s="1099">
        <v>1.0242639917532355</v>
      </c>
      <c r="G2096" s="1099">
        <v>1.000786378329739</v>
      </c>
      <c r="H2096" s="1099">
        <v>1.0214486057727146</v>
      </c>
      <c r="I2096" s="1099">
        <v>0.96731880887453481</v>
      </c>
      <c r="K2096">
        <v>1.7612607525941428</v>
      </c>
      <c r="L2096">
        <v>0</v>
      </c>
      <c r="M2096">
        <v>1.479330677167751E-3</v>
      </c>
      <c r="N2096">
        <v>0.12508768077164822</v>
      </c>
      <c r="O2096">
        <v>0.12877599310812812</v>
      </c>
      <c r="P2096">
        <v>1.8321087735824443E-2</v>
      </c>
      <c r="Q2096">
        <v>8.6514999075517805E-4</v>
      </c>
      <c r="R2096">
        <v>1.4756068226035638E-3</v>
      </c>
      <c r="S2096">
        <v>0.10511410026920978</v>
      </c>
      <c r="T2096">
        <v>1.0569333017998648</v>
      </c>
      <c r="U2096">
        <v>0</v>
      </c>
      <c r="V2096">
        <v>0.2096548089139256</v>
      </c>
      <c r="W2096">
        <v>8.3562116811095571E-2</v>
      </c>
      <c r="X2096">
        <v>2.8934121710783637E-2</v>
      </c>
      <c r="Y2096">
        <v>4.0161153374685616E-3</v>
      </c>
    </row>
    <row r="2097" spans="1:25" x14ac:dyDescent="0.25">
      <c r="A2097" s="1095"/>
      <c r="B2097" s="1454">
        <v>1847</v>
      </c>
      <c r="C2097" s="1099">
        <v>0.9712426402487877</v>
      </c>
      <c r="D2097" s="1099">
        <v>0.98921673953806855</v>
      </c>
      <c r="E2097" s="1099">
        <v>0.96813477411107329</v>
      </c>
      <c r="F2097" s="1099">
        <v>1.0131256867025855</v>
      </c>
      <c r="G2097" s="1099">
        <v>0.9988460163496381</v>
      </c>
      <c r="H2097" s="1099">
        <v>1.0131699768465494</v>
      </c>
      <c r="I2097" s="1099">
        <v>1.0154999535928604</v>
      </c>
      <c r="K2097">
        <v>1.7702376779317215</v>
      </c>
      <c r="L2097">
        <v>0</v>
      </c>
      <c r="M2097">
        <v>1.5401661080416996E-3</v>
      </c>
      <c r="N2097">
        <v>0.12866351074181878</v>
      </c>
      <c r="O2097">
        <v>0.13039111208837825</v>
      </c>
      <c r="P2097">
        <v>1.8277041210243605E-2</v>
      </c>
      <c r="Q2097">
        <v>8.9897093788520192E-4</v>
      </c>
      <c r="R2097">
        <v>1.5362482098719848E-3</v>
      </c>
      <c r="S2097">
        <v>0.11445882367123617</v>
      </c>
      <c r="T2097">
        <v>1.0455635848955378</v>
      </c>
      <c r="U2097">
        <v>0</v>
      </c>
      <c r="V2097">
        <v>0.21256826865249773</v>
      </c>
      <c r="W2097">
        <v>8.6159955300551982E-2</v>
      </c>
      <c r="X2097">
        <v>2.9079167128554479E-2</v>
      </c>
      <c r="Y2097">
        <v>4.1811612031852638E-3</v>
      </c>
    </row>
    <row r="2098" spans="1:25" x14ac:dyDescent="0.25">
      <c r="A2098" s="1095"/>
      <c r="B2098" s="1454">
        <v>1848</v>
      </c>
      <c r="C2098" s="1099">
        <v>1.0120630463213569</v>
      </c>
      <c r="D2098" s="1099">
        <v>1.0412141240966664</v>
      </c>
      <c r="E2098" s="1099">
        <v>1.029635643736164</v>
      </c>
      <c r="F2098" s="1099">
        <v>1.0072254873137352</v>
      </c>
      <c r="G2098" s="1099">
        <v>1.0417519096433576</v>
      </c>
      <c r="H2098" s="1099">
        <v>1.0246233076926146</v>
      </c>
      <c r="I2098" s="1099">
        <v>0.98506862778261861</v>
      </c>
      <c r="K2098">
        <v>1.742746097385218</v>
      </c>
      <c r="L2098">
        <v>0</v>
      </c>
      <c r="M2098">
        <v>1.2802856709136028E-3</v>
      </c>
      <c r="N2098">
        <v>0.12879572426624691</v>
      </c>
      <c r="O2098">
        <v>0.12569882906595742</v>
      </c>
      <c r="P2098">
        <v>1.8840592133430097E-2</v>
      </c>
      <c r="Q2098">
        <v>9.0090135805347268E-4</v>
      </c>
      <c r="R2098">
        <v>1.2770431592898758E-3</v>
      </c>
      <c r="S2098">
        <v>0.10428822481067027</v>
      </c>
      <c r="T2098">
        <v>1.0376308920980695</v>
      </c>
      <c r="U2098">
        <v>0</v>
      </c>
      <c r="V2098">
        <v>0.20947687603445497</v>
      </c>
      <c r="W2098">
        <v>8.3149744279423773E-2</v>
      </c>
      <c r="X2098">
        <v>3.0491865348109815E-2</v>
      </c>
      <c r="Y2098">
        <v>3.4756905024227228E-3</v>
      </c>
    </row>
    <row r="2099" spans="1:25" x14ac:dyDescent="0.25">
      <c r="A2099" s="1095"/>
      <c r="B2099" s="1454">
        <v>1849</v>
      </c>
      <c r="C2099" s="1099">
        <v>1.0096440518619776</v>
      </c>
      <c r="D2099" s="1099">
        <v>0.97504111596818388</v>
      </c>
      <c r="E2099" s="1099">
        <v>1.0081461875485873</v>
      </c>
      <c r="F2099" s="1099">
        <v>0.96868044588659319</v>
      </c>
      <c r="G2099" s="1099">
        <v>1.0216589054175071</v>
      </c>
      <c r="H2099" s="1099">
        <v>0.98723576398264923</v>
      </c>
      <c r="I2099" s="1099">
        <v>1.0176628382081703</v>
      </c>
      <c r="K2099">
        <v>1.7033247311462434</v>
      </c>
      <c r="L2099">
        <v>0</v>
      </c>
      <c r="M2099">
        <v>1.3392737327834112E-3</v>
      </c>
      <c r="N2099">
        <v>0.12626269223383055</v>
      </c>
      <c r="O2099">
        <v>0.12578201541846515</v>
      </c>
      <c r="P2099">
        <v>1.8068536258954496E-2</v>
      </c>
      <c r="Q2099">
        <v>9.068671971090808E-4</v>
      </c>
      <c r="R2099">
        <v>1.3357843978745398E-3</v>
      </c>
      <c r="S2099">
        <v>0.10949802299904249</v>
      </c>
      <c r="T2099">
        <v>0.99852942335625094</v>
      </c>
      <c r="U2099">
        <v>0</v>
      </c>
      <c r="V2099">
        <v>0.20857464849417068</v>
      </c>
      <c r="W2099">
        <v>8.2546662576213709E-2</v>
      </c>
      <c r="X2099">
        <v>2.9523787157308676E-2</v>
      </c>
      <c r="Y2099">
        <v>3.6355647898060821E-3</v>
      </c>
    </row>
    <row r="2100" spans="1:25" x14ac:dyDescent="0.25">
      <c r="A2100" s="1095"/>
      <c r="B2100" s="1454">
        <v>1850</v>
      </c>
      <c r="C2100" s="1099">
        <v>0.98869097174745835</v>
      </c>
      <c r="D2100" s="1099">
        <v>1.0047103283914192</v>
      </c>
      <c r="E2100" s="1099">
        <v>1.0145728991302263</v>
      </c>
      <c r="F2100" s="1099">
        <v>0.96426476671884831</v>
      </c>
      <c r="G2100" s="1099">
        <v>1.0023976343568268</v>
      </c>
      <c r="H2100" s="1099">
        <v>1.0476305500442948</v>
      </c>
      <c r="I2100" s="1099">
        <v>1.026073796829728</v>
      </c>
      <c r="K2100">
        <v>1.7176925120970348</v>
      </c>
      <c r="L2100">
        <v>0</v>
      </c>
      <c r="M2100">
        <v>1.4040454171710441E-3</v>
      </c>
      <c r="N2100">
        <v>0.13497997529646058</v>
      </c>
      <c r="O2100">
        <v>0.12518475914428726</v>
      </c>
      <c r="P2100">
        <v>1.8159767608438408E-2</v>
      </c>
      <c r="Q2100">
        <v>9.2112934901648978E-4</v>
      </c>
      <c r="R2100">
        <v>1.4005713076462229E-3</v>
      </c>
      <c r="S2100">
        <v>0.11488406399640712</v>
      </c>
      <c r="T2100">
        <v>0.9937955511410308</v>
      </c>
      <c r="U2100">
        <v>0</v>
      </c>
      <c r="V2100">
        <v>0.20830255494989972</v>
      </c>
      <c r="W2100">
        <v>8.7912320017973125E-2</v>
      </c>
      <c r="X2100">
        <v>2.9743971301841098E-2</v>
      </c>
      <c r="Y2100">
        <v>3.8118934012055365E-3</v>
      </c>
    </row>
    <row r="2101" spans="1:25" x14ac:dyDescent="0.25">
      <c r="A2101" s="1095"/>
      <c r="B2101" s="1454">
        <v>1851</v>
      </c>
      <c r="C2101" s="1099">
        <v>0.99190557276939173</v>
      </c>
      <c r="D2101" s="1099">
        <v>1.0175813885186156</v>
      </c>
      <c r="E2101" s="1099">
        <v>0.99651807517345226</v>
      </c>
      <c r="F2101" s="1099">
        <v>0.96519894382344373</v>
      </c>
      <c r="G2101" s="1099">
        <v>0.98336291198457892</v>
      </c>
      <c r="H2101" s="1099">
        <v>0.98522481876779</v>
      </c>
      <c r="I2101" s="1099">
        <v>0.99186140826752944</v>
      </c>
      <c r="K2101">
        <v>1.6879364189669039</v>
      </c>
      <c r="L2101">
        <v>0</v>
      </c>
      <c r="M2101">
        <v>1.3567537526119715E-3</v>
      </c>
      <c r="N2101">
        <v>0.12349195115155741</v>
      </c>
      <c r="O2101">
        <v>0.12445325971132651</v>
      </c>
      <c r="P2101">
        <v>1.7789374252654342E-2</v>
      </c>
      <c r="Q2101">
        <v>8.9658973178677608E-4</v>
      </c>
      <c r="R2101">
        <v>1.3531768987275971E-3</v>
      </c>
      <c r="S2101">
        <v>0.10552619328375627</v>
      </c>
      <c r="T2101">
        <v>0.99527350242401169</v>
      </c>
      <c r="U2101">
        <v>0</v>
      </c>
      <c r="V2101">
        <v>0.20673173572719858</v>
      </c>
      <c r="W2101">
        <v>8.1294109442754905E-2</v>
      </c>
      <c r="X2101">
        <v>2.88003786520496E-2</v>
      </c>
      <c r="Y2101">
        <v>3.6829014436917384E-3</v>
      </c>
    </row>
    <row r="2102" spans="1:25" x14ac:dyDescent="0.25">
      <c r="A2102" s="1095"/>
      <c r="B2102" s="1454">
        <v>1852</v>
      </c>
      <c r="C2102" s="1099">
        <v>1.0009512436213093</v>
      </c>
      <c r="D2102" s="1099">
        <v>1.0048067874512732</v>
      </c>
      <c r="E2102" s="1099">
        <v>0.96517616191192512</v>
      </c>
      <c r="F2102" s="1099">
        <v>1.0035407741755686</v>
      </c>
      <c r="G2102" s="1099">
        <v>1.0184048025879726</v>
      </c>
      <c r="H2102" s="1099">
        <v>0.98529784702206002</v>
      </c>
      <c r="I2102" s="1099">
        <v>1.0295518182632022</v>
      </c>
      <c r="K2102">
        <v>1.7346247792277696</v>
      </c>
      <c r="L2102">
        <v>0</v>
      </c>
      <c r="M2102">
        <v>1.4513180808526395E-3</v>
      </c>
      <c r="N2102">
        <v>0.1201506637546258</v>
      </c>
      <c r="O2102">
        <v>0.12735763902330013</v>
      </c>
      <c r="P2102">
        <v>1.8006508753433615E-2</v>
      </c>
      <c r="Q2102">
        <v>8.6414742810848779E-4</v>
      </c>
      <c r="R2102">
        <v>1.4475170383449311E-3</v>
      </c>
      <c r="S2102">
        <v>0.10963788928320332</v>
      </c>
      <c r="T2102">
        <v>1.0357630080248621</v>
      </c>
      <c r="U2102">
        <v>0</v>
      </c>
      <c r="V2102">
        <v>0.20995498230531007</v>
      </c>
      <c r="W2102">
        <v>8.0604699094780824E-2</v>
      </c>
      <c r="X2102">
        <v>2.8349378398142212E-2</v>
      </c>
      <c r="Y2102">
        <v>3.9396642045114562E-3</v>
      </c>
    </row>
    <row r="2103" spans="1:25" x14ac:dyDescent="0.25">
      <c r="A2103" s="1095"/>
      <c r="B2103" s="1454">
        <v>1853</v>
      </c>
      <c r="C2103" s="1099">
        <v>1.0061248443008841</v>
      </c>
      <c r="D2103" s="1099">
        <v>0.96797167657692063</v>
      </c>
      <c r="E2103" s="1099">
        <v>1.0285931530867354</v>
      </c>
      <c r="F2103" s="1099">
        <v>0.99891116017871218</v>
      </c>
      <c r="G2103" s="1099">
        <v>0.95690778285294009</v>
      </c>
      <c r="H2103" s="1099">
        <v>1.0311842767674788</v>
      </c>
      <c r="I2103" s="1099">
        <v>0.99563551545847828</v>
      </c>
      <c r="K2103">
        <v>1.7547314280880828</v>
      </c>
      <c r="L2103">
        <v>0</v>
      </c>
      <c r="M2103">
        <v>1.3544182803907991E-3</v>
      </c>
      <c r="N2103">
        <v>0.13583236151054764</v>
      </c>
      <c r="O2103">
        <v>0.12870913901089573</v>
      </c>
      <c r="P2103">
        <v>1.8779055605666985E-2</v>
      </c>
      <c r="Q2103">
        <v>9.3205530207032079E-4</v>
      </c>
      <c r="R2103">
        <v>1.3510527656328286E-3</v>
      </c>
      <c r="S2103">
        <v>0.11129350655715307</v>
      </c>
      <c r="T2103">
        <v>1.0290956360818579</v>
      </c>
      <c r="U2103">
        <v>0</v>
      </c>
      <c r="V2103">
        <v>0.20761047666790242</v>
      </c>
      <c r="W2103">
        <v>8.774567421265482E-2</v>
      </c>
      <c r="X2103">
        <v>3.1059768400462852E-2</v>
      </c>
      <c r="Y2103">
        <v>3.6771202536280655E-3</v>
      </c>
    </row>
    <row r="2104" spans="1:25" x14ac:dyDescent="0.25">
      <c r="A2104" s="1095"/>
      <c r="B2104" s="1454">
        <v>1854</v>
      </c>
      <c r="C2104" s="1099">
        <v>1.0206135431628602</v>
      </c>
      <c r="D2104" s="1099">
        <v>0.98458693547835352</v>
      </c>
      <c r="E2104" s="1099">
        <v>0.98501437742708342</v>
      </c>
      <c r="F2104" s="1099">
        <v>1.0074004468083593</v>
      </c>
      <c r="G2104" s="1099">
        <v>0.98331109082614598</v>
      </c>
      <c r="H2104" s="1099">
        <v>0.97868260826865039</v>
      </c>
      <c r="I2104" s="1099">
        <v>1.0255140850298845</v>
      </c>
      <c r="K2104">
        <v>1.7356070469847267</v>
      </c>
      <c r="L2104">
        <v>0</v>
      </c>
      <c r="M2104">
        <v>1.3760559560481325E-3</v>
      </c>
      <c r="N2104">
        <v>0.12096952175680681</v>
      </c>
      <c r="O2104">
        <v>0.12765341861945348</v>
      </c>
      <c r="P2104">
        <v>1.827347263900957E-2</v>
      </c>
      <c r="Q2104">
        <v>8.7241543516978918E-4</v>
      </c>
      <c r="R2104">
        <v>1.3724486374038934E-3</v>
      </c>
      <c r="S2104">
        <v>0.10816002887585964</v>
      </c>
      <c r="T2104">
        <v>1.0391376484646355</v>
      </c>
      <c r="U2104">
        <v>0</v>
      </c>
      <c r="V2104">
        <v>0.20749219529443333</v>
      </c>
      <c r="W2104">
        <v>8.0183958385790427E-2</v>
      </c>
      <c r="X2104">
        <v>2.9132642068768748E-2</v>
      </c>
      <c r="Y2104">
        <v>3.7353527634416701E-3</v>
      </c>
    </row>
    <row r="2105" spans="1:25" x14ac:dyDescent="0.25">
      <c r="A2105" s="1095"/>
      <c r="B2105" s="1454">
        <v>1855</v>
      </c>
      <c r="C2105" s="1099">
        <v>1.0050642940348851</v>
      </c>
      <c r="D2105" s="1099">
        <v>0.95790200290912286</v>
      </c>
      <c r="E2105" s="1099">
        <v>0.99583871067199803</v>
      </c>
      <c r="F2105" s="1099">
        <v>0.96337939125279692</v>
      </c>
      <c r="G2105" s="1099">
        <v>0.97913919627636681</v>
      </c>
      <c r="H2105" s="1099">
        <v>1.0237574037397401</v>
      </c>
      <c r="I2105" s="1099">
        <v>0.96945110439435644</v>
      </c>
      <c r="K2105">
        <v>1.7047462059489655</v>
      </c>
      <c r="L2105">
        <v>0</v>
      </c>
      <c r="M2105">
        <v>1.4448815712400308E-3</v>
      </c>
      <c r="N2105">
        <v>0.13126072233468128</v>
      </c>
      <c r="O2105">
        <v>0.12635399412229345</v>
      </c>
      <c r="P2105">
        <v>1.7798997575069829E-2</v>
      </c>
      <c r="Q2105">
        <v>9.0586389224458163E-4</v>
      </c>
      <c r="R2105">
        <v>1.4412600706270771E-3</v>
      </c>
      <c r="S2105">
        <v>0.10837230243419278</v>
      </c>
      <c r="T2105">
        <v>0.99341678488508012</v>
      </c>
      <c r="U2105">
        <v>0</v>
      </c>
      <c r="V2105">
        <v>0.20711336721083864</v>
      </c>
      <c r="W2105">
        <v>8.6443253347135665E-2</v>
      </c>
      <c r="X2105">
        <v>2.9161906847046695E-2</v>
      </c>
      <c r="Y2105">
        <v>3.9226348009923102E-3</v>
      </c>
    </row>
    <row r="2106" spans="1:25" x14ac:dyDescent="0.25">
      <c r="A2106" s="1095"/>
      <c r="B2106" s="1454">
        <v>1856</v>
      </c>
      <c r="C2106" s="1099">
        <v>1.0003791240566373</v>
      </c>
      <c r="D2106" s="1099">
        <v>1.0348676963773717</v>
      </c>
      <c r="E2106" s="1099">
        <v>1.0112629504806181</v>
      </c>
      <c r="F2106" s="1099">
        <v>0.9823430294721327</v>
      </c>
      <c r="G2106" s="1099">
        <v>0.9933778922688471</v>
      </c>
      <c r="H2106" s="1099">
        <v>0.97553261398856972</v>
      </c>
      <c r="I2106" s="1099">
        <v>0.99974625791990201</v>
      </c>
      <c r="K2106">
        <v>1.7016078325454616</v>
      </c>
      <c r="L2106">
        <v>0</v>
      </c>
      <c r="M2106">
        <v>1.2820211881477467E-3</v>
      </c>
      <c r="N2106">
        <v>0.12200047803826058</v>
      </c>
      <c r="O2106">
        <v>0.12463192626296138</v>
      </c>
      <c r="P2106">
        <v>1.8203070686818219E-2</v>
      </c>
      <c r="Q2106">
        <v>8.9660010928241634E-4</v>
      </c>
      <c r="R2106">
        <v>1.2786046238620191E-3</v>
      </c>
      <c r="S2106">
        <v>0.1038863952409646</v>
      </c>
      <c r="T2106">
        <v>1.0125228737139931</v>
      </c>
      <c r="U2106">
        <v>0</v>
      </c>
      <c r="V2106">
        <v>0.20694723028244022</v>
      </c>
      <c r="W2106">
        <v>7.9613668963620113E-2</v>
      </c>
      <c r="X2106">
        <v>2.9429065517153651E-2</v>
      </c>
      <c r="Y2106">
        <v>3.4799402942514387E-3</v>
      </c>
    </row>
    <row r="2107" spans="1:25" x14ac:dyDescent="0.25">
      <c r="A2107" s="1095"/>
      <c r="B2107" s="1454">
        <v>1857</v>
      </c>
      <c r="C2107" s="1099">
        <v>1.0217986898055305</v>
      </c>
      <c r="D2107" s="1099">
        <v>0.98479654567572117</v>
      </c>
      <c r="E2107" s="1099">
        <v>0.99154798153179902</v>
      </c>
      <c r="F2107" s="1099">
        <v>1.0284750292181548</v>
      </c>
      <c r="G2107" s="1099">
        <v>1.0260148091771972</v>
      </c>
      <c r="H2107" s="1099">
        <v>1.0027987049130218</v>
      </c>
      <c r="I2107" s="1099">
        <v>1.0076020499492604</v>
      </c>
      <c r="K2107">
        <v>1.7687260012584431</v>
      </c>
      <c r="L2107">
        <v>0</v>
      </c>
      <c r="M2107">
        <v>1.3918291633325105E-3</v>
      </c>
      <c r="N2107">
        <v>0.12480598027196403</v>
      </c>
      <c r="O2107">
        <v>0.12919695204522258</v>
      </c>
      <c r="P2107">
        <v>1.8694514592464299E-2</v>
      </c>
      <c r="Q2107">
        <v>8.7728912518202551E-4</v>
      </c>
      <c r="R2107">
        <v>1.3882747458330508E-3</v>
      </c>
      <c r="S2107">
        <v>0.10795582379340918</v>
      </c>
      <c r="T2107">
        <v>1.0606740636469634</v>
      </c>
      <c r="U2107">
        <v>0</v>
      </c>
      <c r="V2107">
        <v>0.21056761860920495</v>
      </c>
      <c r="W2107">
        <v>8.2403331141491315E-2</v>
      </c>
      <c r="X2107">
        <v>2.9775556236530831E-2</v>
      </c>
      <c r="Y2107">
        <v>3.778426213510596E-3</v>
      </c>
    </row>
    <row r="2108" spans="1:25" x14ac:dyDescent="0.25">
      <c r="A2108" s="1095"/>
      <c r="B2108" s="1454">
        <v>1858</v>
      </c>
      <c r="C2108" s="1099">
        <v>0.97323475682234362</v>
      </c>
      <c r="D2108" s="1099">
        <v>0.99000421622076451</v>
      </c>
      <c r="E2108" s="1099">
        <v>1.0215183145694118</v>
      </c>
      <c r="F2108" s="1099">
        <v>1.0040283226228195</v>
      </c>
      <c r="G2108" s="1099">
        <v>0.99988642528577532</v>
      </c>
      <c r="H2108" s="1099">
        <v>0.97654116999189877</v>
      </c>
      <c r="I2108" s="1099">
        <v>1.0324351657232884</v>
      </c>
      <c r="K2108">
        <v>1.7585893513994106</v>
      </c>
      <c r="L2108">
        <v>0</v>
      </c>
      <c r="M2108">
        <v>1.3248294802121192E-3</v>
      </c>
      <c r="N2108">
        <v>0.13003985926526329</v>
      </c>
      <c r="O2108">
        <v>0.12976721596861648</v>
      </c>
      <c r="P2108">
        <v>1.8849632583799326E-2</v>
      </c>
      <c r="Q2108">
        <v>9.4803120490085724E-4</v>
      </c>
      <c r="R2108">
        <v>1.3213302394230969E-3</v>
      </c>
      <c r="S2108">
        <v>0.11339844879232756</v>
      </c>
      <c r="T2108">
        <v>1.0345733101290724</v>
      </c>
      <c r="U2108">
        <v>0</v>
      </c>
      <c r="V2108">
        <v>0.21209364077231396</v>
      </c>
      <c r="W2108">
        <v>8.4350845943999275E-2</v>
      </c>
      <c r="X2108">
        <v>3.0975640644590883E-2</v>
      </c>
      <c r="Y2108">
        <v>3.5962253353133073E-3</v>
      </c>
    </row>
    <row r="2109" spans="1:25" x14ac:dyDescent="0.25">
      <c r="A2109" s="1095"/>
      <c r="B2109" s="1454">
        <v>1859</v>
      </c>
      <c r="C2109" s="1099">
        <v>1.0062596190896196</v>
      </c>
      <c r="D2109" s="1099">
        <v>1.0462783989375699</v>
      </c>
      <c r="E2109" s="1099">
        <v>0.99370347353744948</v>
      </c>
      <c r="F2109" s="1099">
        <v>0.98762429974877575</v>
      </c>
      <c r="G2109" s="1099">
        <v>1.0118394154772774</v>
      </c>
      <c r="H2109" s="1099">
        <v>0.97001015054959105</v>
      </c>
      <c r="I2109" s="1099">
        <v>0.99730716897878258</v>
      </c>
      <c r="K2109">
        <v>1.6987814313538696</v>
      </c>
      <c r="L2109">
        <v>0</v>
      </c>
      <c r="M2109">
        <v>1.3070821747962326E-3</v>
      </c>
      <c r="N2109">
        <v>0.11795754509082727</v>
      </c>
      <c r="O2109">
        <v>0.12417107298813515</v>
      </c>
      <c r="P2109">
        <v>1.802601312559295E-2</v>
      </c>
      <c r="Q2109">
        <v>8.714693991175676E-4</v>
      </c>
      <c r="R2109">
        <v>1.3035749478062478E-3</v>
      </c>
      <c r="S2109">
        <v>0.10199068942144755</v>
      </c>
      <c r="T2109">
        <v>1.0184806470206289</v>
      </c>
      <c r="U2109">
        <v>0</v>
      </c>
      <c r="V2109">
        <v>0.2072548675195659</v>
      </c>
      <c r="W2109">
        <v>7.7781348732904099E-2</v>
      </c>
      <c r="X2109">
        <v>2.8703383998078015E-2</v>
      </c>
      <c r="Y2109">
        <v>3.5479012845625528E-3</v>
      </c>
    </row>
    <row r="2110" spans="1:25" x14ac:dyDescent="0.25">
      <c r="A2110" s="1095"/>
      <c r="B2110" s="1454">
        <v>1860</v>
      </c>
      <c r="C2110" s="1099">
        <v>0.99327516763726331</v>
      </c>
      <c r="D2110" s="1099">
        <v>0.97712987399985796</v>
      </c>
      <c r="E2110" s="1099">
        <v>1.0240878749329645</v>
      </c>
      <c r="F2110" s="1099">
        <v>1.0143154373749403</v>
      </c>
      <c r="G2110" s="1099">
        <v>1.0034158840998608</v>
      </c>
      <c r="H2110" s="1099">
        <v>1.022422373526495</v>
      </c>
      <c r="I2110" s="1099">
        <v>1.0181048904963264</v>
      </c>
      <c r="K2110">
        <v>1.7782085005722614</v>
      </c>
      <c r="L2110">
        <v>0</v>
      </c>
      <c r="M2110">
        <v>1.3658784210736385E-3</v>
      </c>
      <c r="N2110">
        <v>0.13512995088685006</v>
      </c>
      <c r="O2110">
        <v>0.13010740174608151</v>
      </c>
      <c r="P2110">
        <v>1.9030553378982063E-2</v>
      </c>
      <c r="Q2110">
        <v>9.3624100139610273E-4</v>
      </c>
      <c r="R2110">
        <v>1.362450167993816E-3</v>
      </c>
      <c r="S2110">
        <v>0.11398395923195115</v>
      </c>
      <c r="T2110">
        <v>1.04509766785822</v>
      </c>
      <c r="U2110">
        <v>0</v>
      </c>
      <c r="V2110">
        <v>0.21146257094762311</v>
      </c>
      <c r="W2110">
        <v>8.7521171018675376E-2</v>
      </c>
      <c r="X2110">
        <v>3.1234272529858952E-2</v>
      </c>
      <c r="Y2110">
        <v>3.7081402257019944E-3</v>
      </c>
    </row>
    <row r="2111" spans="1:25" x14ac:dyDescent="0.25">
      <c r="A2111" s="1095"/>
      <c r="B2111" s="1454">
        <v>1861</v>
      </c>
      <c r="C2111" s="1099">
        <v>1.0154348655052743</v>
      </c>
      <c r="D2111" s="1099">
        <v>0.98686342523351711</v>
      </c>
      <c r="E2111" s="1099">
        <v>1.0128026060294066</v>
      </c>
      <c r="F2111" s="1099">
        <v>1.0156580985279771</v>
      </c>
      <c r="G2111" s="1099">
        <v>1.0001988391157361</v>
      </c>
      <c r="H2111" s="1099">
        <v>0.98123904416083696</v>
      </c>
      <c r="I2111" s="1099">
        <v>0.99086771089408487</v>
      </c>
      <c r="K2111">
        <v>1.7497675727182143</v>
      </c>
      <c r="L2111">
        <v>0</v>
      </c>
      <c r="M2111">
        <v>1.3076137577474132E-3</v>
      </c>
      <c r="N2111">
        <v>0.12502185444633498</v>
      </c>
      <c r="O2111">
        <v>0.12854614007223933</v>
      </c>
      <c r="P2111">
        <v>1.8743755618160548E-2</v>
      </c>
      <c r="Q2111">
        <v>9.0167763677602387E-4</v>
      </c>
      <c r="R2111">
        <v>1.3041942493651113E-3</v>
      </c>
      <c r="S2111">
        <v>0.10513089763949676</v>
      </c>
      <c r="T2111">
        <v>1.0468155316151797</v>
      </c>
      <c r="U2111">
        <v>0</v>
      </c>
      <c r="V2111">
        <v>0.2091732246409253</v>
      </c>
      <c r="W2111">
        <v>8.1511404888425995E-2</v>
      </c>
      <c r="X2111">
        <v>3.0376918849803192E-2</v>
      </c>
      <c r="Y2111">
        <v>3.5495868192530751E-3</v>
      </c>
    </row>
    <row r="2112" spans="1:25" x14ac:dyDescent="0.25">
      <c r="A2112" s="1095"/>
      <c r="B2112" s="1454">
        <v>1862</v>
      </c>
      <c r="C2112" s="1099">
        <v>1.041844026697442</v>
      </c>
      <c r="D2112" s="1099">
        <v>0.9750575797157327</v>
      </c>
      <c r="E2112" s="1099">
        <v>0.98724085745963619</v>
      </c>
      <c r="F2112" s="1099">
        <v>1.0285637105798668</v>
      </c>
      <c r="G2112" s="1099">
        <v>0.99627117231864526</v>
      </c>
      <c r="H2112" s="1099">
        <v>1.0165675273220018</v>
      </c>
      <c r="I2112" s="1099">
        <v>0.99413459277127736</v>
      </c>
      <c r="K2112">
        <v>1.763163896055016</v>
      </c>
      <c r="L2112">
        <v>0</v>
      </c>
      <c r="M2112">
        <v>1.4066746503893508E-3</v>
      </c>
      <c r="N2112">
        <v>0.12451057882528738</v>
      </c>
      <c r="O2112">
        <v>0.12863567899873618</v>
      </c>
      <c r="P2112">
        <v>1.8575295430184099E-2</v>
      </c>
      <c r="Q2112">
        <v>8.5996637676241606E-4</v>
      </c>
      <c r="R2112">
        <v>1.4031433776643461E-3</v>
      </c>
      <c r="S2112">
        <v>0.10614778740910535</v>
      </c>
      <c r="T2112">
        <v>1.0608986166353633</v>
      </c>
      <c r="U2112">
        <v>0</v>
      </c>
      <c r="V2112">
        <v>0.2078101792369588</v>
      </c>
      <c r="W2112">
        <v>8.2420784077390438E-2</v>
      </c>
      <c r="X2112">
        <v>2.9489646610040096E-2</v>
      </c>
      <c r="Y2112">
        <v>3.8188937279122143E-3</v>
      </c>
    </row>
    <row r="2113" spans="1:25" x14ac:dyDescent="0.25">
      <c r="A2113" s="1095"/>
      <c r="B2113" s="1454">
        <v>1863</v>
      </c>
      <c r="C2113" s="1099">
        <v>1.01013747154922</v>
      </c>
      <c r="D2113" s="1099">
        <v>1.025232952844007</v>
      </c>
      <c r="E2113" s="1099">
        <v>0.97285757888324442</v>
      </c>
      <c r="F2113" s="1099">
        <v>0.99771168799964771</v>
      </c>
      <c r="G2113" s="1099">
        <v>1.0179448218529989</v>
      </c>
      <c r="H2113" s="1099">
        <v>0.97976431817621235</v>
      </c>
      <c r="I2113" s="1099">
        <v>0.98117302001241546</v>
      </c>
      <c r="K2113">
        <v>1.7126652734205223</v>
      </c>
      <c r="L2113">
        <v>0</v>
      </c>
      <c r="M2113">
        <v>1.3912855826430748E-3</v>
      </c>
      <c r="N2113">
        <v>0.11788839742474505</v>
      </c>
      <c r="O2113">
        <v>0.12556561248878326</v>
      </c>
      <c r="P2113">
        <v>1.7903864625859432E-2</v>
      </c>
      <c r="Q2113">
        <v>8.5632944316099279E-4</v>
      </c>
      <c r="R2113">
        <v>1.3876080780028499E-3</v>
      </c>
      <c r="S2113">
        <v>0.10191377309535112</v>
      </c>
      <c r="T2113">
        <v>1.0295118384922481</v>
      </c>
      <c r="U2113">
        <v>0</v>
      </c>
      <c r="V2113">
        <v>0.20828890219319984</v>
      </c>
      <c r="W2113">
        <v>7.8717856912347173E-2</v>
      </c>
      <c r="X2113">
        <v>2.8245764486024352E-2</v>
      </c>
      <c r="Y2113">
        <v>3.77661176344378E-3</v>
      </c>
    </row>
    <row r="2114" spans="1:25" x14ac:dyDescent="0.25">
      <c r="A2114" s="1095"/>
      <c r="B2114" s="1454">
        <v>1864</v>
      </c>
      <c r="C2114" s="1099">
        <v>0.9649740078120822</v>
      </c>
      <c r="D2114" s="1099">
        <v>0.9994400023155452</v>
      </c>
      <c r="E2114" s="1099">
        <v>1.0163012315254274</v>
      </c>
      <c r="F2114" s="1099">
        <v>1.0197325192336473</v>
      </c>
      <c r="G2114" s="1099">
        <v>0.98295327734364135</v>
      </c>
      <c r="H2114" s="1099">
        <v>0.99386076713512617</v>
      </c>
      <c r="I2114" s="1099">
        <v>0.96010381515540444</v>
      </c>
      <c r="K2114">
        <v>1.7741913563712124</v>
      </c>
      <c r="L2114">
        <v>0</v>
      </c>
      <c r="M2114">
        <v>1.3679622455223704E-3</v>
      </c>
      <c r="N2114">
        <v>0.13218237892345597</v>
      </c>
      <c r="O2114">
        <v>0.13095461791946375</v>
      </c>
      <c r="P2114">
        <v>1.8920495257743676E-2</v>
      </c>
      <c r="Q2114">
        <v>9.4743865288728774E-4</v>
      </c>
      <c r="R2114">
        <v>1.3644080490159737E-3</v>
      </c>
      <c r="S2114">
        <v>0.10697407594823229</v>
      </c>
      <c r="T2114">
        <v>1.0509104296351155</v>
      </c>
      <c r="U2114">
        <v>0</v>
      </c>
      <c r="V2114">
        <v>0.2125326795446035</v>
      </c>
      <c r="W2114">
        <v>8.6002928090354189E-2</v>
      </c>
      <c r="X2114">
        <v>3.1056397663431899E-2</v>
      </c>
      <c r="Y2114">
        <v>3.7134689324290022E-3</v>
      </c>
    </row>
    <row r="2115" spans="1:25" x14ac:dyDescent="0.25">
      <c r="A2115" s="1095"/>
      <c r="B2115" s="1454">
        <v>1865</v>
      </c>
      <c r="C2115" s="1099">
        <v>0.99797206499028468</v>
      </c>
      <c r="D2115" s="1099">
        <v>1.0123295602079101</v>
      </c>
      <c r="E2115" s="1099">
        <v>0.96457131853845346</v>
      </c>
      <c r="F2115" s="1099">
        <v>1.0202435551133269</v>
      </c>
      <c r="G2115" s="1099">
        <v>0.97877981926828572</v>
      </c>
      <c r="H2115" s="1099">
        <v>1.0319769938497916</v>
      </c>
      <c r="I2115" s="1099">
        <v>1.0271673482202619</v>
      </c>
      <c r="K2115">
        <v>1.7649896319989655</v>
      </c>
      <c r="L2115">
        <v>0</v>
      </c>
      <c r="M2115">
        <v>1.5215836613872722E-3</v>
      </c>
      <c r="N2115">
        <v>0.1257520414696196</v>
      </c>
      <c r="O2115">
        <v>0.12842423394493599</v>
      </c>
      <c r="P2115">
        <v>1.8253319304208489E-2</v>
      </c>
      <c r="Q2115">
        <v>8.6359301233914062E-4</v>
      </c>
      <c r="R2115">
        <v>1.5177778841576946E-3</v>
      </c>
      <c r="S2115">
        <v>0.11262220101165524</v>
      </c>
      <c r="T2115">
        <v>1.0530210833155964</v>
      </c>
      <c r="U2115">
        <v>0</v>
      </c>
      <c r="V2115">
        <v>0.20893161923271439</v>
      </c>
      <c r="W2115">
        <v>8.4393647840092179E-2</v>
      </c>
      <c r="X2115">
        <v>2.8600807579700464E-2</v>
      </c>
      <c r="Y2115">
        <v>4.1308910653321991E-3</v>
      </c>
    </row>
    <row r="2116" spans="1:25" x14ac:dyDescent="0.25">
      <c r="A2116" s="1095"/>
      <c r="B2116" s="1454">
        <v>1866</v>
      </c>
      <c r="C2116" s="1099">
        <v>1.0110968362894346</v>
      </c>
      <c r="D2116" s="1099">
        <v>0.98663047726756603</v>
      </c>
      <c r="E2116" s="1099">
        <v>0.99668800460571494</v>
      </c>
      <c r="F2116" s="1099">
        <v>0.99045072850531291</v>
      </c>
      <c r="G2116" s="1099">
        <v>1.013776729200663</v>
      </c>
      <c r="H2116" s="1099">
        <v>1.0171913634983825</v>
      </c>
      <c r="I2116" s="1099">
        <v>0.97998281148742539</v>
      </c>
      <c r="K2116">
        <v>1.7279823759589703</v>
      </c>
      <c r="L2116">
        <v>0</v>
      </c>
      <c r="M2116">
        <v>1.4042709722880981E-3</v>
      </c>
      <c r="N2116">
        <v>0.12789639827394944</v>
      </c>
      <c r="O2116">
        <v>0.12679979518389378</v>
      </c>
      <c r="P2116">
        <v>1.8190336731243647E-2</v>
      </c>
      <c r="Q2116">
        <v>8.9066388994688114E-4</v>
      </c>
      <c r="R2116">
        <v>1.4007196374003373E-3</v>
      </c>
      <c r="S2116">
        <v>0.10669389564234531</v>
      </c>
      <c r="T2116">
        <v>1.0213070852297397</v>
      </c>
      <c r="U2116">
        <v>0</v>
      </c>
      <c r="V2116">
        <v>0.20883371500007863</v>
      </c>
      <c r="W2116">
        <v>8.4185008401556405E-2</v>
      </c>
      <c r="X2116">
        <v>2.9376731835202646E-2</v>
      </c>
      <c r="Y2116">
        <v>3.8122971058993458E-3</v>
      </c>
    </row>
    <row r="2117" spans="1:25" x14ac:dyDescent="0.25">
      <c r="A2117" s="1095"/>
      <c r="B2117" s="1454">
        <v>1867</v>
      </c>
      <c r="C2117" s="1099">
        <v>0.99829340495436447</v>
      </c>
      <c r="D2117" s="1099">
        <v>1.0254738117378064</v>
      </c>
      <c r="E2117" s="1099">
        <v>0.98161010489143397</v>
      </c>
      <c r="F2117" s="1099">
        <v>0.98489450307672055</v>
      </c>
      <c r="G2117" s="1099">
        <v>0.97223239904510017</v>
      </c>
      <c r="H2117" s="1099">
        <v>1.020532504316396</v>
      </c>
      <c r="I2117" s="1099">
        <v>1.0074050576807274</v>
      </c>
      <c r="K2117">
        <v>1.7154964699449076</v>
      </c>
      <c r="L2117">
        <v>0</v>
      </c>
      <c r="M2117">
        <v>1.4369354801184063E-3</v>
      </c>
      <c r="N2117">
        <v>0.12503716261614062</v>
      </c>
      <c r="O2117">
        <v>0.12522667198898155</v>
      </c>
      <c r="P2117">
        <v>1.790653332611964E-2</v>
      </c>
      <c r="Q2117">
        <v>8.7440306657542968E-4</v>
      </c>
      <c r="R2117">
        <v>1.4332813990868673E-3</v>
      </c>
      <c r="S2117">
        <v>0.10856741364304005</v>
      </c>
      <c r="T2117">
        <v>1.016024015227408</v>
      </c>
      <c r="U2117">
        <v>0</v>
      </c>
      <c r="V2117">
        <v>0.20641769332149695</v>
      </c>
      <c r="W2117">
        <v>8.3050265538172366E-2</v>
      </c>
      <c r="X2117">
        <v>2.8495045810773514E-2</v>
      </c>
      <c r="Y2117">
        <v>3.9009194872282262E-3</v>
      </c>
    </row>
    <row r="2118" spans="1:25" x14ac:dyDescent="0.25">
      <c r="A2118" s="1095"/>
      <c r="B2118" s="1454">
        <v>1868</v>
      </c>
      <c r="C2118" s="1099">
        <v>1.0369052303432349</v>
      </c>
      <c r="D2118" s="1099">
        <v>1.0105440614833414</v>
      </c>
      <c r="E2118" s="1099">
        <v>0.9686246810160225</v>
      </c>
      <c r="F2118" s="1099">
        <v>0.9980602376993899</v>
      </c>
      <c r="G2118" s="1099">
        <v>1.0019985725793596</v>
      </c>
      <c r="H2118" s="1099">
        <v>1.0027856688910122</v>
      </c>
      <c r="I2118" s="1099">
        <v>0.9745375228248816</v>
      </c>
      <c r="K2118">
        <v>1.7098061167424725</v>
      </c>
      <c r="L2118">
        <v>0</v>
      </c>
      <c r="M2118">
        <v>1.4143836389199633E-3</v>
      </c>
      <c r="N2118">
        <v>0.11832812099009007</v>
      </c>
      <c r="O2118">
        <v>0.12489979146978278</v>
      </c>
      <c r="P2118">
        <v>1.7808711073078753E-2</v>
      </c>
      <c r="Q2118">
        <v>8.3532055280431726E-4</v>
      </c>
      <c r="R2118">
        <v>1.4107486995343457E-3</v>
      </c>
      <c r="S2118">
        <v>0.10113206910258725</v>
      </c>
      <c r="T2118">
        <v>1.030000778358048</v>
      </c>
      <c r="U2118">
        <v>0</v>
      </c>
      <c r="V2118">
        <v>0.20579101957601123</v>
      </c>
      <c r="W2118">
        <v>7.9215172758401814E-2</v>
      </c>
      <c r="X2118">
        <v>2.795917489410437E-2</v>
      </c>
      <c r="Y2118">
        <v>3.839592906948673E-3</v>
      </c>
    </row>
    <row r="2119" spans="1:25" x14ac:dyDescent="0.25">
      <c r="A2119" s="1095"/>
      <c r="B2119" s="1454">
        <v>1869</v>
      </c>
      <c r="C2119" s="1099">
        <v>0.9972949004205387</v>
      </c>
      <c r="D2119" s="1099">
        <v>1.0376623577290878</v>
      </c>
      <c r="E2119" s="1099">
        <v>1.0217815678148916</v>
      </c>
      <c r="F2119" s="1099">
        <v>0.99786243822476173</v>
      </c>
      <c r="G2119" s="1099">
        <v>1.029759787013298</v>
      </c>
      <c r="H2119" s="1099">
        <v>1.0019698581655574</v>
      </c>
      <c r="I2119" s="1099">
        <v>1.0406209527118244</v>
      </c>
      <c r="K2119">
        <v>1.7365561791415303</v>
      </c>
      <c r="L2119">
        <v>0</v>
      </c>
      <c r="M2119">
        <v>1.291592541039643E-3</v>
      </c>
      <c r="N2119">
        <v>0.12688428395858103</v>
      </c>
      <c r="O2119">
        <v>0.12587878428056634</v>
      </c>
      <c r="P2119">
        <v>1.8688793537752452E-2</v>
      </c>
      <c r="Q2119">
        <v>9.081680503257246E-4</v>
      </c>
      <c r="R2119">
        <v>1.288243177467106E-3</v>
      </c>
      <c r="S2119">
        <v>0.11026642875573033</v>
      </c>
      <c r="T2119">
        <v>1.0282122042138191</v>
      </c>
      <c r="U2119">
        <v>0</v>
      </c>
      <c r="V2119">
        <v>0.20972361638228482</v>
      </c>
      <c r="W2119">
        <v>8.2291311285884822E-2</v>
      </c>
      <c r="X2119">
        <v>3.0199764780340185E-2</v>
      </c>
      <c r="Y2119">
        <v>3.5061732598161434E-3</v>
      </c>
    </row>
    <row r="2120" spans="1:25" x14ac:dyDescent="0.25">
      <c r="A2120" s="1095"/>
      <c r="B2120" s="1454">
        <v>1870</v>
      </c>
      <c r="C2120" s="1099">
        <v>1.0166314842134774</v>
      </c>
      <c r="D2120" s="1099">
        <v>0.97328104070616461</v>
      </c>
      <c r="E2120" s="1099">
        <v>0.99033206918498784</v>
      </c>
      <c r="F2120" s="1099">
        <v>0.96590332056407835</v>
      </c>
      <c r="G2120" s="1099">
        <v>0.98592204946478312</v>
      </c>
      <c r="H2120" s="1099">
        <v>1.0243767726774755</v>
      </c>
      <c r="I2120" s="1099">
        <v>0.99831504509926106</v>
      </c>
      <c r="K2120">
        <v>1.7009845381476663</v>
      </c>
      <c r="L2120">
        <v>0</v>
      </c>
      <c r="M2120">
        <v>1.4340634672446429E-3</v>
      </c>
      <c r="N2120">
        <v>0.1281270351087116</v>
      </c>
      <c r="O2120">
        <v>0.12523156466226268</v>
      </c>
      <c r="P2120">
        <v>1.7763221707347541E-2</v>
      </c>
      <c r="Q2120">
        <v>8.8478485810457416E-4</v>
      </c>
      <c r="R2120">
        <v>1.4304650846013549E-3</v>
      </c>
      <c r="S2120">
        <v>0.10937429883342034</v>
      </c>
      <c r="T2120">
        <v>0.99617861801574004</v>
      </c>
      <c r="U2120">
        <v>0</v>
      </c>
      <c r="V2120">
        <v>0.20612948022914263</v>
      </c>
      <c r="W2120">
        <v>8.4657659308299077E-2</v>
      </c>
      <c r="X2120">
        <v>2.8748219399683229E-2</v>
      </c>
      <c r="Y2120">
        <v>3.8932544075964814E-3</v>
      </c>
    </row>
    <row r="2121" spans="1:25" x14ac:dyDescent="0.25">
      <c r="A2121" s="1095"/>
      <c r="B2121" s="1454">
        <v>1871</v>
      </c>
      <c r="C2121" s="1099">
        <v>1.0463998678819859</v>
      </c>
      <c r="D2121" s="1099">
        <v>0.98800487501665757</v>
      </c>
      <c r="E2121" s="1099">
        <v>0.98866653563231444</v>
      </c>
      <c r="F2121" s="1099">
        <v>0.99446999675305459</v>
      </c>
      <c r="G2121" s="1099">
        <v>1.0146539524849809</v>
      </c>
      <c r="H2121" s="1099">
        <v>1.0180791686758071</v>
      </c>
      <c r="I2121" s="1099">
        <v>0.98053427633449375</v>
      </c>
      <c r="K2121">
        <v>1.7163269968881758</v>
      </c>
      <c r="L2121">
        <v>0</v>
      </c>
      <c r="M2121">
        <v>1.3841314957408367E-3</v>
      </c>
      <c r="N2121">
        <v>0.12304340031519104</v>
      </c>
      <c r="O2121">
        <v>0.12526454417882138</v>
      </c>
      <c r="P2121">
        <v>1.8059040617466573E-2</v>
      </c>
      <c r="Q2121">
        <v>8.5298435135525152E-4</v>
      </c>
      <c r="R2121">
        <v>1.3806444082535862E-3</v>
      </c>
      <c r="S2121">
        <v>0.10332414360325409</v>
      </c>
      <c r="T2121">
        <v>1.0256904445981987</v>
      </c>
      <c r="U2121">
        <v>0</v>
      </c>
      <c r="V2121">
        <v>0.20619241179330167</v>
      </c>
      <c r="W2121">
        <v>8.1379927000743216E-2</v>
      </c>
      <c r="X2121">
        <v>2.8765928567369915E-2</v>
      </c>
      <c r="Y2121">
        <v>3.7576589499594007E-3</v>
      </c>
    </row>
    <row r="2122" spans="1:25" x14ac:dyDescent="0.25">
      <c r="A2122" s="1095"/>
      <c r="B2122" s="1454">
        <v>1872</v>
      </c>
      <c r="C2122" s="1099">
        <v>1.0085529305760907</v>
      </c>
      <c r="D2122" s="1099">
        <v>1.0004589739660359</v>
      </c>
      <c r="E2122" s="1099">
        <v>1.0111875212761017</v>
      </c>
      <c r="F2122" s="1099">
        <v>1.0445466675596189</v>
      </c>
      <c r="G2122" s="1099">
        <v>1.0096028418737</v>
      </c>
      <c r="H2122" s="1099">
        <v>0.98888738673258825</v>
      </c>
      <c r="I2122" s="1099">
        <v>0.9786255424092869</v>
      </c>
      <c r="K2122">
        <v>1.7850937532124225</v>
      </c>
      <c r="L2122">
        <v>0</v>
      </c>
      <c r="M2122">
        <v>1.3229216154426291E-3</v>
      </c>
      <c r="N2122">
        <v>0.12587259246513244</v>
      </c>
      <c r="O2122">
        <v>0.13042556462390523</v>
      </c>
      <c r="P2122">
        <v>1.9149047493439552E-2</v>
      </c>
      <c r="Q2122">
        <v>9.013742946183135E-4</v>
      </c>
      <c r="R2122">
        <v>1.3194860532988017E-3</v>
      </c>
      <c r="S2122">
        <v>0.10429652708527842</v>
      </c>
      <c r="T2122">
        <v>1.0766398669632065</v>
      </c>
      <c r="U2122">
        <v>0</v>
      </c>
      <c r="V2122">
        <v>0.21127621661122029</v>
      </c>
      <c r="W2122">
        <v>8.2144138934043223E-2</v>
      </c>
      <c r="X2122">
        <v>3.0800654235103777E-2</v>
      </c>
      <c r="Y2122">
        <v>3.5912060686187687E-3</v>
      </c>
    </row>
    <row r="2123" spans="1:25" x14ac:dyDescent="0.25">
      <c r="A2123" s="1095"/>
      <c r="B2123" s="1454">
        <v>1873</v>
      </c>
      <c r="C2123" s="1099">
        <v>0.9881790772559701</v>
      </c>
      <c r="D2123" s="1099">
        <v>1.0107149910440665</v>
      </c>
      <c r="E2123" s="1099">
        <v>1.0280659493446933</v>
      </c>
      <c r="F2123" s="1099">
        <v>0.99395027636528566</v>
      </c>
      <c r="G2123" s="1099">
        <v>0.97729961235528573</v>
      </c>
      <c r="H2123" s="1099">
        <v>1.0001940529954254</v>
      </c>
      <c r="I2123" s="1099">
        <v>1.0158847432137403</v>
      </c>
      <c r="K2123">
        <v>1.7386516783323287</v>
      </c>
      <c r="L2123">
        <v>0</v>
      </c>
      <c r="M2123">
        <v>1.3028984571099344E-3</v>
      </c>
      <c r="N2123">
        <v>0.13044453465594835</v>
      </c>
      <c r="O2123">
        <v>0.1272730210978302</v>
      </c>
      <c r="P2123">
        <v>1.8699162372088757E-2</v>
      </c>
      <c r="Q2123">
        <v>9.3221831439949012E-4</v>
      </c>
      <c r="R2123">
        <v>1.2995268397415314E-3</v>
      </c>
      <c r="S2123">
        <v>0.11022394882791477</v>
      </c>
      <c r="T2123">
        <v>1.0239999848521919</v>
      </c>
      <c r="U2123">
        <v>0</v>
      </c>
      <c r="V2123">
        <v>0.20855512340244897</v>
      </c>
      <c r="W2123">
        <v>8.4291044018153405E-2</v>
      </c>
      <c r="X2123">
        <v>3.069912873985145E-2</v>
      </c>
      <c r="Y2123">
        <v>3.5368836688688611E-3</v>
      </c>
    </row>
    <row r="2124" spans="1:25" x14ac:dyDescent="0.25">
      <c r="A2124" s="1095"/>
      <c r="B2124" s="1454">
        <v>1874</v>
      </c>
      <c r="C2124" s="1099">
        <v>0.99849603014660915</v>
      </c>
      <c r="D2124" s="1099">
        <v>1.0399985848218938</v>
      </c>
      <c r="E2124" s="1099">
        <v>1.0315200300532885</v>
      </c>
      <c r="F2124" s="1099">
        <v>0.9912103456757223</v>
      </c>
      <c r="G2124" s="1099">
        <v>1.0028381324626376</v>
      </c>
      <c r="H2124" s="1099">
        <v>0.99423166399826324</v>
      </c>
      <c r="I2124" s="1099">
        <v>0.99378175895444221</v>
      </c>
      <c r="K2124">
        <v>1.7204161823488713</v>
      </c>
      <c r="L2124">
        <v>0</v>
      </c>
      <c r="M2124">
        <v>1.252128219422849E-3</v>
      </c>
      <c r="N2124">
        <v>0.12667011065018921</v>
      </c>
      <c r="O2124">
        <v>0.1252519105676311</v>
      </c>
      <c r="P2124">
        <v>1.8616614399384189E-2</v>
      </c>
      <c r="Q2124">
        <v>9.1532691567796406E-4</v>
      </c>
      <c r="R2124">
        <v>1.2488530013603863E-3</v>
      </c>
      <c r="S2124">
        <v>0.10448970270083542</v>
      </c>
      <c r="T2124">
        <v>1.0210784637747699</v>
      </c>
      <c r="U2124">
        <v>0</v>
      </c>
      <c r="V2124">
        <v>0.20793516727971492</v>
      </c>
      <c r="W2124">
        <v>8.1688098832296635E-2</v>
      </c>
      <c r="X2124">
        <v>3.0375096261011588E-2</v>
      </c>
      <c r="Y2124">
        <v>3.398966185421716E-3</v>
      </c>
    </row>
    <row r="2125" spans="1:25" x14ac:dyDescent="0.25">
      <c r="A2125" s="1095"/>
      <c r="B2125" s="1454">
        <v>1875</v>
      </c>
      <c r="C2125" s="1099">
        <v>1.0193998300653302</v>
      </c>
      <c r="D2125" s="1099">
        <v>1.0066433604151028</v>
      </c>
      <c r="E2125" s="1099">
        <v>1.01193639567507</v>
      </c>
      <c r="F2125" s="1099">
        <v>0.99620899240480676</v>
      </c>
      <c r="G2125" s="1099">
        <v>0.99317009561359504</v>
      </c>
      <c r="H2125" s="1099">
        <v>1.0112453189383601</v>
      </c>
      <c r="I2125" s="1099">
        <v>0.98915801137815607</v>
      </c>
      <c r="K2125">
        <v>1.7267422360131606</v>
      </c>
      <c r="L2125">
        <v>0</v>
      </c>
      <c r="M2125">
        <v>1.3273334368739862E-3</v>
      </c>
      <c r="N2125">
        <v>0.12658407906597738</v>
      </c>
      <c r="O2125">
        <v>0.12596866542106394</v>
      </c>
      <c r="P2125">
        <v>1.8426042716174595E-2</v>
      </c>
      <c r="Q2125">
        <v>8.9027443507293149E-4</v>
      </c>
      <c r="R2125">
        <v>1.3239480712863741E-3</v>
      </c>
      <c r="S2125">
        <v>0.1052035556040193</v>
      </c>
      <c r="T2125">
        <v>1.0267951186432562</v>
      </c>
      <c r="U2125">
        <v>0</v>
      </c>
      <c r="V2125">
        <v>0.20690327580030624</v>
      </c>
      <c r="W2125">
        <v>8.2572026858062225E-2</v>
      </c>
      <c r="X2125">
        <v>2.9799232624138118E-2</v>
      </c>
      <c r="Y2125">
        <v>3.6033502106771059E-3</v>
      </c>
    </row>
    <row r="2126" spans="1:25" x14ac:dyDescent="0.25">
      <c r="A2126" s="1095"/>
      <c r="B2126" s="1454">
        <v>1876</v>
      </c>
      <c r="C2126" s="1099">
        <v>1.0053195881825838</v>
      </c>
      <c r="D2126" s="1099">
        <v>0.9906909906909368</v>
      </c>
      <c r="E2126" s="1099">
        <v>1.0336296990105251</v>
      </c>
      <c r="F2126" s="1099">
        <v>1.0046533994844367</v>
      </c>
      <c r="G2126" s="1099">
        <v>0.99285531879775379</v>
      </c>
      <c r="H2126" s="1099">
        <v>0.95655642377412742</v>
      </c>
      <c r="I2126" s="1099">
        <v>0.99427507177396135</v>
      </c>
      <c r="K2126">
        <v>1.7361829122391186</v>
      </c>
      <c r="L2126">
        <v>0</v>
      </c>
      <c r="M2126">
        <v>1.2279299439231668E-3</v>
      </c>
      <c r="N2126">
        <v>0.12500528858306145</v>
      </c>
      <c r="O2126">
        <v>0.12814048988554805</v>
      </c>
      <c r="P2126">
        <v>1.8853260685316967E-2</v>
      </c>
      <c r="Q2126">
        <v>9.2894481082047404E-4</v>
      </c>
      <c r="R2126">
        <v>1.2246276911999446E-3</v>
      </c>
      <c r="S2126">
        <v>0.10449625212354061</v>
      </c>
      <c r="T2126">
        <v>1.034865635259963</v>
      </c>
      <c r="U2126">
        <v>0</v>
      </c>
      <c r="V2126">
        <v>0.20903042942857364</v>
      </c>
      <c r="W2126">
        <v>8.0516012167893405E-2</v>
      </c>
      <c r="X2126">
        <v>3.1016868670086181E-2</v>
      </c>
      <c r="Y2126">
        <v>3.3330328770363416E-3</v>
      </c>
    </row>
    <row r="2127" spans="1:25" x14ac:dyDescent="0.25">
      <c r="A2127" s="1095"/>
      <c r="B2127" s="1454">
        <v>1877</v>
      </c>
      <c r="C2127" s="1099">
        <v>0.99727127029594909</v>
      </c>
      <c r="D2127" s="1099">
        <v>0.97003060159569054</v>
      </c>
      <c r="E2127" s="1099">
        <v>1.0117034244311669</v>
      </c>
      <c r="F2127" s="1099">
        <v>1.0117335263230463</v>
      </c>
      <c r="G2127" s="1099">
        <v>1.0266800695527991</v>
      </c>
      <c r="H2127" s="1099">
        <v>1.019485020941205</v>
      </c>
      <c r="I2127" s="1099">
        <v>0.96986469468000103</v>
      </c>
      <c r="K2127">
        <v>1.7678268206811971</v>
      </c>
      <c r="L2127">
        <v>0</v>
      </c>
      <c r="M2127">
        <v>1.3980423830193818E-3</v>
      </c>
      <c r="N2127">
        <v>0.13323861945316273</v>
      </c>
      <c r="O2127">
        <v>0.12998743177401625</v>
      </c>
      <c r="P2127">
        <v>1.876162593150723E-2</v>
      </c>
      <c r="Q2127">
        <v>9.2339386790302224E-4</v>
      </c>
      <c r="R2127">
        <v>1.3945285334910512E-3</v>
      </c>
      <c r="S2127">
        <v>0.10841911840495601</v>
      </c>
      <c r="T2127">
        <v>1.0428032188877761</v>
      </c>
      <c r="U2127">
        <v>0</v>
      </c>
      <c r="V2127">
        <v>0.21229716101823012</v>
      </c>
      <c r="W2127">
        <v>8.6924771912768109E-2</v>
      </c>
      <c r="X2127">
        <v>3.0679546318451118E-2</v>
      </c>
      <c r="Y2127">
        <v>3.7954469619551241E-3</v>
      </c>
    </row>
    <row r="2128" spans="1:25" x14ac:dyDescent="0.25">
      <c r="A2128" s="1095"/>
      <c r="B2128" s="1454">
        <v>1878</v>
      </c>
      <c r="C2128" s="1099">
        <v>1.0144687619283437</v>
      </c>
      <c r="D2128" s="1099">
        <v>0.99875496939840713</v>
      </c>
      <c r="E2128" s="1099">
        <v>1.0175818418469202</v>
      </c>
      <c r="F2128" s="1099">
        <v>0.99986851210833316</v>
      </c>
      <c r="G2128" s="1099">
        <v>0.98594807536353335</v>
      </c>
      <c r="H2128" s="1099">
        <v>0.99517476912653613</v>
      </c>
      <c r="I2128" s="1099">
        <v>0.99078087353673594</v>
      </c>
      <c r="K2128">
        <v>1.731772284903019</v>
      </c>
      <c r="L2128">
        <v>0</v>
      </c>
      <c r="M2128">
        <v>1.3032036470460504E-3</v>
      </c>
      <c r="N2128">
        <v>0.12641376100660531</v>
      </c>
      <c r="O2128">
        <v>0.12687467755352172</v>
      </c>
      <c r="P2128">
        <v>1.8560928587523874E-2</v>
      </c>
      <c r="Q2128">
        <v>9.0264838165469714E-4</v>
      </c>
      <c r="R2128">
        <v>1.2998309228241143E-3</v>
      </c>
      <c r="S2128">
        <v>0.10530978474092083</v>
      </c>
      <c r="T2128">
        <v>1.0304016688023547</v>
      </c>
      <c r="U2128">
        <v>0</v>
      </c>
      <c r="V2128">
        <v>0.20739814403065593</v>
      </c>
      <c r="W2128">
        <v>8.2187895189166568E-2</v>
      </c>
      <c r="X2128">
        <v>3.0188438052056454E-2</v>
      </c>
      <c r="Y2128">
        <v>3.5377112827786879E-3</v>
      </c>
    </row>
    <row r="2129" spans="1:25" x14ac:dyDescent="0.25">
      <c r="A2129" s="1095"/>
      <c r="B2129" s="1454">
        <v>1879</v>
      </c>
      <c r="C2129" s="1099">
        <v>1.0023614995047474</v>
      </c>
      <c r="D2129" s="1099">
        <v>1.0145691891507063</v>
      </c>
      <c r="E2129" s="1099">
        <v>1.0150217389306366</v>
      </c>
      <c r="F2129" s="1099">
        <v>0.98901951584181802</v>
      </c>
      <c r="G2129" s="1099">
        <v>0.99937527950291027</v>
      </c>
      <c r="H2129" s="1099">
        <v>1.0348830796104029</v>
      </c>
      <c r="I2129" s="1099">
        <v>1.0246188868981996</v>
      </c>
      <c r="K2129">
        <v>1.7348426531682819</v>
      </c>
      <c r="L2129">
        <v>0</v>
      </c>
      <c r="M2129">
        <v>1.3635588325362821E-3</v>
      </c>
      <c r="N2129">
        <v>0.13126192676694323</v>
      </c>
      <c r="O2129">
        <v>0.12594331188559402</v>
      </c>
      <c r="P2129">
        <v>1.8471265709467263E-2</v>
      </c>
      <c r="Q2129">
        <v>9.0544277869177361E-4</v>
      </c>
      <c r="R2129">
        <v>1.3601486461636808E-3</v>
      </c>
      <c r="S2129">
        <v>0.11182702735261323</v>
      </c>
      <c r="T2129">
        <v>1.0192954178964182</v>
      </c>
      <c r="U2129">
        <v>0</v>
      </c>
      <c r="V2129">
        <v>0.20801254752065004</v>
      </c>
      <c r="W2129">
        <v>8.5468220253003671E-2</v>
      </c>
      <c r="X2129">
        <v>2.9959026949295794E-2</v>
      </c>
      <c r="Y2129">
        <v>3.7018762419768342E-3</v>
      </c>
    </row>
    <row r="2130" spans="1:25" x14ac:dyDescent="0.25">
      <c r="A2130" s="1095"/>
      <c r="B2130" s="1454">
        <v>1880</v>
      </c>
      <c r="C2130" s="1099">
        <v>1.0470397419283395</v>
      </c>
      <c r="D2130" s="1099">
        <v>0.97983724775189529</v>
      </c>
      <c r="E2130" s="1099">
        <v>0.97746161100995133</v>
      </c>
      <c r="F2130" s="1099">
        <v>1.0001051381346933</v>
      </c>
      <c r="G2130" s="1099">
        <v>1.0024823527872604</v>
      </c>
      <c r="H2130" s="1099">
        <v>1.0449579942779263</v>
      </c>
      <c r="I2130" s="1099">
        <v>0.98235493398957907</v>
      </c>
      <c r="K2130">
        <v>1.7302018893130151</v>
      </c>
      <c r="L2130">
        <v>0</v>
      </c>
      <c r="M2130">
        <v>1.4610437721735206E-3</v>
      </c>
      <c r="N2130">
        <v>0.12556090165261388</v>
      </c>
      <c r="O2130">
        <v>0.1259885341513233</v>
      </c>
      <c r="P2130">
        <v>1.8020247532275133E-2</v>
      </c>
      <c r="Q2130">
        <v>8.4533032014270872E-4</v>
      </c>
      <c r="R2130">
        <v>1.4574652258184967E-3</v>
      </c>
      <c r="S2130">
        <v>0.10579325954660783</v>
      </c>
      <c r="T2130">
        <v>1.0318412812024866</v>
      </c>
      <c r="U2130">
        <v>0</v>
      </c>
      <c r="V2130">
        <v>0.20606004902755262</v>
      </c>
      <c r="W2130">
        <v>8.3607383288762188E-2</v>
      </c>
      <c r="X2130">
        <v>2.8521741246208973E-2</v>
      </c>
      <c r="Y2130">
        <v>3.9667398913953832E-3</v>
      </c>
    </row>
    <row r="2131" spans="1:25" x14ac:dyDescent="0.25">
      <c r="A2131" s="1095"/>
      <c r="B2131" s="1454">
        <v>1881</v>
      </c>
      <c r="C2131" s="1099">
        <v>0.99086910231200609</v>
      </c>
      <c r="D2131" s="1099">
        <v>0.97747089938282206</v>
      </c>
      <c r="E2131" s="1099">
        <v>1.0249133962581125</v>
      </c>
      <c r="F2131" s="1099">
        <v>1.0028398652399511</v>
      </c>
      <c r="G2131" s="1099">
        <v>1.0089903377136136</v>
      </c>
      <c r="H2131" s="1099">
        <v>1.0406997652691621</v>
      </c>
      <c r="I2131" s="1099">
        <v>1.0258163456710503</v>
      </c>
      <c r="K2131">
        <v>1.7719988838527649</v>
      </c>
      <c r="L2131">
        <v>0</v>
      </c>
      <c r="M2131">
        <v>1.3892982785772931E-3</v>
      </c>
      <c r="N2131">
        <v>0.13779520430343964</v>
      </c>
      <c r="O2131">
        <v>0.12933981455719556</v>
      </c>
      <c r="P2131">
        <v>1.8908447293694841E-2</v>
      </c>
      <c r="Q2131">
        <v>9.3917655017077852E-4</v>
      </c>
      <c r="R2131">
        <v>1.3858680813960541E-3</v>
      </c>
      <c r="S2131">
        <v>0.1163512868821469</v>
      </c>
      <c r="T2131">
        <v>1.0332498289314611</v>
      </c>
      <c r="U2131">
        <v>0</v>
      </c>
      <c r="V2131">
        <v>0.21132651636936087</v>
      </c>
      <c r="W2131">
        <v>8.9204464754698204E-2</v>
      </c>
      <c r="X2131">
        <v>3.1115698341507646E-2</v>
      </c>
      <c r="Y2131">
        <v>3.7718760662698086E-3</v>
      </c>
    </row>
    <row r="2132" spans="1:25" x14ac:dyDescent="0.25">
      <c r="A2132" s="1095"/>
      <c r="B2132" s="1454">
        <v>1882</v>
      </c>
      <c r="C2132" s="1099">
        <v>0.96479850788101174</v>
      </c>
      <c r="D2132" s="1099">
        <v>0.99941792164395493</v>
      </c>
      <c r="E2132" s="1099">
        <v>0.98570644825291764</v>
      </c>
      <c r="F2132" s="1099">
        <v>0.97789215906690341</v>
      </c>
      <c r="G2132" s="1099">
        <v>0.98052218333574481</v>
      </c>
      <c r="H2132" s="1099">
        <v>0.9972386113826458</v>
      </c>
      <c r="I2132" s="1099">
        <v>0.98361874725726006</v>
      </c>
      <c r="K2132">
        <v>1.7213013416454586</v>
      </c>
      <c r="L2132">
        <v>0</v>
      </c>
      <c r="M2132">
        <v>1.4573815410762081E-3</v>
      </c>
      <c r="N2132">
        <v>0.12839021960393665</v>
      </c>
      <c r="O2132">
        <v>0.12761867135640267</v>
      </c>
      <c r="P2132">
        <v>1.7926330557502063E-2</v>
      </c>
      <c r="Q2132">
        <v>9.180469422347201E-4</v>
      </c>
      <c r="R2132">
        <v>1.4535937156448704E-3</v>
      </c>
      <c r="S2132">
        <v>0.10953683989336604</v>
      </c>
      <c r="T2132">
        <v>1.008679316141178</v>
      </c>
      <c r="U2132">
        <v>0</v>
      </c>
      <c r="V2132">
        <v>0.21013560908854917</v>
      </c>
      <c r="W2132">
        <v>8.5067320298883017E-2</v>
      </c>
      <c r="X2132">
        <v>2.9076572671891426E-2</v>
      </c>
      <c r="Y2132">
        <v>3.956202916945757E-3</v>
      </c>
    </row>
    <row r="2133" spans="1:25" x14ac:dyDescent="0.25">
      <c r="A2133" s="1095"/>
      <c r="B2133" s="1454">
        <v>1883</v>
      </c>
      <c r="C2133" s="1099">
        <v>1.0012276583892403</v>
      </c>
      <c r="D2133" s="1099">
        <v>0.98301017545750691</v>
      </c>
      <c r="E2133" s="1099">
        <v>0.99361883722237043</v>
      </c>
      <c r="F2133" s="1099">
        <v>0.99747908880732861</v>
      </c>
      <c r="G2133" s="1099">
        <v>1.0023915144104141</v>
      </c>
      <c r="H2133" s="1099">
        <v>0.99867962178094849</v>
      </c>
      <c r="I2133" s="1099">
        <v>1.0267885551496465</v>
      </c>
      <c r="K2133">
        <v>1.7407973651872519</v>
      </c>
      <c r="L2133">
        <v>0</v>
      </c>
      <c r="M2133">
        <v>1.4039431063185652E-3</v>
      </c>
      <c r="N2133">
        <v>0.12668014907321465</v>
      </c>
      <c r="O2133">
        <v>0.12800350622184595</v>
      </c>
      <c r="P2133">
        <v>1.8327528393104583E-2</v>
      </c>
      <c r="Q2133">
        <v>8.9789759407425717E-4</v>
      </c>
      <c r="R2133">
        <v>1.4003285670299017E-3</v>
      </c>
      <c r="S2133">
        <v>0.1117882577498584</v>
      </c>
      <c r="T2133">
        <v>1.0286458548421751</v>
      </c>
      <c r="U2133">
        <v>0</v>
      </c>
      <c r="V2133">
        <v>0.20958204305748718</v>
      </c>
      <c r="W2133">
        <v>8.3537267590362799E-2</v>
      </c>
      <c r="X2133">
        <v>2.9527242463150867E-2</v>
      </c>
      <c r="Y2133">
        <v>3.811232741267333E-3</v>
      </c>
    </row>
    <row r="2134" spans="1:25" x14ac:dyDescent="0.25">
      <c r="A2134" s="1095"/>
      <c r="B2134" s="1454">
        <v>1884</v>
      </c>
      <c r="C2134" s="1099">
        <v>0.993828107422837</v>
      </c>
      <c r="D2134" s="1099">
        <v>0.99213069149245803</v>
      </c>
      <c r="E2134" s="1099">
        <v>0.98289119497999111</v>
      </c>
      <c r="F2134" s="1099">
        <v>0.99889436377075635</v>
      </c>
      <c r="G2134" s="1099">
        <v>1.0450928410556075</v>
      </c>
      <c r="H2134" s="1099">
        <v>1.0108460940871167</v>
      </c>
      <c r="I2134" s="1099">
        <v>1.0029338474424694</v>
      </c>
      <c r="K2134">
        <v>1.744337392216643</v>
      </c>
      <c r="L2134">
        <v>0</v>
      </c>
      <c r="M2134">
        <v>1.4551157137182491E-3</v>
      </c>
      <c r="N2134">
        <v>0.12711000311204151</v>
      </c>
      <c r="O2134">
        <v>0.12802367879146875</v>
      </c>
      <c r="P2134">
        <v>1.8215369289216809E-2</v>
      </c>
      <c r="Q2134">
        <v>8.9121649478257961E-4</v>
      </c>
      <c r="R2134">
        <v>1.4514062040360319E-3</v>
      </c>
      <c r="S2134">
        <v>0.11018500862567611</v>
      </c>
      <c r="T2134">
        <v>1.0304276503880552</v>
      </c>
      <c r="U2134">
        <v>0</v>
      </c>
      <c r="V2134">
        <v>0.21203733706985745</v>
      </c>
      <c r="W2134">
        <v>8.4361888655520439E-2</v>
      </c>
      <c r="X2134">
        <v>2.9138700068247689E-2</v>
      </c>
      <c r="Y2134">
        <v>3.9502492314595055E-3</v>
      </c>
    </row>
    <row r="2135" spans="1:25" x14ac:dyDescent="0.25">
      <c r="A2135" s="1095"/>
      <c r="B2135" s="1454">
        <v>1885</v>
      </c>
      <c r="C2135" s="1099">
        <v>0.98658028332341929</v>
      </c>
      <c r="D2135" s="1099">
        <v>0.97860906825569038</v>
      </c>
      <c r="E2135" s="1099">
        <v>1.0083457371174129</v>
      </c>
      <c r="F2135" s="1099">
        <v>0.99917550197695681</v>
      </c>
      <c r="G2135" s="1099">
        <v>0.98925518744640051</v>
      </c>
      <c r="H2135" s="1099">
        <v>0.97703862308268341</v>
      </c>
      <c r="I2135" s="1099">
        <v>1.0234531713004464</v>
      </c>
      <c r="K2135">
        <v>1.7460311880636548</v>
      </c>
      <c r="L2135">
        <v>0</v>
      </c>
      <c r="M2135">
        <v>1.3540338073940693E-3</v>
      </c>
      <c r="N2135">
        <v>0.12772771955450804</v>
      </c>
      <c r="O2135">
        <v>0.1291647327074861</v>
      </c>
      <c r="P2135">
        <v>1.8559465271649655E-2</v>
      </c>
      <c r="Q2135">
        <v>9.2690342977785748E-4</v>
      </c>
      <c r="R2135">
        <v>1.3504695915456089E-3</v>
      </c>
      <c r="S2135">
        <v>0.11175169137059819</v>
      </c>
      <c r="T2135">
        <v>1.0299582777005536</v>
      </c>
      <c r="U2135">
        <v>0</v>
      </c>
      <c r="V2135">
        <v>0.21046719549072843</v>
      </c>
      <c r="W2135">
        <v>8.3494613405535892E-2</v>
      </c>
      <c r="X2135">
        <v>3.0308620302659853E-2</v>
      </c>
      <c r="Y2135">
        <v>3.6755330460059386E-3</v>
      </c>
    </row>
    <row r="2136" spans="1:25" x14ac:dyDescent="0.25">
      <c r="A2136" s="1095"/>
      <c r="B2136" s="1454">
        <v>1886</v>
      </c>
      <c r="C2136" s="1099">
        <v>1.008007520303966</v>
      </c>
      <c r="D2136" s="1099">
        <v>1.0429096030747464</v>
      </c>
      <c r="E2136" s="1099">
        <v>0.97030482472307233</v>
      </c>
      <c r="F2136" s="1099">
        <v>1.0059488132139949</v>
      </c>
      <c r="G2136" s="1099">
        <v>0.98707544688437787</v>
      </c>
      <c r="H2136" s="1099">
        <v>0.96434190560948441</v>
      </c>
      <c r="I2136" s="1099">
        <v>0.95683394499062235</v>
      </c>
      <c r="K2136">
        <v>1.7103762166926466</v>
      </c>
      <c r="L2136">
        <v>0</v>
      </c>
      <c r="M2136">
        <v>1.366368269278424E-3</v>
      </c>
      <c r="N2136">
        <v>0.11488000642616218</v>
      </c>
      <c r="O2136">
        <v>0.12550384086348337</v>
      </c>
      <c r="P2136">
        <v>1.7906732517851947E-2</v>
      </c>
      <c r="Q2136">
        <v>8.5000384025994561E-4</v>
      </c>
      <c r="R2136">
        <v>1.362688762216326E-3</v>
      </c>
      <c r="S2136">
        <v>9.7577056758005237E-2</v>
      </c>
      <c r="T2136">
        <v>1.0380900238264903</v>
      </c>
      <c r="U2136">
        <v>0</v>
      </c>
      <c r="V2136">
        <v>0.20688655558618793</v>
      </c>
      <c r="W2136">
        <v>7.682818299019406E-2</v>
      </c>
      <c r="X2136">
        <v>2.814870379054922E-2</v>
      </c>
      <c r="Y2136">
        <v>3.7087896005231031E-3</v>
      </c>
    </row>
    <row r="2137" spans="1:25" x14ac:dyDescent="0.25">
      <c r="A2137" s="1095"/>
      <c r="B2137" s="1454">
        <v>1887</v>
      </c>
      <c r="C2137" s="1099">
        <v>1.0088303320870609</v>
      </c>
      <c r="D2137" s="1099">
        <v>1.0343180760572015</v>
      </c>
      <c r="E2137" s="1099">
        <v>0.99595205368406947</v>
      </c>
      <c r="F2137" s="1099">
        <v>1.000408625170341</v>
      </c>
      <c r="G2137" s="1099">
        <v>1.0067170563173742</v>
      </c>
      <c r="H2137" s="1099">
        <v>1.0092189818046309</v>
      </c>
      <c r="I2137" s="1099">
        <v>1.0354063111340883</v>
      </c>
      <c r="K2137">
        <v>1.7313210365133069</v>
      </c>
      <c r="L2137">
        <v>0</v>
      </c>
      <c r="M2137">
        <v>1.3610594884391556E-3</v>
      </c>
      <c r="N2137">
        <v>0.12368034341802812</v>
      </c>
      <c r="O2137">
        <v>0.12552224378469976</v>
      </c>
      <c r="P2137">
        <v>1.8340496569492715E-2</v>
      </c>
      <c r="Q2137">
        <v>8.7529933074041819E-4</v>
      </c>
      <c r="R2137">
        <v>1.3575614142036505E-3</v>
      </c>
      <c r="S2137">
        <v>0.10921976692143101</v>
      </c>
      <c r="T2137">
        <v>1.0315971759217923</v>
      </c>
      <c r="U2137">
        <v>0</v>
      </c>
      <c r="V2137">
        <v>0.20779652950717858</v>
      </c>
      <c r="W2137">
        <v>8.1445603342137574E-2</v>
      </c>
      <c r="X2137">
        <v>2.9152241142580148E-2</v>
      </c>
      <c r="Y2137">
        <v>3.6948346494624184E-3</v>
      </c>
    </row>
    <row r="2138" spans="1:25" x14ac:dyDescent="0.25">
      <c r="A2138" s="1095"/>
      <c r="B2138" s="1454">
        <v>1888</v>
      </c>
      <c r="C2138" s="1099">
        <v>0.99021596664503153</v>
      </c>
      <c r="D2138" s="1099">
        <v>1.0209775635520286</v>
      </c>
      <c r="E2138" s="1099">
        <v>1.0083983057390662</v>
      </c>
      <c r="F2138" s="1099">
        <v>1.0276263485057524</v>
      </c>
      <c r="G2138" s="1099">
        <v>0.99385907110611138</v>
      </c>
      <c r="H2138" s="1099">
        <v>1.0009207562700737</v>
      </c>
      <c r="I2138" s="1099">
        <v>1.0300237771290512</v>
      </c>
      <c r="K2138">
        <v>1.7749273255534281</v>
      </c>
      <c r="L2138">
        <v>0</v>
      </c>
      <c r="M2138">
        <v>1.3515203427389155E-3</v>
      </c>
      <c r="N2138">
        <v>0.12751715373097353</v>
      </c>
      <c r="O2138">
        <v>0.12916476562478871</v>
      </c>
      <c r="P2138">
        <v>1.895471101346376E-2</v>
      </c>
      <c r="Q2138">
        <v>9.0802493882186184E-4</v>
      </c>
      <c r="R2138">
        <v>1.3480292908745752E-3</v>
      </c>
      <c r="S2138">
        <v>0.11106753208005343</v>
      </c>
      <c r="T2138">
        <v>1.0592840505119878</v>
      </c>
      <c r="U2138">
        <v>0</v>
      </c>
      <c r="V2138">
        <v>0.21057224944368427</v>
      </c>
      <c r="W2138">
        <v>8.3354380955524318E-2</v>
      </c>
      <c r="X2138">
        <v>3.043905695397113E-2</v>
      </c>
      <c r="Y2138">
        <v>3.6688913520242865E-3</v>
      </c>
    </row>
    <row r="2139" spans="1:25" x14ac:dyDescent="0.25">
      <c r="A2139" s="1095"/>
      <c r="B2139" s="1454">
        <v>1889</v>
      </c>
      <c r="C2139" s="1099">
        <v>1.0033967136598714</v>
      </c>
      <c r="D2139" s="1099">
        <v>0.98841467663632576</v>
      </c>
      <c r="E2139" s="1099">
        <v>1.000701052073999</v>
      </c>
      <c r="F2139" s="1099">
        <v>0.98511793578288287</v>
      </c>
      <c r="G2139" s="1099">
        <v>0.99765763697739218</v>
      </c>
      <c r="H2139" s="1099">
        <v>1.0110266544611448</v>
      </c>
      <c r="I2139" s="1099">
        <v>1.0168182031641475</v>
      </c>
      <c r="K2139">
        <v>1.726659655741299</v>
      </c>
      <c r="L2139">
        <v>0</v>
      </c>
      <c r="M2139">
        <v>1.3917734379561173E-3</v>
      </c>
      <c r="N2139">
        <v>0.12830205725183147</v>
      </c>
      <c r="O2139">
        <v>0.12671997748268618</v>
      </c>
      <c r="P2139">
        <v>1.8219674744268815E-2</v>
      </c>
      <c r="Q2139">
        <v>9.0059245879298133E-4</v>
      </c>
      <c r="R2139">
        <v>1.3882270733672137E-3</v>
      </c>
      <c r="S2139">
        <v>0.11091649443628256</v>
      </c>
      <c r="T2139">
        <v>1.0156904816109178</v>
      </c>
      <c r="U2139">
        <v>0</v>
      </c>
      <c r="V2139">
        <v>0.20837425417430341</v>
      </c>
      <c r="W2139">
        <v>8.4250627703914838E-2</v>
      </c>
      <c r="X2139">
        <v>2.9510745778113988E-2</v>
      </c>
      <c r="Y2139">
        <v>3.7782964647738119E-3</v>
      </c>
    </row>
    <row r="2140" spans="1:25" x14ac:dyDescent="0.25">
      <c r="A2140" s="1095"/>
      <c r="B2140" s="1454">
        <v>1890</v>
      </c>
      <c r="C2140" s="1099">
        <v>1.0164343331808015</v>
      </c>
      <c r="D2140" s="1099">
        <v>1.016496978733342</v>
      </c>
      <c r="E2140" s="1099">
        <v>1.0111487721661847</v>
      </c>
      <c r="F2140" s="1099">
        <v>1.0199267221565089</v>
      </c>
      <c r="G2140" s="1099">
        <v>1.0283165766535858</v>
      </c>
      <c r="H2140" s="1099">
        <v>1.00241986493282</v>
      </c>
      <c r="I2140" s="1099">
        <v>0.95594602228049241</v>
      </c>
      <c r="K2140">
        <v>1.7496845522263771</v>
      </c>
      <c r="L2140">
        <v>0</v>
      </c>
      <c r="M2140">
        <v>1.3164458438370866E-3</v>
      </c>
      <c r="N2140">
        <v>0.12524476134890453</v>
      </c>
      <c r="O2140">
        <v>0.1274483020100112</v>
      </c>
      <c r="P2140">
        <v>1.873212016067223E-2</v>
      </c>
      <c r="Q2140">
        <v>8.8867808471892876E-4</v>
      </c>
      <c r="R2140">
        <v>1.3130582649114092E-3</v>
      </c>
      <c r="S2140">
        <v>0.10089204796690436</v>
      </c>
      <c r="T2140">
        <v>1.0512646471831342</v>
      </c>
      <c r="U2140">
        <v>0</v>
      </c>
      <c r="V2140">
        <v>0.20978165113591449</v>
      </c>
      <c r="W2140">
        <v>8.1736283806138968E-2</v>
      </c>
      <c r="X2140">
        <v>3.0125736361353128E-2</v>
      </c>
      <c r="Y2140">
        <v>3.573711747548159E-3</v>
      </c>
    </row>
    <row r="2141" spans="1:25" x14ac:dyDescent="0.25">
      <c r="A2141" s="1095"/>
      <c r="B2141" s="1454">
        <v>1891</v>
      </c>
      <c r="C2141" s="1099">
        <v>1.0235469672920019</v>
      </c>
      <c r="D2141" s="1099">
        <v>1.0257959871981739</v>
      </c>
      <c r="E2141" s="1099">
        <v>1.0227737384997158</v>
      </c>
      <c r="F2141" s="1099">
        <v>0.99162093016732888</v>
      </c>
      <c r="G2141" s="1099">
        <v>0.96009106441153069</v>
      </c>
      <c r="H2141" s="1099">
        <v>0.97320065196336702</v>
      </c>
      <c r="I2141" s="1099">
        <v>1.0022855946927292</v>
      </c>
      <c r="K2141">
        <v>1.7052023990579956</v>
      </c>
      <c r="L2141">
        <v>0</v>
      </c>
      <c r="M2141">
        <v>1.230021920024241E-3</v>
      </c>
      <c r="N2141">
        <v>0.12118972745777211</v>
      </c>
      <c r="O2141">
        <v>0.12461296135996035</v>
      </c>
      <c r="P2141">
        <v>1.8426816276029948E-2</v>
      </c>
      <c r="Q2141">
        <v>8.8985975676615897E-4</v>
      </c>
      <c r="R2141">
        <v>1.2267501762198909E-3</v>
      </c>
      <c r="S2141">
        <v>0.10238331739211758</v>
      </c>
      <c r="T2141">
        <v>1.0217522650595066</v>
      </c>
      <c r="U2141">
        <v>0</v>
      </c>
      <c r="V2141">
        <v>0.20420820241662918</v>
      </c>
      <c r="W2141">
        <v>7.8552554605616373E-2</v>
      </c>
      <c r="X2141">
        <v>2.9851156895816619E-2</v>
      </c>
      <c r="Y2141">
        <v>3.338809581583637E-3</v>
      </c>
    </row>
    <row r="2142" spans="1:25" x14ac:dyDescent="0.25">
      <c r="A2142" s="1095"/>
      <c r="B2142" s="1454">
        <v>1892</v>
      </c>
      <c r="C2142" s="1099">
        <v>0.97112661798394573</v>
      </c>
      <c r="D2142" s="1099">
        <v>0.99897156805993548</v>
      </c>
      <c r="E2142" s="1099">
        <v>0.99625619582684777</v>
      </c>
      <c r="F2142" s="1099">
        <v>1.0256364059266716</v>
      </c>
      <c r="G2142" s="1099">
        <v>1.0050723224631701</v>
      </c>
      <c r="H2142" s="1099">
        <v>0.99035593596297189</v>
      </c>
      <c r="I2142" s="1099">
        <v>1.0014142412257838</v>
      </c>
      <c r="K2142">
        <v>1.7797582411866031</v>
      </c>
      <c r="L2142">
        <v>0</v>
      </c>
      <c r="M2142">
        <v>1.4139330501021985E-3</v>
      </c>
      <c r="N2142">
        <v>0.12859872587254825</v>
      </c>
      <c r="O2142">
        <v>0.13101373286857926</v>
      </c>
      <c r="P2142">
        <v>1.8793502942413016E-2</v>
      </c>
      <c r="Q2142">
        <v>9.2230910919265628E-4</v>
      </c>
      <c r="R2142">
        <v>1.4102505915565614E-3</v>
      </c>
      <c r="S2142">
        <v>0.11068846167407788</v>
      </c>
      <c r="T2142">
        <v>1.0576021440332126</v>
      </c>
      <c r="U2142">
        <v>0</v>
      </c>
      <c r="V2142">
        <v>0.21331907679989098</v>
      </c>
      <c r="W2142">
        <v>8.4669087785445893E-2</v>
      </c>
      <c r="X2142">
        <v>3.0316645338551947E-2</v>
      </c>
      <c r="Y2142">
        <v>3.8382372212343958E-3</v>
      </c>
    </row>
    <row r="2143" spans="1:25" x14ac:dyDescent="0.25">
      <c r="A2143" s="1095"/>
      <c r="B2143" s="1454">
        <v>1893</v>
      </c>
      <c r="C2143" s="1099">
        <v>0.96102666019178229</v>
      </c>
      <c r="D2143" s="1099">
        <v>1.0221894997875347</v>
      </c>
      <c r="E2143" s="1099">
        <v>0.9827167809527636</v>
      </c>
      <c r="F2143" s="1099">
        <v>1.0108568430531826</v>
      </c>
      <c r="G2143" s="1099">
        <v>0.99491834683213354</v>
      </c>
      <c r="H2143" s="1099">
        <v>0.97683398807750221</v>
      </c>
      <c r="I2143" s="1099">
        <v>1.0095294204587897</v>
      </c>
      <c r="K2143">
        <v>1.7541313771083356</v>
      </c>
      <c r="L2143">
        <v>0</v>
      </c>
      <c r="M2143">
        <v>1.4268803540291167E-3</v>
      </c>
      <c r="N2143">
        <v>0.12456427156575384</v>
      </c>
      <c r="O2143">
        <v>0.12930976878527534</v>
      </c>
      <c r="P2143">
        <v>1.8379353942914439E-2</v>
      </c>
      <c r="Q2143">
        <v>9.1053109924038058E-4</v>
      </c>
      <c r="R2143">
        <v>1.4230883915199006E-3</v>
      </c>
      <c r="S2143">
        <v>0.11001671708666184</v>
      </c>
      <c r="T2143">
        <v>1.042773095016881</v>
      </c>
      <c r="U2143">
        <v>0</v>
      </c>
      <c r="V2143">
        <v>0.21221933122843303</v>
      </c>
      <c r="W2143">
        <v>8.2680994852979264E-2</v>
      </c>
      <c r="X2143">
        <v>2.9407928011950947E-2</v>
      </c>
      <c r="Y2143">
        <v>3.8731774807549851E-3</v>
      </c>
    </row>
    <row r="2144" spans="1:25" x14ac:dyDescent="0.25">
      <c r="A2144" s="1095"/>
      <c r="B2144" s="1454">
        <v>1894</v>
      </c>
      <c r="C2144" s="1099">
        <v>0.99980778365368606</v>
      </c>
      <c r="D2144" s="1099">
        <v>1.0073737120098547</v>
      </c>
      <c r="E2144" s="1099">
        <v>0.99664860627460983</v>
      </c>
      <c r="F2144" s="1099">
        <v>0.99582725095054125</v>
      </c>
      <c r="G2144" s="1099">
        <v>0.99898271483824042</v>
      </c>
      <c r="H2144" s="1099">
        <v>1.0079340641322432</v>
      </c>
      <c r="I2144" s="1099">
        <v>0.99261914749175661</v>
      </c>
      <c r="K2144">
        <v>1.7318080607614681</v>
      </c>
      <c r="L2144">
        <v>0</v>
      </c>
      <c r="M2144">
        <v>1.3895522158197564E-3</v>
      </c>
      <c r="N2144">
        <v>0.12653642704579129</v>
      </c>
      <c r="O2144">
        <v>0.12684335873797509</v>
      </c>
      <c r="P2144">
        <v>1.8270966129962728E-2</v>
      </c>
      <c r="Q2144">
        <v>8.9321884403755771E-4</v>
      </c>
      <c r="R2144">
        <v>1.3859902569105373E-3</v>
      </c>
      <c r="S2144">
        <v>0.1072237304551634</v>
      </c>
      <c r="T2144">
        <v>1.026852277262909</v>
      </c>
      <c r="U2144">
        <v>0</v>
      </c>
      <c r="V2144">
        <v>0.2087243388321271</v>
      </c>
      <c r="W2144">
        <v>8.3291792562803404E-2</v>
      </c>
      <c r="X2144">
        <v>2.9403304261861708E-2</v>
      </c>
      <c r="Y2144">
        <v>3.7722085877450848E-3</v>
      </c>
    </row>
    <row r="2145" spans="1:25" x14ac:dyDescent="0.25">
      <c r="A2145" s="1095"/>
      <c r="B2145" s="1454">
        <v>1895</v>
      </c>
      <c r="C2145" s="1099">
        <v>1.0159082322648663</v>
      </c>
      <c r="D2145" s="1099">
        <v>0.98200877509311013</v>
      </c>
      <c r="E2145" s="1099">
        <v>0.98983226284082049</v>
      </c>
      <c r="F2145" s="1099">
        <v>1.0232042079496055</v>
      </c>
      <c r="G2145" s="1099">
        <v>1.0306853864820931</v>
      </c>
      <c r="H2145" s="1099">
        <v>1.001561307431946</v>
      </c>
      <c r="I2145" s="1099">
        <v>0.96374592590700436</v>
      </c>
      <c r="K2145">
        <v>1.7604733108212747</v>
      </c>
      <c r="L2145">
        <v>0</v>
      </c>
      <c r="M2145">
        <v>1.4042292028086673E-3</v>
      </c>
      <c r="N2145">
        <v>0.12526592628170408</v>
      </c>
      <c r="O2145">
        <v>0.12922860988061005</v>
      </c>
      <c r="P2145">
        <v>1.8549512508573649E-2</v>
      </c>
      <c r="Q2145">
        <v>8.81799136788503E-4</v>
      </c>
      <c r="R2145">
        <v>1.4006373780892554E-3</v>
      </c>
      <c r="S2145">
        <v>0.10389106225872254</v>
      </c>
      <c r="T2145">
        <v>1.0552908994551295</v>
      </c>
      <c r="U2145">
        <v>0</v>
      </c>
      <c r="V2145">
        <v>0.21108624633951947</v>
      </c>
      <c r="W2145">
        <v>8.2792016345604263E-2</v>
      </c>
      <c r="X2145">
        <v>2.9678757216172372E-2</v>
      </c>
      <c r="Y2145">
        <v>3.8120732231713569E-3</v>
      </c>
    </row>
    <row r="2146" spans="1:25" x14ac:dyDescent="0.25">
      <c r="A2146" s="1095"/>
      <c r="B2146" s="1454">
        <v>1896</v>
      </c>
      <c r="C2146" s="1099">
        <v>1.0047353299063413</v>
      </c>
      <c r="D2146" s="1099">
        <v>1.0084984988616361</v>
      </c>
      <c r="E2146" s="1099">
        <v>1.0359004058650627</v>
      </c>
      <c r="F2146" s="1099">
        <v>1.0354048424135136</v>
      </c>
      <c r="G2146" s="1099">
        <v>0.97456837018040243</v>
      </c>
      <c r="H2146" s="1099">
        <v>1.0282888869291722</v>
      </c>
      <c r="I2146" s="1099">
        <v>0.98441873798533119</v>
      </c>
      <c r="K2146">
        <v>1.7880284659210375</v>
      </c>
      <c r="L2146">
        <v>0</v>
      </c>
      <c r="M2146">
        <v>1.3040523152909474E-3</v>
      </c>
      <c r="N2146">
        <v>0.13369104969879989</v>
      </c>
      <c r="O2146">
        <v>0.12966841338064777</v>
      </c>
      <c r="P2146">
        <v>1.9371538586544234E-2</v>
      </c>
      <c r="Q2146">
        <v>9.250204710881813E-4</v>
      </c>
      <c r="R2146">
        <v>1.3007871018228165E-3</v>
      </c>
      <c r="S2146">
        <v>0.10745694543264628</v>
      </c>
      <c r="T2146">
        <v>1.0664743729741657</v>
      </c>
      <c r="U2146">
        <v>0</v>
      </c>
      <c r="V2146">
        <v>0.20925722047066717</v>
      </c>
      <c r="W2146">
        <v>8.5997514402886652E-2</v>
      </c>
      <c r="X2146">
        <v>3.1649342030249356E-2</v>
      </c>
      <c r="Y2146">
        <v>3.5403136868088353E-3</v>
      </c>
    </row>
    <row r="2147" spans="1:25" x14ac:dyDescent="0.25">
      <c r="A2147" s="1095"/>
      <c r="B2147" s="1454">
        <v>1897</v>
      </c>
      <c r="C2147" s="1099">
        <v>0.99546986591244069</v>
      </c>
      <c r="D2147" s="1099">
        <v>0.9753107213810942</v>
      </c>
      <c r="E2147" s="1099">
        <v>1.0248338686427925</v>
      </c>
      <c r="F2147" s="1099">
        <v>1.0084400771903208</v>
      </c>
      <c r="G2147" s="1099">
        <v>1.0179938306628882</v>
      </c>
      <c r="H2147" s="1099">
        <v>1.0153665765327617</v>
      </c>
      <c r="I2147" s="1099">
        <v>0.99621344853250837</v>
      </c>
      <c r="K2147">
        <v>1.7668290236414668</v>
      </c>
      <c r="L2147">
        <v>0</v>
      </c>
      <c r="M2147">
        <v>1.3524006240657358E-3</v>
      </c>
      <c r="N2147">
        <v>0.13409556987861532</v>
      </c>
      <c r="O2147">
        <v>0.12963074219789542</v>
      </c>
      <c r="P2147">
        <v>1.8917255538627491E-2</v>
      </c>
      <c r="Q2147">
        <v>9.3558748605057271E-4</v>
      </c>
      <c r="R2147">
        <v>1.3489826913835857E-3</v>
      </c>
      <c r="S2147">
        <v>0.11089175784994855</v>
      </c>
      <c r="T2147">
        <v>1.039022185784402</v>
      </c>
      <c r="U2147">
        <v>0</v>
      </c>
      <c r="V2147">
        <v>0.21172962588260327</v>
      </c>
      <c r="W2147">
        <v>8.6813456575484671E-2</v>
      </c>
      <c r="X2147">
        <v>3.1124774186598075E-2</v>
      </c>
      <c r="Y2147">
        <v>3.6714861939214209E-3</v>
      </c>
    </row>
    <row r="2148" spans="1:25" x14ac:dyDescent="0.25">
      <c r="A2148" s="1095"/>
      <c r="B2148" s="1454">
        <v>1898</v>
      </c>
      <c r="C2148" s="1099">
        <v>0.99630603416145047</v>
      </c>
      <c r="D2148" s="1099">
        <v>0.98294567307881064</v>
      </c>
      <c r="E2148" s="1099">
        <v>1.0246597709682246</v>
      </c>
      <c r="F2148" s="1099">
        <v>1.0075928840978914</v>
      </c>
      <c r="G2148" s="1099">
        <v>1.0453947073788681</v>
      </c>
      <c r="H2148" s="1099">
        <v>0.9893543975198239</v>
      </c>
      <c r="I2148" s="1099">
        <v>1.0042642997035895</v>
      </c>
      <c r="K2148">
        <v>1.757718835696479</v>
      </c>
      <c r="L2148">
        <v>0</v>
      </c>
      <c r="M2148">
        <v>1.3110879679620851E-3</v>
      </c>
      <c r="N2148">
        <v>0.12992187553925175</v>
      </c>
      <c r="O2148">
        <v>0.12915675553355127</v>
      </c>
      <c r="P2148">
        <v>1.8894218536169124E-2</v>
      </c>
      <c r="Q2148">
        <v>9.3172507941917068E-4</v>
      </c>
      <c r="R2148">
        <v>1.3076823048464457E-3</v>
      </c>
      <c r="S2148">
        <v>0.10930485668964453</v>
      </c>
      <c r="T2148">
        <v>1.0381543865718064</v>
      </c>
      <c r="U2148">
        <v>0</v>
      </c>
      <c r="V2148">
        <v>0.21269920271030979</v>
      </c>
      <c r="W2148">
        <v>8.411994315400996E-2</v>
      </c>
      <c r="X2148">
        <v>3.0980197388994584E-2</v>
      </c>
      <c r="Y2148">
        <v>3.5590801564360877E-3</v>
      </c>
    </row>
    <row r="2149" spans="1:25" x14ac:dyDescent="0.25">
      <c r="A2149" s="1095"/>
      <c r="B2149" s="1454">
        <v>1899</v>
      </c>
      <c r="C2149" s="1099">
        <v>1.0298174348224503</v>
      </c>
      <c r="D2149" s="1099">
        <v>1.0089275570720226</v>
      </c>
      <c r="E2149" s="1099">
        <v>0.99841089718269249</v>
      </c>
      <c r="F2149" s="1099">
        <v>0.98414683001287817</v>
      </c>
      <c r="G2149" s="1099">
        <v>1.0083053186338475</v>
      </c>
      <c r="H2149" s="1099">
        <v>0.98640537379134297</v>
      </c>
      <c r="I2149" s="1099">
        <v>1.0062729268248078</v>
      </c>
      <c r="K2149">
        <v>1.7003808208504763</v>
      </c>
      <c r="L2149">
        <v>0</v>
      </c>
      <c r="M2149">
        <v>1.3160926178219011E-3</v>
      </c>
      <c r="N2149">
        <v>0.12048050598962169</v>
      </c>
      <c r="O2149">
        <v>0.12438965062636284</v>
      </c>
      <c r="P2149">
        <v>1.8051009469410031E-2</v>
      </c>
      <c r="Q2149">
        <v>8.6824235697398366E-4</v>
      </c>
      <c r="R2149">
        <v>1.3126491941341577E-3</v>
      </c>
      <c r="S2149">
        <v>0.1040666917674274</v>
      </c>
      <c r="T2149">
        <v>1.0147562679426474</v>
      </c>
      <c r="U2149">
        <v>0</v>
      </c>
      <c r="V2149">
        <v>0.20606629291776765</v>
      </c>
      <c r="W2149">
        <v>7.9222337440530033E-2</v>
      </c>
      <c r="X2149">
        <v>2.8910667371679435E-2</v>
      </c>
      <c r="Y2149">
        <v>3.5725983917426251E-3</v>
      </c>
    </row>
    <row r="2150" spans="1:25" x14ac:dyDescent="0.25">
      <c r="A2150" s="1095"/>
      <c r="B2150" s="1454">
        <v>1900</v>
      </c>
      <c r="C2150" s="1099">
        <v>1.0202286849263693</v>
      </c>
      <c r="D2150" s="1099">
        <v>1.0076153148079772</v>
      </c>
      <c r="E2150" s="1099">
        <v>0.9946448691688764</v>
      </c>
      <c r="F2150" s="1099">
        <v>0.99917595313704832</v>
      </c>
      <c r="G2150" s="1099">
        <v>0.96952287955493255</v>
      </c>
      <c r="H2150" s="1099">
        <v>0.98811410627220364</v>
      </c>
      <c r="I2150" s="1099">
        <v>1.015426506030819</v>
      </c>
      <c r="K2150">
        <v>1.7219561446797766</v>
      </c>
      <c r="L2150">
        <v>0</v>
      </c>
      <c r="M2150">
        <v>1.342928993934374E-3</v>
      </c>
      <c r="N2150">
        <v>0.12154681206841213</v>
      </c>
      <c r="O2150">
        <v>0.12603660319352539</v>
      </c>
      <c r="P2150">
        <v>1.8237641052702824E-2</v>
      </c>
      <c r="Q2150">
        <v>8.7343555238530198E-4</v>
      </c>
      <c r="R2150">
        <v>1.3394241386281095E-3</v>
      </c>
      <c r="S2150">
        <v>0.10623362316422309</v>
      </c>
      <c r="T2150">
        <v>1.0303650837705478</v>
      </c>
      <c r="U2150">
        <v>0</v>
      </c>
      <c r="V2150">
        <v>0.205767385526819</v>
      </c>
      <c r="W2150">
        <v>8.0103077556428481E-2</v>
      </c>
      <c r="X2150">
        <v>2.9150516685739727E-2</v>
      </c>
      <c r="Y2150">
        <v>3.6454709642970828E-3</v>
      </c>
    </row>
    <row r="2151" spans="1:25" x14ac:dyDescent="0.25">
      <c r="A2151" s="1095"/>
      <c r="B2151" s="1454">
        <v>1901</v>
      </c>
      <c r="C2151" s="1099">
        <v>0.99026889874524393</v>
      </c>
      <c r="D2151" s="1099">
        <v>0.99025867469828255</v>
      </c>
      <c r="E2151" s="1099">
        <v>1.0071276330368839</v>
      </c>
      <c r="F2151" s="1099">
        <v>1.000476728609462</v>
      </c>
      <c r="G2151" s="1099">
        <v>0.99507478558427709</v>
      </c>
      <c r="H2151" s="1099">
        <v>0.97982733985254722</v>
      </c>
      <c r="I2151" s="1099">
        <v>0.99721170704539674</v>
      </c>
      <c r="K2151">
        <v>1.7405887542564864</v>
      </c>
      <c r="L2151">
        <v>0</v>
      </c>
      <c r="M2151">
        <v>1.3474572441008032E-3</v>
      </c>
      <c r="N2151">
        <v>0.12664105007988058</v>
      </c>
      <c r="O2151">
        <v>0.12851695537462815</v>
      </c>
      <c r="P2151">
        <v>1.8504412322507709E-2</v>
      </c>
      <c r="Q2151">
        <v>9.1793468700731044E-4</v>
      </c>
      <c r="R2151">
        <v>1.3439141215537244E-3</v>
      </c>
      <c r="S2151">
        <v>0.10791605463911243</v>
      </c>
      <c r="T2151">
        <v>1.031335540244132</v>
      </c>
      <c r="U2151">
        <v>0</v>
      </c>
      <c r="V2151">
        <v>0.21013377010757675</v>
      </c>
      <c r="W2151">
        <v>8.2843856499302357E-2</v>
      </c>
      <c r="X2151">
        <v>3.0125032207185248E-2</v>
      </c>
      <c r="Y2151">
        <v>3.6576912176981323E-3</v>
      </c>
    </row>
    <row r="2152" spans="1:25" x14ac:dyDescent="0.25">
      <c r="A2152" s="1095"/>
      <c r="B2152" s="1454">
        <v>1902</v>
      </c>
      <c r="C2152" s="1099">
        <v>1.0247949770257607</v>
      </c>
      <c r="D2152" s="1099">
        <v>1.0075727314242946</v>
      </c>
      <c r="E2152" s="1099">
        <v>1.0041732504331473</v>
      </c>
      <c r="F2152" s="1099">
        <v>0.98378975905940846</v>
      </c>
      <c r="G2152" s="1099">
        <v>1.010832843671275</v>
      </c>
      <c r="H2152" s="1099">
        <v>1.0242905618411469</v>
      </c>
      <c r="I2152" s="1099">
        <v>0.99803766628966739</v>
      </c>
      <c r="K2152">
        <v>1.7131941867003848</v>
      </c>
      <c r="L2152">
        <v>0</v>
      </c>
      <c r="M2152">
        <v>1.3575147001363532E-3</v>
      </c>
      <c r="N2152">
        <v>0.12646689885416287</v>
      </c>
      <c r="O2152">
        <v>0.12469561294707418</v>
      </c>
      <c r="P2152">
        <v>1.8160398041396013E-2</v>
      </c>
      <c r="Q2152">
        <v>8.7819413629553129E-4</v>
      </c>
      <c r="R2152">
        <v>1.3540936846904376E-3</v>
      </c>
      <c r="S2152">
        <v>0.10635653795527153</v>
      </c>
      <c r="T2152">
        <v>1.0142197887557904</v>
      </c>
      <c r="U2152">
        <v>0</v>
      </c>
      <c r="V2152">
        <v>0.20662975329596081</v>
      </c>
      <c r="W2152">
        <v>8.2874680965846326E-2</v>
      </c>
      <c r="X2152">
        <v>2.9230346131166218E-2</v>
      </c>
      <c r="Y2152">
        <v>3.6853966328641795E-3</v>
      </c>
    </row>
    <row r="2153" spans="1:25" x14ac:dyDescent="0.25">
      <c r="A2153" s="1095"/>
      <c r="B2153" s="1454">
        <v>1903</v>
      </c>
      <c r="C2153" s="1099">
        <v>1.0061411332980272</v>
      </c>
      <c r="D2153" s="1099">
        <v>1.0017983250464677</v>
      </c>
      <c r="E2153" s="1099">
        <v>1.0235811695152208</v>
      </c>
      <c r="F2153" s="1099">
        <v>1.0004910094757862</v>
      </c>
      <c r="G2153" s="1099">
        <v>1.0034803025139327</v>
      </c>
      <c r="H2153" s="1099">
        <v>1.0241856826132676</v>
      </c>
      <c r="I2153" s="1099">
        <v>1.0111935900685332</v>
      </c>
      <c r="K2153">
        <v>1.7478672699748605</v>
      </c>
      <c r="L2153">
        <v>0</v>
      </c>
      <c r="M2153">
        <v>1.332293606468739E-3</v>
      </c>
      <c r="N2153">
        <v>0.13160501301938907</v>
      </c>
      <c r="O2153">
        <v>0.12723331480302502</v>
      </c>
      <c r="P2153">
        <v>1.8737431722094765E-2</v>
      </c>
      <c r="Q2153">
        <v>9.1462240784666966E-4</v>
      </c>
      <c r="R2153">
        <v>1.3289392402320189E-3</v>
      </c>
      <c r="S2153">
        <v>0.11016917443185049</v>
      </c>
      <c r="T2153">
        <v>1.0308684110643298</v>
      </c>
      <c r="U2153">
        <v>0</v>
      </c>
      <c r="V2153">
        <v>0.20889689638436007</v>
      </c>
      <c r="W2153">
        <v>8.5263330417703564E-2</v>
      </c>
      <c r="X2153">
        <v>3.0565495563288945E-2</v>
      </c>
      <c r="Y2153">
        <v>3.6169345272087511E-3</v>
      </c>
    </row>
    <row r="2154" spans="1:25" x14ac:dyDescent="0.25">
      <c r="A2154" s="1095"/>
      <c r="B2154" s="1454">
        <v>1904</v>
      </c>
      <c r="C2154" s="1099">
        <v>1.0090304472649856</v>
      </c>
      <c r="D2154" s="1099">
        <v>0.99986429880746996</v>
      </c>
      <c r="E2154" s="1099">
        <v>0.98427858432497839</v>
      </c>
      <c r="F2154" s="1099">
        <v>0.99418174580333629</v>
      </c>
      <c r="G2154" s="1099">
        <v>0.98181619677487941</v>
      </c>
      <c r="H2154" s="1099">
        <v>1.0204746205224471</v>
      </c>
      <c r="I2154" s="1099">
        <v>0.99728297172306191</v>
      </c>
      <c r="K2154">
        <v>1.7288322148251121</v>
      </c>
      <c r="L2154">
        <v>0</v>
      </c>
      <c r="M2154">
        <v>1.4373551367637392E-3</v>
      </c>
      <c r="N2154">
        <v>0.12608942964029887</v>
      </c>
      <c r="O2154">
        <v>0.12653514311526087</v>
      </c>
      <c r="P2154">
        <v>1.8075707524436584E-2</v>
      </c>
      <c r="Q2154">
        <v>8.7633783144302146E-4</v>
      </c>
      <c r="R2154">
        <v>1.4337232858169827E-3</v>
      </c>
      <c r="S2154">
        <v>0.1081247133594565</v>
      </c>
      <c r="T2154">
        <v>1.0255245853323427</v>
      </c>
      <c r="U2154">
        <v>0</v>
      </c>
      <c r="V2154">
        <v>0.20722262993073987</v>
      </c>
      <c r="W2154">
        <v>8.3614664546256878E-2</v>
      </c>
      <c r="X2154">
        <v>2.8870513238583539E-2</v>
      </c>
      <c r="Y2154">
        <v>3.9021221572396784E-3</v>
      </c>
    </row>
    <row r="2155" spans="1:25" x14ac:dyDescent="0.25">
      <c r="A2155" s="1095"/>
      <c r="B2155" s="1454">
        <v>1905</v>
      </c>
      <c r="C2155" s="1099">
        <v>0.96384536017046607</v>
      </c>
      <c r="D2155" s="1099">
        <v>1.0134665165007521</v>
      </c>
      <c r="E2155" s="1099">
        <v>1.0016931484648102</v>
      </c>
      <c r="F2155" s="1099">
        <v>1.0065056478840793</v>
      </c>
      <c r="G2155" s="1099">
        <v>0.98350374508567084</v>
      </c>
      <c r="H2155" s="1099">
        <v>0.98649876510771162</v>
      </c>
      <c r="I2155" s="1099">
        <v>1.0094947124180269</v>
      </c>
      <c r="K2155">
        <v>1.7554700434611268</v>
      </c>
      <c r="L2155">
        <v>0</v>
      </c>
      <c r="M2155">
        <v>1.3881649831767064E-3</v>
      </c>
      <c r="N2155">
        <v>0.12834328082057275</v>
      </c>
      <c r="O2155">
        <v>0.1292957552329918</v>
      </c>
      <c r="P2155">
        <v>1.8577659241246741E-2</v>
      </c>
      <c r="Q2155">
        <v>9.2916312613355531E-4</v>
      </c>
      <c r="R2155">
        <v>1.3845173874219234E-3</v>
      </c>
      <c r="S2155">
        <v>0.11099650155799334</v>
      </c>
      <c r="T2155">
        <v>1.0377123002864119</v>
      </c>
      <c r="U2155">
        <v>0</v>
      </c>
      <c r="V2155">
        <v>0.21149803872289658</v>
      </c>
      <c r="W2155">
        <v>8.4228064909729491E-2</v>
      </c>
      <c r="X2155">
        <v>3.0124727236375739E-2</v>
      </c>
      <c r="Y2155">
        <v>3.768199922528373E-3</v>
      </c>
    </row>
    <row r="2156" spans="1:25" x14ac:dyDescent="0.25">
      <c r="A2156" s="1095"/>
      <c r="B2156" s="1454">
        <v>1906</v>
      </c>
      <c r="C2156" s="1099">
        <v>0.97706023023585253</v>
      </c>
      <c r="D2156" s="1099">
        <v>1.0002568722303335</v>
      </c>
      <c r="E2156" s="1099">
        <v>0.9789144550493879</v>
      </c>
      <c r="F2156" s="1099">
        <v>0.98728949761253404</v>
      </c>
      <c r="G2156" s="1099">
        <v>0.99068691770399753</v>
      </c>
      <c r="H2156" s="1099">
        <v>0.98017669732469437</v>
      </c>
      <c r="I2156" s="1099">
        <v>0.98341653955661179</v>
      </c>
      <c r="K2156">
        <v>1.7212188816438485</v>
      </c>
      <c r="L2156">
        <v>0</v>
      </c>
      <c r="M2156">
        <v>1.4365616898469448E-3</v>
      </c>
      <c r="N2156">
        <v>0.12397723896386437</v>
      </c>
      <c r="O2156">
        <v>0.12762418339681644</v>
      </c>
      <c r="P2156">
        <v>1.7931252673680162E-2</v>
      </c>
      <c r="Q2156">
        <v>8.9980228256863299E-4</v>
      </c>
      <c r="R2156">
        <v>1.4327697527773554E-3</v>
      </c>
      <c r="S2156">
        <v>0.10701206961394659</v>
      </c>
      <c r="T2156">
        <v>1.0185753908033821</v>
      </c>
      <c r="U2156">
        <v>0</v>
      </c>
      <c r="V2156">
        <v>0.20998975130166628</v>
      </c>
      <c r="W2156">
        <v>8.248037528766064E-2</v>
      </c>
      <c r="X2156">
        <v>2.8833082302694834E-2</v>
      </c>
      <c r="Y2156">
        <v>3.8995269546378965E-3</v>
      </c>
    </row>
    <row r="2157" spans="1:25" x14ac:dyDescent="0.25">
      <c r="A2157" s="1095"/>
      <c r="B2157" s="1454">
        <v>1907</v>
      </c>
      <c r="C2157" s="1099">
        <v>1.0215598054614172</v>
      </c>
      <c r="D2157" s="1099">
        <v>0.98816077665560176</v>
      </c>
      <c r="E2157" s="1099">
        <v>1.0086451991540712</v>
      </c>
      <c r="F2157" s="1099">
        <v>1.0181527523411968</v>
      </c>
      <c r="G2157" s="1099">
        <v>1.0037529038688418</v>
      </c>
      <c r="H2157" s="1099">
        <v>0.99426607164471092</v>
      </c>
      <c r="I2157" s="1099">
        <v>1.0219087819144121</v>
      </c>
      <c r="K2157">
        <v>1.756311960229562</v>
      </c>
      <c r="L2157">
        <v>0</v>
      </c>
      <c r="M2157">
        <v>1.3283622648826701E-3</v>
      </c>
      <c r="N2157">
        <v>0.12542606209890683</v>
      </c>
      <c r="O2157">
        <v>0.12834788015579279</v>
      </c>
      <c r="P2157">
        <v>1.8768146563702827E-2</v>
      </c>
      <c r="Q2157">
        <v>8.9196950588435573E-4</v>
      </c>
      <c r="R2157">
        <v>1.3249355722183629E-3</v>
      </c>
      <c r="S2157">
        <v>0.10864838259652465</v>
      </c>
      <c r="T2157">
        <v>1.0495111958557835</v>
      </c>
      <c r="U2157">
        <v>0</v>
      </c>
      <c r="V2157">
        <v>0.20892299534863218</v>
      </c>
      <c r="W2157">
        <v>8.1975543735313239E-2</v>
      </c>
      <c r="X2157">
        <v>3.02171731990005E-2</v>
      </c>
      <c r="Y2157">
        <v>3.6060378626843852E-3</v>
      </c>
    </row>
    <row r="2158" spans="1:25" x14ac:dyDescent="0.25">
      <c r="A2158" s="1095"/>
      <c r="B2158" s="1454">
        <v>1908</v>
      </c>
      <c r="C2158" s="1099">
        <v>1.0026179349560727</v>
      </c>
      <c r="D2158" s="1099">
        <v>1.0301507723641068</v>
      </c>
      <c r="E2158" s="1099">
        <v>1.0018819815830526</v>
      </c>
      <c r="F2158" s="1099">
        <v>0.9960348000281759</v>
      </c>
      <c r="G2158" s="1099">
        <v>1.0385014245442756</v>
      </c>
      <c r="H2158" s="1099">
        <v>1.0311029284055491</v>
      </c>
      <c r="I2158" s="1099">
        <v>1.0189380211300911</v>
      </c>
      <c r="K2158">
        <v>1.7368531111207872</v>
      </c>
      <c r="L2158">
        <v>0</v>
      </c>
      <c r="M2158">
        <v>1.3841993785871894E-3</v>
      </c>
      <c r="N2158">
        <v>0.12806402283210838</v>
      </c>
      <c r="O2158">
        <v>0.12571901375574138</v>
      </c>
      <c r="P2158">
        <v>1.8393978877520843E-2</v>
      </c>
      <c r="Q2158">
        <v>8.8758969215030402E-4</v>
      </c>
      <c r="R2158">
        <v>1.380717032911799E-3</v>
      </c>
      <c r="S2158">
        <v>0.10989580621272192</v>
      </c>
      <c r="T2158">
        <v>1.026911223199704</v>
      </c>
      <c r="U2158">
        <v>0</v>
      </c>
      <c r="V2158">
        <v>0.2097618863582911</v>
      </c>
      <c r="W2158">
        <v>8.4035377097942704E-2</v>
      </c>
      <c r="X2158">
        <v>2.9429838829940897E-2</v>
      </c>
      <c r="Y2158">
        <v>3.7578566103383436E-3</v>
      </c>
    </row>
    <row r="2159" spans="1:25" x14ac:dyDescent="0.25">
      <c r="A2159" s="1095"/>
      <c r="B2159" s="1454">
        <v>1909</v>
      </c>
      <c r="C2159" s="1099">
        <v>1.0336437963300573</v>
      </c>
      <c r="D2159" s="1099">
        <v>0.95468460287699886</v>
      </c>
      <c r="E2159" s="1099">
        <v>1.0317794380117065</v>
      </c>
      <c r="F2159" s="1099">
        <v>1.0291903922633885</v>
      </c>
      <c r="G2159" s="1099">
        <v>0.99505817396759189</v>
      </c>
      <c r="H2159" s="1099">
        <v>0.95340551150519914</v>
      </c>
      <c r="I2159" s="1099">
        <v>1.0153176543687021</v>
      </c>
      <c r="K2159">
        <v>1.7650995325139114</v>
      </c>
      <c r="L2159">
        <v>0</v>
      </c>
      <c r="M2159">
        <v>1.226792578878168E-3</v>
      </c>
      <c r="N2159">
        <v>0.12419770972159259</v>
      </c>
      <c r="O2159">
        <v>0.13025960910027759</v>
      </c>
      <c r="P2159">
        <v>1.9208849107008746E-2</v>
      </c>
      <c r="Q2159">
        <v>9.1524142064530615E-4</v>
      </c>
      <c r="R2159">
        <v>1.2235203024984652E-3</v>
      </c>
      <c r="S2159">
        <v>0.10626715920988768</v>
      </c>
      <c r="T2159">
        <v>1.0601952759445661</v>
      </c>
      <c r="U2159">
        <v>0</v>
      </c>
      <c r="V2159">
        <v>0.20920727127580957</v>
      </c>
      <c r="W2159">
        <v>8.0081631881882442E-2</v>
      </c>
      <c r="X2159">
        <v>3.1440038198578366E-2</v>
      </c>
      <c r="Y2159">
        <v>3.3300189300415014E-3</v>
      </c>
    </row>
    <row r="2160" spans="1:25" x14ac:dyDescent="0.25">
      <c r="A2160" s="1095"/>
      <c r="B2160" s="1454">
        <v>1910</v>
      </c>
      <c r="C2160" s="1099">
        <v>0.9985948120514665</v>
      </c>
      <c r="D2160" s="1099">
        <v>0.9944092276094717</v>
      </c>
      <c r="E2160" s="1099">
        <v>0.97283351677215457</v>
      </c>
      <c r="F2160" s="1099">
        <v>0.98220259670295018</v>
      </c>
      <c r="G2160" s="1099">
        <v>0.99566476806600135</v>
      </c>
      <c r="H2160" s="1099">
        <v>1.0420251850131739</v>
      </c>
      <c r="I2160" s="1099">
        <v>0.97620672449046686</v>
      </c>
      <c r="K2160">
        <v>1.7228002219644267</v>
      </c>
      <c r="L2160">
        <v>0</v>
      </c>
      <c r="M2160">
        <v>1.5205079741562892E-3</v>
      </c>
      <c r="N2160">
        <v>0.12884997639973483</v>
      </c>
      <c r="O2160">
        <v>0.12635846373221074</v>
      </c>
      <c r="P2160">
        <v>1.7779201174177837E-2</v>
      </c>
      <c r="Q2160">
        <v>8.7684741146634552E-4</v>
      </c>
      <c r="R2160">
        <v>1.5167420726801572E-3</v>
      </c>
      <c r="S2160">
        <v>0.10862626780678776</v>
      </c>
      <c r="T2160">
        <v>1.0135091463286638</v>
      </c>
      <c r="U2160">
        <v>0</v>
      </c>
      <c r="V2160">
        <v>0.20826974044021918</v>
      </c>
      <c r="W2160">
        <v>8.603851128742325E-2</v>
      </c>
      <c r="X2160">
        <v>2.8367761357270444E-2</v>
      </c>
      <c r="Y2160">
        <v>4.1280719279455057E-3</v>
      </c>
    </row>
    <row r="2161" spans="1:25" x14ac:dyDescent="0.25">
      <c r="A2161" s="1095"/>
      <c r="B2161" s="1454">
        <v>1911</v>
      </c>
      <c r="C2161" s="1099">
        <v>1.0137556191816515</v>
      </c>
      <c r="D2161" s="1099">
        <v>0.99469060913498164</v>
      </c>
      <c r="E2161" s="1099">
        <v>0.98059297085901909</v>
      </c>
      <c r="F2161" s="1099">
        <v>0.99438481255044886</v>
      </c>
      <c r="G2161" s="1099">
        <v>0.99715314738702177</v>
      </c>
      <c r="H2161" s="1099">
        <v>0.98611166816256413</v>
      </c>
      <c r="I2161" s="1099">
        <v>0.98533104235433766</v>
      </c>
      <c r="K2161">
        <v>1.7176609750092848</v>
      </c>
      <c r="L2161">
        <v>0</v>
      </c>
      <c r="M2161">
        <v>1.3978982747790563E-3</v>
      </c>
      <c r="N2161">
        <v>0.12125824519763273</v>
      </c>
      <c r="O2161">
        <v>0.12653632703993722</v>
      </c>
      <c r="P2161">
        <v>1.7985705686068658E-2</v>
      </c>
      <c r="Q2161">
        <v>8.7070007490187178E-4</v>
      </c>
      <c r="R2161">
        <v>1.3942481198434878E-3</v>
      </c>
      <c r="S2161">
        <v>0.10435266482323134</v>
      </c>
      <c r="T2161">
        <v>1.0258449213194611</v>
      </c>
      <c r="U2161">
        <v>0</v>
      </c>
      <c r="V2161">
        <v>0.20773154263412108</v>
      </c>
      <c r="W2161">
        <v>8.058972837147986E-2</v>
      </c>
      <c r="X2161">
        <v>2.870010624893846E-2</v>
      </c>
      <c r="Y2161">
        <v>3.7946837684447918E-3</v>
      </c>
    </row>
    <row r="2162" spans="1:25" x14ac:dyDescent="0.25">
      <c r="A2162" s="1095"/>
      <c r="B2162" s="1454">
        <v>1912</v>
      </c>
      <c r="C2162" s="1099">
        <v>0.97318042472687505</v>
      </c>
      <c r="D2162" s="1099">
        <v>1.0245917849907615</v>
      </c>
      <c r="E2162" s="1099">
        <v>1.003816576666045</v>
      </c>
      <c r="F2162" s="1099">
        <v>1.011580504762192</v>
      </c>
      <c r="G2162" s="1099">
        <v>1.003378656546682</v>
      </c>
      <c r="H2162" s="1099">
        <v>1.0109463916329764</v>
      </c>
      <c r="I2162" s="1099">
        <v>1.0060209872423489</v>
      </c>
      <c r="K2162">
        <v>1.7622564658971058</v>
      </c>
      <c r="L2162">
        <v>0</v>
      </c>
      <c r="M2162">
        <v>1.3954876458612765E-3</v>
      </c>
      <c r="N2162">
        <v>0.1298585041989794</v>
      </c>
      <c r="O2162">
        <v>0.12868193963260166</v>
      </c>
      <c r="P2162">
        <v>1.8673891695977912E-2</v>
      </c>
      <c r="Q2162">
        <v>9.1825670784903438E-4</v>
      </c>
      <c r="R2162">
        <v>1.3919065958629723E-3</v>
      </c>
      <c r="S2162">
        <v>0.11064728910751431</v>
      </c>
      <c r="T2162">
        <v>1.042880824855146</v>
      </c>
      <c r="U2162">
        <v>0</v>
      </c>
      <c r="V2162">
        <v>0.21156686008110398</v>
      </c>
      <c r="W2162">
        <v>8.5115209330925395E-2</v>
      </c>
      <c r="X2162">
        <v>3.0128960424953336E-2</v>
      </c>
      <c r="Y2162">
        <v>3.7883109120530017E-3</v>
      </c>
    </row>
    <row r="2163" spans="1:25" x14ac:dyDescent="0.25">
      <c r="A2163" s="1095"/>
      <c r="B2163" s="1454">
        <v>1913</v>
      </c>
      <c r="C2163" s="1099">
        <v>0.9828230755564733</v>
      </c>
      <c r="D2163" s="1099">
        <v>1.0429650613624473</v>
      </c>
      <c r="E2163" s="1099">
        <v>0.96890482587877724</v>
      </c>
      <c r="F2163" s="1099">
        <v>0.97976955415011591</v>
      </c>
      <c r="G2163" s="1099">
        <v>0.98799660518319721</v>
      </c>
      <c r="H2163" s="1099">
        <v>1.0145673656849523</v>
      </c>
      <c r="I2163" s="1099">
        <v>0.99555955000348417</v>
      </c>
      <c r="K2163">
        <v>1.7071814325348909</v>
      </c>
      <c r="L2163">
        <v>0</v>
      </c>
      <c r="M2163">
        <v>1.4723529860928757E-3</v>
      </c>
      <c r="N2163">
        <v>0.1232823478471558</v>
      </c>
      <c r="O2163">
        <v>0.12481782471174346</v>
      </c>
      <c r="P2163">
        <v>1.7668505069891639E-2</v>
      </c>
      <c r="Q2163">
        <v>8.7048111654537707E-4</v>
      </c>
      <c r="R2163">
        <v>1.4685683513834286E-3</v>
      </c>
      <c r="S2163">
        <v>0.10729626044038798</v>
      </c>
      <c r="T2163">
        <v>1.0111163294123704</v>
      </c>
      <c r="U2163">
        <v>0</v>
      </c>
      <c r="V2163">
        <v>0.20769416227420301</v>
      </c>
      <c r="W2163">
        <v>8.2517712449456215E-2</v>
      </c>
      <c r="X2163">
        <v>2.7924634908806079E-2</v>
      </c>
      <c r="Y2163">
        <v>3.9969589390387661E-3</v>
      </c>
    </row>
    <row r="2164" spans="1:25" x14ac:dyDescent="0.25">
      <c r="A2164" s="1095"/>
      <c r="B2164" s="1454">
        <v>1914</v>
      </c>
      <c r="C2164" s="1099">
        <v>1.0268310150799715</v>
      </c>
      <c r="D2164" s="1099">
        <v>1.0092504588977218</v>
      </c>
      <c r="E2164" s="1099">
        <v>0.98585569504553028</v>
      </c>
      <c r="F2164" s="1099">
        <v>1.0350628941758262</v>
      </c>
      <c r="G2164" s="1099">
        <v>1.0021422525642614</v>
      </c>
      <c r="H2164" s="1099">
        <v>0.97876882824869016</v>
      </c>
      <c r="I2164" s="1099">
        <v>1.0242352635351895</v>
      </c>
      <c r="K2164">
        <v>1.7606951118544079</v>
      </c>
      <c r="L2164">
        <v>0</v>
      </c>
      <c r="M2164">
        <v>1.3493034468676946E-3</v>
      </c>
      <c r="N2164">
        <v>0.11891930865803843</v>
      </c>
      <c r="O2164">
        <v>0.12827060174182739</v>
      </c>
      <c r="P2164">
        <v>1.8654476980704281E-2</v>
      </c>
      <c r="Q2164">
        <v>8.5934888786744429E-4</v>
      </c>
      <c r="R2164">
        <v>1.345759454966904E-3</v>
      </c>
      <c r="S2164">
        <v>0.10592997038756516</v>
      </c>
      <c r="T2164">
        <v>1.0676453102098298</v>
      </c>
      <c r="U2164">
        <v>0</v>
      </c>
      <c r="V2164">
        <v>0.20858745478925605</v>
      </c>
      <c r="W2164">
        <v>7.878512477645544E-2</v>
      </c>
      <c r="X2164">
        <v>2.9384345807828064E-2</v>
      </c>
      <c r="Y2164">
        <v>3.6627136069348112E-3</v>
      </c>
    </row>
    <row r="2165" spans="1:25" x14ac:dyDescent="0.25">
      <c r="A2165" s="1095"/>
      <c r="B2165" s="1454">
        <v>1915</v>
      </c>
      <c r="C2165" s="1099">
        <v>0.98191241009807051</v>
      </c>
      <c r="D2165" s="1099">
        <v>0.98094529820935694</v>
      </c>
      <c r="E2165" s="1099">
        <v>0.95948628441896477</v>
      </c>
      <c r="F2165" s="1099">
        <v>1.0010305026322788</v>
      </c>
      <c r="G2165" s="1099">
        <v>0.99698016507329257</v>
      </c>
      <c r="H2165" s="1099">
        <v>1.0279779039086363</v>
      </c>
      <c r="I2165" s="1099">
        <v>0.96858413397065191</v>
      </c>
      <c r="K2165">
        <v>1.7501034224010263</v>
      </c>
      <c r="L2165">
        <v>0</v>
      </c>
      <c r="M2165">
        <v>1.5810693710653287E-3</v>
      </c>
      <c r="N2165">
        <v>0.12867031785276492</v>
      </c>
      <c r="O2165">
        <v>0.12924299702749276</v>
      </c>
      <c r="P2165">
        <v>1.791003628740373E-2</v>
      </c>
      <c r="Q2165">
        <v>8.8407455267049627E-4</v>
      </c>
      <c r="R2165">
        <v>1.577111031039691E-3</v>
      </c>
      <c r="S2165">
        <v>0.10955027715056195</v>
      </c>
      <c r="T2165">
        <v>1.0333478708081392</v>
      </c>
      <c r="U2165">
        <v>0</v>
      </c>
      <c r="V2165">
        <v>0.21112967461724569</v>
      </c>
      <c r="W2165">
        <v>8.662150793041902E-2</v>
      </c>
      <c r="X2165">
        <v>2.8458248182375741E-2</v>
      </c>
      <c r="Y2165">
        <v>4.2923763319783802E-3</v>
      </c>
    </row>
    <row r="2166" spans="1:25" x14ac:dyDescent="0.25">
      <c r="A2166" s="1095"/>
      <c r="B2166" s="1454">
        <v>1916</v>
      </c>
      <c r="C2166" s="1099">
        <v>0.99647264076932884</v>
      </c>
      <c r="D2166" s="1099">
        <v>1.0323696652962635</v>
      </c>
      <c r="E2166" s="1099">
        <v>0.98939624738787346</v>
      </c>
      <c r="F2166" s="1099">
        <v>1.0167239517216595</v>
      </c>
      <c r="G2166" s="1099">
        <v>0.97278786234306946</v>
      </c>
      <c r="H2166" s="1099">
        <v>1.0235923285552404</v>
      </c>
      <c r="I2166" s="1099">
        <v>0.96676619880707026</v>
      </c>
      <c r="K2166">
        <v>1.7508826184164534</v>
      </c>
      <c r="L2166">
        <v>0</v>
      </c>
      <c r="M2166">
        <v>1.41877521536314E-3</v>
      </c>
      <c r="N2166">
        <v>0.12640003575055214</v>
      </c>
      <c r="O2166">
        <v>0.12743320425165217</v>
      </c>
      <c r="P2166">
        <v>1.8418327669509071E-2</v>
      </c>
      <c r="Q2166">
        <v>8.8079208625377531E-4</v>
      </c>
      <c r="R2166">
        <v>1.4151826188805172E-3</v>
      </c>
      <c r="S2166">
        <v>0.10433527143859431</v>
      </c>
      <c r="T2166">
        <v>1.0486207440672137</v>
      </c>
      <c r="U2166">
        <v>0</v>
      </c>
      <c r="V2166">
        <v>0.20806825994427416</v>
      </c>
      <c r="W2166">
        <v>8.3563413941594195E-2</v>
      </c>
      <c r="X2166">
        <v>2.9314501289525355E-2</v>
      </c>
      <c r="Y2166">
        <v>3.8516605737678334E-3</v>
      </c>
    </row>
    <row r="2167" spans="1:25" x14ac:dyDescent="0.25">
      <c r="A2167" s="1095"/>
      <c r="B2167" s="1454">
        <v>1917</v>
      </c>
      <c r="C2167" s="1099">
        <v>0.98229289525754604</v>
      </c>
      <c r="D2167" s="1099">
        <v>0.95601724833662105</v>
      </c>
      <c r="E2167" s="1099">
        <v>0.9958826355250654</v>
      </c>
      <c r="F2167" s="1099">
        <v>0.99259064124211449</v>
      </c>
      <c r="G2167" s="1099">
        <v>1.0193177421183177</v>
      </c>
      <c r="H2167" s="1099">
        <v>1.0416759031734899</v>
      </c>
      <c r="I2167" s="1099">
        <v>0.99731293870318227</v>
      </c>
      <c r="K2167">
        <v>1.7621479522681582</v>
      </c>
      <c r="L2167">
        <v>0</v>
      </c>
      <c r="M2167">
        <v>1.5069253597694789E-3</v>
      </c>
      <c r="N2167">
        <v>0.13692156617621964</v>
      </c>
      <c r="O2167">
        <v>0.12991010133991063</v>
      </c>
      <c r="P2167">
        <v>1.8381964993642187E-2</v>
      </c>
      <c r="Q2167">
        <v>9.2763634090252541E-4</v>
      </c>
      <c r="R2167">
        <v>1.5032173232614396E-3</v>
      </c>
      <c r="S2167">
        <v>0.11556508044496505</v>
      </c>
      <c r="T2167">
        <v>1.023537516675642</v>
      </c>
      <c r="U2167">
        <v>0</v>
      </c>
      <c r="V2167">
        <v>0.21262428633190342</v>
      </c>
      <c r="W2167">
        <v>9.0168905213344169E-2</v>
      </c>
      <c r="X2167">
        <v>3.0023340769675215E-2</v>
      </c>
      <c r="Y2167">
        <v>4.0912620184602021E-3</v>
      </c>
    </row>
    <row r="2168" spans="1:25" x14ac:dyDescent="0.25">
      <c r="A2168" s="1095"/>
      <c r="B2168" s="1454">
        <v>1918</v>
      </c>
      <c r="C2168" s="1099">
        <v>0.98698724407558236</v>
      </c>
      <c r="D2168" s="1099">
        <v>0.97978681525632016</v>
      </c>
      <c r="E2168" s="1099">
        <v>0.97804100958696594</v>
      </c>
      <c r="F2168" s="1099">
        <v>1.0213033973815198</v>
      </c>
      <c r="G2168" s="1099">
        <v>1.0316095624008363</v>
      </c>
      <c r="H2168" s="1099">
        <v>1.0185730049626727</v>
      </c>
      <c r="I2168" s="1099">
        <v>1.0137382674893705</v>
      </c>
      <c r="K2168">
        <v>1.7803002810651478</v>
      </c>
      <c r="L2168">
        <v>0</v>
      </c>
      <c r="M2168">
        <v>1.5043748327852472E-3</v>
      </c>
      <c r="N2168">
        <v>0.1295023719816224</v>
      </c>
      <c r="O2168">
        <v>0.13066076546665856</v>
      </c>
      <c r="P2168">
        <v>1.85271959524092E-2</v>
      </c>
      <c r="Q2168">
        <v>8.9732759893554673E-4</v>
      </c>
      <c r="R2168">
        <v>1.5005830182561696E-3</v>
      </c>
      <c r="S2168">
        <v>0.11366766234020345</v>
      </c>
      <c r="T2168">
        <v>1.0536942370000351</v>
      </c>
      <c r="U2168">
        <v>0</v>
      </c>
      <c r="V2168">
        <v>0.21352055342415568</v>
      </c>
      <c r="W2168">
        <v>8.6201677565977727E-2</v>
      </c>
      <c r="X2168">
        <v>2.9548189241044444E-2</v>
      </c>
      <c r="Y2168">
        <v>4.084092308634271E-3</v>
      </c>
    </row>
    <row r="2169" spans="1:25" x14ac:dyDescent="0.25">
      <c r="A2169" s="1095"/>
      <c r="B2169" s="1454">
        <v>1919</v>
      </c>
      <c r="C2169" s="1099">
        <v>1.0299316422215055</v>
      </c>
      <c r="D2169" s="1099">
        <v>0.98220837524329629</v>
      </c>
      <c r="E2169" s="1099">
        <v>1.0087095421065098</v>
      </c>
      <c r="F2169" s="1099">
        <v>1.0292350922243003</v>
      </c>
      <c r="G2169" s="1099">
        <v>0.98652296669185868</v>
      </c>
      <c r="H2169" s="1099">
        <v>1.0146042755817704</v>
      </c>
      <c r="I2169" s="1099">
        <v>0.99694299051716606</v>
      </c>
      <c r="K2169">
        <v>1.7700341317513395</v>
      </c>
      <c r="L2169">
        <v>0</v>
      </c>
      <c r="M2169">
        <v>1.35128964324506E-3</v>
      </c>
      <c r="N2169">
        <v>0.12762319264031693</v>
      </c>
      <c r="O2169">
        <v>0.12903053160880906</v>
      </c>
      <c r="P2169">
        <v>1.8893203673046619E-2</v>
      </c>
      <c r="Q2169">
        <v>8.8691874346732654E-4</v>
      </c>
      <c r="R2169">
        <v>1.3478830357289467E-3</v>
      </c>
      <c r="S2169">
        <v>0.10703234221466403</v>
      </c>
      <c r="T2169">
        <v>1.0609329130519209</v>
      </c>
      <c r="U2169">
        <v>0</v>
      </c>
      <c r="V2169">
        <v>0.2081634814391807</v>
      </c>
      <c r="W2169">
        <v>8.3408368924486012E-2</v>
      </c>
      <c r="X2169">
        <v>3.0398092769232301E-2</v>
      </c>
      <c r="Y2169">
        <v>3.6684932937308809E-3</v>
      </c>
    </row>
    <row r="2170" spans="1:25" x14ac:dyDescent="0.25">
      <c r="A2170" s="1095"/>
      <c r="B2170" s="1454">
        <v>1920</v>
      </c>
      <c r="C2170" s="1099">
        <v>0.97573916541218819</v>
      </c>
      <c r="D2170" s="1099">
        <v>1.0169430769159609</v>
      </c>
      <c r="E2170" s="1099">
        <v>0.99454383634264198</v>
      </c>
      <c r="F2170" s="1099">
        <v>0.98933666842254742</v>
      </c>
      <c r="G2170" s="1099">
        <v>0.97998724273616133</v>
      </c>
      <c r="H2170" s="1099">
        <v>0.99272579972952379</v>
      </c>
      <c r="I2170" s="1099">
        <v>1.0133492521604552</v>
      </c>
      <c r="K2170">
        <v>1.7288395321508812</v>
      </c>
      <c r="L2170">
        <v>0</v>
      </c>
      <c r="M2170">
        <v>1.3970371779616683E-3</v>
      </c>
      <c r="N2170">
        <v>0.12640493735113947</v>
      </c>
      <c r="O2170">
        <v>0.1271599234416963</v>
      </c>
      <c r="P2170">
        <v>1.8200056894409389E-2</v>
      </c>
      <c r="Q2170">
        <v>9.098049178322688E-4</v>
      </c>
      <c r="R2170">
        <v>1.3933852342764054E-3</v>
      </c>
      <c r="S2170">
        <v>0.11022992926210307</v>
      </c>
      <c r="T2170">
        <v>1.0202216546908338</v>
      </c>
      <c r="U2170">
        <v>0</v>
      </c>
      <c r="V2170">
        <v>0.20924489657276552</v>
      </c>
      <c r="W2170">
        <v>8.3309755010024272E-2</v>
      </c>
      <c r="X2170">
        <v>2.9369890675381864E-2</v>
      </c>
      <c r="Y2170">
        <v>3.7923352783813444E-3</v>
      </c>
    </row>
    <row r="2171" spans="1:25" x14ac:dyDescent="0.25">
      <c r="A2171" s="1095"/>
      <c r="B2171" s="1454">
        <v>1921</v>
      </c>
      <c r="C2171" s="1099">
        <v>0.9862702589952016</v>
      </c>
      <c r="D2171" s="1099">
        <v>1.0109329065742791</v>
      </c>
      <c r="E2171" s="1099">
        <v>1.0247503488157941</v>
      </c>
      <c r="F2171" s="1099">
        <v>1.0063646003248583</v>
      </c>
      <c r="G2171" s="1099">
        <v>0.99524391087761466</v>
      </c>
      <c r="H2171" s="1099">
        <v>0.98031384125815912</v>
      </c>
      <c r="I2171" s="1099">
        <v>0.97476478079805784</v>
      </c>
      <c r="K2171">
        <v>1.7445583482655911</v>
      </c>
      <c r="L2171">
        <v>0</v>
      </c>
      <c r="M2171">
        <v>1.2893534678348319E-3</v>
      </c>
      <c r="N2171">
        <v>0.12779783464289365</v>
      </c>
      <c r="O2171">
        <v>0.12829354513629204</v>
      </c>
      <c r="P2171">
        <v>1.877865996917635E-2</v>
      </c>
      <c r="Q2171">
        <v>9.3078148474138103E-4</v>
      </c>
      <c r="R2171">
        <v>1.2859522106187355E-3</v>
      </c>
      <c r="S2171">
        <v>0.10464620814536885</v>
      </c>
      <c r="T2171">
        <v>1.0368862045015486</v>
      </c>
      <c r="U2171">
        <v>0</v>
      </c>
      <c r="V2171">
        <v>0.21022053752875022</v>
      </c>
      <c r="W2171">
        <v>8.2740331194546352E-2</v>
      </c>
      <c r="X2171">
        <v>3.0767708916216316E-2</v>
      </c>
      <c r="Y2171">
        <v>3.4999380032718973E-3</v>
      </c>
    </row>
    <row r="2172" spans="1:25" x14ac:dyDescent="0.25">
      <c r="A2172" s="1095"/>
      <c r="B2172" s="1454">
        <v>1922</v>
      </c>
      <c r="C2172" s="1099">
        <v>0.99789433674590655</v>
      </c>
      <c r="D2172" s="1099">
        <v>1.000844999606096</v>
      </c>
      <c r="E2172" s="1099">
        <v>1.0118973755275404</v>
      </c>
      <c r="F2172" s="1099">
        <v>0.98828618220855424</v>
      </c>
      <c r="G2172" s="1099">
        <v>1.019536930043166</v>
      </c>
      <c r="H2172" s="1099">
        <v>1.0382214844767348</v>
      </c>
      <c r="I2172" s="1099">
        <v>0.99805248914699907</v>
      </c>
      <c r="K2172">
        <v>1.738300089310659</v>
      </c>
      <c r="L2172">
        <v>0</v>
      </c>
      <c r="M2172">
        <v>1.3935480749406037E-3</v>
      </c>
      <c r="N2172">
        <v>0.13289150990462581</v>
      </c>
      <c r="O2172">
        <v>0.1267236950996142</v>
      </c>
      <c r="P2172">
        <v>1.8425365972240086E-2</v>
      </c>
      <c r="Q2172">
        <v>9.1152790057138892E-4</v>
      </c>
      <c r="R2172">
        <v>1.3900814702982715E-3</v>
      </c>
      <c r="S2172">
        <v>0.11053382126604468</v>
      </c>
      <c r="T2172">
        <v>1.0186301909208793</v>
      </c>
      <c r="U2172">
        <v>0</v>
      </c>
      <c r="V2172">
        <v>0.20972277080094134</v>
      </c>
      <c r="W2172">
        <v>8.6688416989212244E-2</v>
      </c>
      <c r="X2172">
        <v>2.9992913539253319E-2</v>
      </c>
      <c r="Y2172">
        <v>3.7833435219183651E-3</v>
      </c>
    </row>
    <row r="2173" spans="1:25" x14ac:dyDescent="0.25">
      <c r="A2173" s="1095"/>
      <c r="B2173" s="1454">
        <v>1923</v>
      </c>
      <c r="C2173" s="1099">
        <v>0.95798596241393963</v>
      </c>
      <c r="D2173" s="1099">
        <v>0.95981955079193837</v>
      </c>
      <c r="E2173" s="1099">
        <v>1.0368129913489745</v>
      </c>
      <c r="F2173" s="1099">
        <v>0.99805103771047732</v>
      </c>
      <c r="G2173" s="1099">
        <v>0.99556335849478184</v>
      </c>
      <c r="H2173" s="1099">
        <v>0.99536077702808712</v>
      </c>
      <c r="I2173" s="1099">
        <v>1.0252214110057929</v>
      </c>
      <c r="K2173">
        <v>1.7753003331019206</v>
      </c>
      <c r="L2173">
        <v>0</v>
      </c>
      <c r="M2173">
        <v>1.3505323933847482E-3</v>
      </c>
      <c r="N2173">
        <v>0.13882662376093935</v>
      </c>
      <c r="O2173">
        <v>0.13165006993590819</v>
      </c>
      <c r="P2173">
        <v>1.905737402142282E-2</v>
      </c>
      <c r="Q2173">
        <v>9.9046974122257974E-4</v>
      </c>
      <c r="R2173">
        <v>1.3470460373990406E-3</v>
      </c>
      <c r="S2173">
        <v>0.11792464345323238</v>
      </c>
      <c r="T2173">
        <v>1.0279735920667763</v>
      </c>
      <c r="U2173">
        <v>0</v>
      </c>
      <c r="V2173">
        <v>0.21395020035505219</v>
      </c>
      <c r="W2173">
        <v>8.9253942967751479E-2</v>
      </c>
      <c r="X2173">
        <v>3.2010687895407473E-2</v>
      </c>
      <c r="Y2173">
        <v>3.6662152601933022E-3</v>
      </c>
    </row>
    <row r="2174" spans="1:25" x14ac:dyDescent="0.25">
      <c r="A2174" s="1095"/>
      <c r="B2174" s="1454">
        <v>1924</v>
      </c>
      <c r="C2174" s="1099">
        <v>1.0184598963779528</v>
      </c>
      <c r="D2174" s="1099">
        <v>1.0046011825127579</v>
      </c>
      <c r="E2174" s="1099">
        <v>0.99383506241635577</v>
      </c>
      <c r="F2174" s="1099">
        <v>0.99984370776712261</v>
      </c>
      <c r="G2174" s="1099">
        <v>0.98499327164905803</v>
      </c>
      <c r="H2174" s="1099">
        <v>0.99355243801340365</v>
      </c>
      <c r="I2174" s="1099">
        <v>0.98662244848626257</v>
      </c>
      <c r="K2174">
        <v>1.7234065997603205</v>
      </c>
      <c r="L2174">
        <v>0</v>
      </c>
      <c r="M2174">
        <v>1.3572230442067681E-3</v>
      </c>
      <c r="N2174">
        <v>0.12254215769462067</v>
      </c>
      <c r="O2174">
        <v>0.12630851039248772</v>
      </c>
      <c r="P2174">
        <v>1.8219021974998025E-2</v>
      </c>
      <c r="Q2174">
        <v>8.7526413414485869E-4</v>
      </c>
      <c r="R2174">
        <v>1.3537019877505705E-3</v>
      </c>
      <c r="S2174">
        <v>0.10395203319938458</v>
      </c>
      <c r="T2174">
        <v>1.0310778904792448</v>
      </c>
      <c r="U2174">
        <v>0</v>
      </c>
      <c r="V2174">
        <v>0.20678099725054125</v>
      </c>
      <c r="W2174">
        <v>8.0798097274674893E-2</v>
      </c>
      <c r="X2174">
        <v>2.9171817853760336E-2</v>
      </c>
      <c r="Y2174">
        <v>3.6843305629167232E-3</v>
      </c>
    </row>
    <row r="2175" spans="1:25" x14ac:dyDescent="0.25">
      <c r="A2175" s="1095"/>
      <c r="B2175" s="1454">
        <v>1925</v>
      </c>
      <c r="C2175" s="1099">
        <v>0.97502563084827909</v>
      </c>
      <c r="D2175" s="1099">
        <v>0.99857066459594312</v>
      </c>
      <c r="E2175" s="1099">
        <v>0.96713726965111391</v>
      </c>
      <c r="F2175" s="1099">
        <v>0.99397940675497953</v>
      </c>
      <c r="G2175" s="1099">
        <v>0.97850236255516887</v>
      </c>
      <c r="H2175" s="1099">
        <v>0.97546850697219678</v>
      </c>
      <c r="I2175" s="1099">
        <v>0.9943978964507566</v>
      </c>
      <c r="K2175">
        <v>1.7280208888431321</v>
      </c>
      <c r="L2175">
        <v>0</v>
      </c>
      <c r="M2175">
        <v>1.4699907442461046E-3</v>
      </c>
      <c r="N2175">
        <v>0.12241766453750544</v>
      </c>
      <c r="O2175">
        <v>0.1282751323339196</v>
      </c>
      <c r="P2175">
        <v>1.7882646765677877E-2</v>
      </c>
      <c r="Q2175">
        <v>8.9117997828429404E-4</v>
      </c>
      <c r="R2175">
        <v>1.4660946996600947E-3</v>
      </c>
      <c r="S2175">
        <v>0.10821966468371476</v>
      </c>
      <c r="T2175">
        <v>1.0258347196839421</v>
      </c>
      <c r="U2175">
        <v>0</v>
      </c>
      <c r="V2175">
        <v>0.20994836257481439</v>
      </c>
      <c r="W2175">
        <v>8.2027281635968299E-2</v>
      </c>
      <c r="X2175">
        <v>2.8537906219403778E-2</v>
      </c>
      <c r="Y2175">
        <v>3.9902264744869232E-3</v>
      </c>
    </row>
    <row r="2176" spans="1:25" x14ac:dyDescent="0.25">
      <c r="A2176" s="1095"/>
      <c r="B2176" s="1454">
        <v>1926</v>
      </c>
      <c r="C2176" s="1099">
        <v>1.0070319626897448</v>
      </c>
      <c r="D2176" s="1099">
        <v>1.0045920260778178</v>
      </c>
      <c r="E2176" s="1099">
        <v>0.9823123664751563</v>
      </c>
      <c r="F2176" s="1099">
        <v>1.013628076039865</v>
      </c>
      <c r="G2176" s="1099">
        <v>1.0005020313979796</v>
      </c>
      <c r="H2176" s="1099">
        <v>1.0332648000858637</v>
      </c>
      <c r="I2176" s="1099">
        <v>1.0027882023326131</v>
      </c>
      <c r="K2176">
        <v>1.7568388952549687</v>
      </c>
      <c r="L2176">
        <v>0</v>
      </c>
      <c r="M2176">
        <v>1.4623277140342417E-3</v>
      </c>
      <c r="N2176">
        <v>0.12752359372775757</v>
      </c>
      <c r="O2176">
        <v>0.12788405794062321</v>
      </c>
      <c r="P2176">
        <v>1.8365699055870238E-2</v>
      </c>
      <c r="Q2176">
        <v>8.7462086244107287E-4</v>
      </c>
      <c r="R2176">
        <v>1.4586807102654621E-3</v>
      </c>
      <c r="S2176">
        <v>0.10961191041276687</v>
      </c>
      <c r="T2176">
        <v>1.0456442251127296</v>
      </c>
      <c r="U2176">
        <v>0</v>
      </c>
      <c r="V2176">
        <v>0.20915900597828299</v>
      </c>
      <c r="W2176">
        <v>8.4665910927687202E-2</v>
      </c>
      <c r="X2176">
        <v>2.9143470201203562E-2</v>
      </c>
      <c r="Y2176">
        <v>3.970048039375681E-3</v>
      </c>
    </row>
    <row r="2177" spans="1:25" x14ac:dyDescent="0.25">
      <c r="A2177" s="1095"/>
      <c r="B2177" s="1454">
        <v>1927</v>
      </c>
      <c r="C2177" s="1099">
        <v>0.99617509397962534</v>
      </c>
      <c r="D2177" s="1099">
        <v>0.99780845245011818</v>
      </c>
      <c r="E2177" s="1099">
        <v>0.97212742949755926</v>
      </c>
      <c r="F2177" s="1099">
        <v>1.0101487966644893</v>
      </c>
      <c r="G2177" s="1099">
        <v>1.0356135302833838</v>
      </c>
      <c r="H2177" s="1099">
        <v>0.96584330674680463</v>
      </c>
      <c r="I2177" s="1099">
        <v>0.98397306552679076</v>
      </c>
      <c r="K2177">
        <v>1.7382458673567263</v>
      </c>
      <c r="L2177">
        <v>0</v>
      </c>
      <c r="M2177">
        <v>1.4151712165736449E-3</v>
      </c>
      <c r="N2177">
        <v>0.11964460039847265</v>
      </c>
      <c r="O2177">
        <v>0.12845115907296611</v>
      </c>
      <c r="P2177">
        <v>1.8145497383441369E-2</v>
      </c>
      <c r="Q2177">
        <v>8.7712641009775403E-4</v>
      </c>
      <c r="R2177">
        <v>1.4113958155641346E-3</v>
      </c>
      <c r="S2177">
        <v>0.10442118598653991</v>
      </c>
      <c r="T2177">
        <v>1.0423678877059477</v>
      </c>
      <c r="U2177">
        <v>0</v>
      </c>
      <c r="V2177">
        <v>0.21176383995567222</v>
      </c>
      <c r="W2177">
        <v>7.9925970333723007E-2</v>
      </c>
      <c r="X2177">
        <v>2.8811021367415771E-2</v>
      </c>
      <c r="Y2177">
        <v>3.8413541434600173E-3</v>
      </c>
    </row>
    <row r="2178" spans="1:25" x14ac:dyDescent="0.25">
      <c r="A2178" s="1095"/>
      <c r="B2178" s="1454">
        <v>1928</v>
      </c>
      <c r="C2178" s="1099">
        <v>1.0179320460072727</v>
      </c>
      <c r="D2178" s="1099">
        <v>0.97970034674088446</v>
      </c>
      <c r="E2178" s="1099">
        <v>0.97194009995204234</v>
      </c>
      <c r="F2178" s="1099">
        <v>1.0341940987033795</v>
      </c>
      <c r="G2178" s="1099">
        <v>1.0184617690910283</v>
      </c>
      <c r="H2178" s="1099">
        <v>0.99877717428098434</v>
      </c>
      <c r="I2178" s="1099">
        <v>0.97004442802605628</v>
      </c>
      <c r="K2178">
        <v>1.7698407175269217</v>
      </c>
      <c r="L2178">
        <v>0</v>
      </c>
      <c r="M2178">
        <v>1.4538084662631704E-3</v>
      </c>
      <c r="N2178">
        <v>0.12285461732910241</v>
      </c>
      <c r="O2178">
        <v>0.12998548671078239</v>
      </c>
      <c r="P2178">
        <v>1.8462274471317857E-2</v>
      </c>
      <c r="Q2178">
        <v>8.6451996173609799E-4</v>
      </c>
      <c r="R2178">
        <v>1.4500851531574043E-3</v>
      </c>
      <c r="S2178">
        <v>0.10436897376944429</v>
      </c>
      <c r="T2178">
        <v>1.0671860450886101</v>
      </c>
      <c r="U2178">
        <v>0</v>
      </c>
      <c r="V2178">
        <v>0.21091692438014481</v>
      </c>
      <c r="W2178">
        <v>8.2079694937606737E-2</v>
      </c>
      <c r="X2178">
        <v>2.9179250424829828E-2</v>
      </c>
      <c r="Y2178">
        <v>3.9466537664521878E-3</v>
      </c>
    </row>
    <row r="2179" spans="1:25" x14ac:dyDescent="0.25">
      <c r="A2179" s="1095"/>
      <c r="B2179" s="1454">
        <v>1929</v>
      </c>
      <c r="C2179" s="1099">
        <v>0.98019618946897147</v>
      </c>
      <c r="D2179" s="1099">
        <v>0.99158166491847011</v>
      </c>
      <c r="E2179" s="1099">
        <v>0.98900373316252232</v>
      </c>
      <c r="F2179" s="1099">
        <v>0.97911186001296868</v>
      </c>
      <c r="G2179" s="1099">
        <v>0.96515805673364097</v>
      </c>
      <c r="H2179" s="1099">
        <v>0.98607166180786565</v>
      </c>
      <c r="I2179" s="1099">
        <v>0.98591309772668878</v>
      </c>
      <c r="K2179">
        <v>1.714673947780714</v>
      </c>
      <c r="L2179">
        <v>0</v>
      </c>
      <c r="M2179">
        <v>1.4173608645193215E-3</v>
      </c>
      <c r="N2179">
        <v>0.12611304833461118</v>
      </c>
      <c r="O2179">
        <v>0.12726419699803679</v>
      </c>
      <c r="P2179">
        <v>1.7940419163008293E-2</v>
      </c>
      <c r="Q2179">
        <v>9.0960054105159837E-4</v>
      </c>
      <c r="R2179">
        <v>1.4136462263916851E-3</v>
      </c>
      <c r="S2179">
        <v>0.10791567041654664</v>
      </c>
      <c r="T2179">
        <v>1.0098402292926143</v>
      </c>
      <c r="U2179">
        <v>0</v>
      </c>
      <c r="V2179">
        <v>0.20833830886500995</v>
      </c>
      <c r="W2179">
        <v>8.3393304965535708E-2</v>
      </c>
      <c r="X2179">
        <v>2.9115404822542698E-2</v>
      </c>
      <c r="Y2179">
        <v>3.8474790198848802E-3</v>
      </c>
    </row>
    <row r="2180" spans="1:25" x14ac:dyDescent="0.25">
      <c r="A2180" s="1095"/>
      <c r="B2180" s="1454">
        <v>1930</v>
      </c>
      <c r="C2180" s="1099">
        <v>0.9689489224484894</v>
      </c>
      <c r="D2180" s="1099">
        <v>0.98801813158918295</v>
      </c>
      <c r="E2180" s="1099">
        <v>1.0181904894539529</v>
      </c>
      <c r="F2180" s="1099">
        <v>0.96635864773415736</v>
      </c>
      <c r="G2180" s="1099">
        <v>1.0061810263641828</v>
      </c>
      <c r="H2180" s="1099">
        <v>0.95822845039956983</v>
      </c>
      <c r="I2180" s="1099">
        <v>0.98545990880396805</v>
      </c>
      <c r="K2180">
        <v>1.7041646621656843</v>
      </c>
      <c r="L2180">
        <v>0</v>
      </c>
      <c r="M2180">
        <v>1.3113223735876122E-3</v>
      </c>
      <c r="N2180">
        <v>0.12742066465126486</v>
      </c>
      <c r="O2180">
        <v>0.12715249415192686</v>
      </c>
      <c r="P2180">
        <v>1.8166314672020428E-2</v>
      </c>
      <c r="Q2180">
        <v>9.4974165421667079E-4</v>
      </c>
      <c r="R2180">
        <v>1.3077803909283859E-3</v>
      </c>
      <c r="S2180">
        <v>0.10727627369997682</v>
      </c>
      <c r="T2180">
        <v>0.99585133561742323</v>
      </c>
      <c r="U2180">
        <v>0</v>
      </c>
      <c r="V2180">
        <v>0.21083286904147763</v>
      </c>
      <c r="W2180">
        <v>8.2812990196198852E-2</v>
      </c>
      <c r="X2180">
        <v>3.0146173349418558E-2</v>
      </c>
      <c r="Y2180">
        <v>3.5593471144170592E-3</v>
      </c>
    </row>
    <row r="2181" spans="1:25" x14ac:dyDescent="0.25">
      <c r="A2181" s="1095"/>
      <c r="B2181" s="1454">
        <v>1931</v>
      </c>
      <c r="C2181" s="1099">
        <v>0.98065217229530643</v>
      </c>
      <c r="D2181" s="1099">
        <v>1.0152640350655584</v>
      </c>
      <c r="E2181" s="1099">
        <v>0.99731792834369115</v>
      </c>
      <c r="F2181" s="1099">
        <v>1.0283111438793688</v>
      </c>
      <c r="G2181" s="1099">
        <v>1.0431160112972224</v>
      </c>
      <c r="H2181" s="1099">
        <v>1.0209460678571474</v>
      </c>
      <c r="I2181" s="1099">
        <v>0.99232315387073522</v>
      </c>
      <c r="K2181">
        <v>1.7838563560166256</v>
      </c>
      <c r="L2181">
        <v>0</v>
      </c>
      <c r="M2181">
        <v>1.4280782453716682E-3</v>
      </c>
      <c r="N2181">
        <v>0.13031217302965392</v>
      </c>
      <c r="O2181">
        <v>0.12994412322493007</v>
      </c>
      <c r="P2181">
        <v>1.8841571294459895E-2</v>
      </c>
      <c r="Q2181">
        <v>9.0846020214367402E-4</v>
      </c>
      <c r="R2181">
        <v>1.4244630448913651E-3</v>
      </c>
      <c r="S2181">
        <v>0.10975572923370436</v>
      </c>
      <c r="T2181">
        <v>1.0603276847874505</v>
      </c>
      <c r="U2181">
        <v>0</v>
      </c>
      <c r="V2181">
        <v>0.21396091342528412</v>
      </c>
      <c r="W2181">
        <v>8.5742955727773323E-2</v>
      </c>
      <c r="X2181">
        <v>3.0189441457627489E-2</v>
      </c>
      <c r="Y2181">
        <v>3.8769188340777479E-3</v>
      </c>
    </row>
    <row r="2182" spans="1:25" x14ac:dyDescent="0.25">
      <c r="A2182" s="1095"/>
      <c r="B2182" s="1454">
        <v>1932</v>
      </c>
      <c r="C2182" s="1099">
        <v>0.98371298406774332</v>
      </c>
      <c r="D2182" s="1099">
        <v>1.0353607927831621</v>
      </c>
      <c r="E2182" s="1099">
        <v>0.98496885288215508</v>
      </c>
      <c r="F2182" s="1099">
        <v>0.97405450675691974</v>
      </c>
      <c r="G2182" s="1099">
        <v>0.99032812917645063</v>
      </c>
      <c r="H2182" s="1099">
        <v>0.98914158055911017</v>
      </c>
      <c r="I2182" s="1099">
        <v>1.0142650802903268</v>
      </c>
      <c r="K2182">
        <v>1.6995890104465869</v>
      </c>
      <c r="L2182">
        <v>0</v>
      </c>
      <c r="M2182">
        <v>1.3926921914299308E-3</v>
      </c>
      <c r="N2182">
        <v>0.12241361740707053</v>
      </c>
      <c r="O2182">
        <v>0.12473016279372774</v>
      </c>
      <c r="P2182">
        <v>1.7808419426425592E-2</v>
      </c>
      <c r="Q2182">
        <v>8.8707541249346362E-4</v>
      </c>
      <c r="R2182">
        <v>1.3890237356703335E-3</v>
      </c>
      <c r="S2182">
        <v>0.10791652400326376</v>
      </c>
      <c r="T2182">
        <v>1.0047425140401731</v>
      </c>
      <c r="U2182">
        <v>0</v>
      </c>
      <c r="V2182">
        <v>0.20769273385307702</v>
      </c>
      <c r="W2182">
        <v>8.1143390660440587E-2</v>
      </c>
      <c r="X2182">
        <v>2.8477776588731775E-2</v>
      </c>
      <c r="Y2182">
        <v>3.7804647169432455E-3</v>
      </c>
    </row>
    <row r="2183" spans="1:25" x14ac:dyDescent="0.25">
      <c r="A2183" s="1095"/>
      <c r="B2183" s="1454">
        <v>1933</v>
      </c>
      <c r="C2183" s="1099">
        <v>1.0262211374335761</v>
      </c>
      <c r="D2183" s="1099">
        <v>0.97373693567076847</v>
      </c>
      <c r="E2183" s="1099">
        <v>0.96371526673455632</v>
      </c>
      <c r="F2183" s="1099">
        <v>1.0137572240782056</v>
      </c>
      <c r="G2183" s="1099">
        <v>0.99838153483351921</v>
      </c>
      <c r="H2183" s="1099">
        <v>1.0238936931872034</v>
      </c>
      <c r="I2183" s="1099">
        <v>1.0108937339616613</v>
      </c>
      <c r="K2183">
        <v>1.7522126119255408</v>
      </c>
      <c r="L2183">
        <v>0</v>
      </c>
      <c r="M2183">
        <v>1.5075012937378861E-3</v>
      </c>
      <c r="N2183">
        <v>0.12426594573477361</v>
      </c>
      <c r="O2183">
        <v>0.12827346687107966</v>
      </c>
      <c r="P2183">
        <v>1.8110090040646436E-2</v>
      </c>
      <c r="Q2183">
        <v>8.5220823394315621E-4</v>
      </c>
      <c r="R2183">
        <v>1.5037356459698191E-3</v>
      </c>
      <c r="S2183">
        <v>0.10996788129274612</v>
      </c>
      <c r="T2183">
        <v>1.0463530934604988</v>
      </c>
      <c r="U2183">
        <v>0</v>
      </c>
      <c r="V2183">
        <v>0.20836871704271762</v>
      </c>
      <c r="W2183">
        <v>8.3439977223743605E-2</v>
      </c>
      <c r="X2183">
        <v>2.8492324951154172E-2</v>
      </c>
      <c r="Y2183">
        <v>4.092672722007377E-3</v>
      </c>
    </row>
    <row r="2184" spans="1:25" x14ac:dyDescent="0.25">
      <c r="A2184" s="1095"/>
      <c r="B2184" s="1454">
        <v>1934</v>
      </c>
      <c r="C2184" s="1099">
        <v>0.98647741135490585</v>
      </c>
      <c r="D2184" s="1099">
        <v>0.97160355644635032</v>
      </c>
      <c r="E2184" s="1099">
        <v>0.9820612370167231</v>
      </c>
      <c r="F2184" s="1099">
        <v>0.9999694728117815</v>
      </c>
      <c r="G2184" s="1099">
        <v>1.0078236738394575</v>
      </c>
      <c r="H2184" s="1099">
        <v>0.95836530866037384</v>
      </c>
      <c r="I2184" s="1099">
        <v>0.98138679490717506</v>
      </c>
      <c r="K2184">
        <v>1.7353012274454431</v>
      </c>
      <c r="L2184">
        <v>0</v>
      </c>
      <c r="M2184">
        <v>1.4086823670032809E-3</v>
      </c>
      <c r="N2184">
        <v>0.12272924196721424</v>
      </c>
      <c r="O2184">
        <v>0.12945696712501886</v>
      </c>
      <c r="P2184">
        <v>1.8160259254132255E-2</v>
      </c>
      <c r="Q2184">
        <v>9.0461135655573192E-4</v>
      </c>
      <c r="R2184">
        <v>1.4049073564134688E-3</v>
      </c>
      <c r="S2184">
        <v>0.10628637274663286</v>
      </c>
      <c r="T2184">
        <v>1.0315618039295704</v>
      </c>
      <c r="U2184">
        <v>0</v>
      </c>
      <c r="V2184">
        <v>0.21155992642803373</v>
      </c>
      <c r="W2184">
        <v>8.149516353665881E-2</v>
      </c>
      <c r="X2184">
        <v>2.932696141564347E-2</v>
      </c>
      <c r="Y2184">
        <v>3.8236946965718886E-3</v>
      </c>
    </row>
    <row r="2185" spans="1:25" x14ac:dyDescent="0.25">
      <c r="A2185" s="1095"/>
      <c r="B2185" s="1454">
        <v>1935</v>
      </c>
      <c r="C2185" s="1099">
        <v>1.0218005410375794</v>
      </c>
      <c r="D2185" s="1099">
        <v>1.0109644457828681</v>
      </c>
      <c r="E2185" s="1099">
        <v>0.96516869391621685</v>
      </c>
      <c r="F2185" s="1099">
        <v>1.0141728944137613</v>
      </c>
      <c r="G2185" s="1099">
        <v>1.0089299712810202</v>
      </c>
      <c r="H2185" s="1099">
        <v>1.0165539294894816</v>
      </c>
      <c r="I2185" s="1099">
        <v>0.98875005185074016</v>
      </c>
      <c r="K2185">
        <v>1.7405788154044262</v>
      </c>
      <c r="L2185">
        <v>0</v>
      </c>
      <c r="M2185">
        <v>1.4652891047071813E-3</v>
      </c>
      <c r="N2185">
        <v>0.12131476699520255</v>
      </c>
      <c r="O2185">
        <v>0.12681406514115356</v>
      </c>
      <c r="P2185">
        <v>1.8066808668917585E-2</v>
      </c>
      <c r="Q2185">
        <v>8.4444210963112898E-4</v>
      </c>
      <c r="R2185">
        <v>1.4615746515731756E-3</v>
      </c>
      <c r="S2185">
        <v>0.10502925873377249</v>
      </c>
      <c r="T2185">
        <v>1.0467367432067085</v>
      </c>
      <c r="U2185">
        <v>0</v>
      </c>
      <c r="V2185">
        <v>0.20814108356638283</v>
      </c>
      <c r="W2185">
        <v>8.1386024852914338E-2</v>
      </c>
      <c r="X2185">
        <v>2.8271412189247173E-2</v>
      </c>
      <c r="Y2185">
        <v>3.9779243936277821E-3</v>
      </c>
    </row>
    <row r="2186" spans="1:25" x14ac:dyDescent="0.25">
      <c r="A2186" s="1095"/>
      <c r="B2186" s="1454">
        <v>1936</v>
      </c>
      <c r="C2186" s="1099">
        <v>1.0032114834815424</v>
      </c>
      <c r="D2186" s="1099">
        <v>0.97281699602613625</v>
      </c>
      <c r="E2186" s="1099">
        <v>0.99268263375564203</v>
      </c>
      <c r="F2186" s="1099">
        <v>0.99431299479811164</v>
      </c>
      <c r="G2186" s="1099">
        <v>0.96785430725173582</v>
      </c>
      <c r="H2186" s="1099">
        <v>1.0085083736664091</v>
      </c>
      <c r="I2186" s="1099">
        <v>0.99972409730832801</v>
      </c>
      <c r="K2186">
        <v>1.7369352786192389</v>
      </c>
      <c r="L2186">
        <v>0</v>
      </c>
      <c r="M2186">
        <v>1.4262551834550163E-3</v>
      </c>
      <c r="N2186">
        <v>0.12833356377770103</v>
      </c>
      <c r="O2186">
        <v>0.12813203356910915</v>
      </c>
      <c r="P2186">
        <v>1.8223682671147184E-2</v>
      </c>
      <c r="Q2186">
        <v>8.9898987824736014E-4</v>
      </c>
      <c r="R2186">
        <v>1.4226256857475127E-3</v>
      </c>
      <c r="S2186">
        <v>0.11001337620199304</v>
      </c>
      <c r="T2186">
        <v>1.0254086966533298</v>
      </c>
      <c r="U2186">
        <v>0</v>
      </c>
      <c r="V2186">
        <v>0.20788931190334398</v>
      </c>
      <c r="W2186">
        <v>8.4674944285987874E-2</v>
      </c>
      <c r="X2186">
        <v>2.9492391027912301E-2</v>
      </c>
      <c r="Y2186">
        <v>3.8719181481734611E-3</v>
      </c>
    </row>
    <row r="2187" spans="1:25" x14ac:dyDescent="0.25">
      <c r="A2187" s="1095"/>
      <c r="B2187" s="1454">
        <v>1937</v>
      </c>
      <c r="C2187" s="1099">
        <v>0.9669988019047272</v>
      </c>
      <c r="D2187" s="1099">
        <v>1.0342266097156207</v>
      </c>
      <c r="E2187" s="1099">
        <v>1.0392025722291207</v>
      </c>
      <c r="F2187" s="1099">
        <v>1.0108544037400886</v>
      </c>
      <c r="G2187" s="1099">
        <v>0.98990055362855356</v>
      </c>
      <c r="H2187" s="1099">
        <v>1.0302140401061699</v>
      </c>
      <c r="I2187" s="1099">
        <v>1.0048712794988959</v>
      </c>
      <c r="K2187">
        <v>1.7729311394190324</v>
      </c>
      <c r="L2187">
        <v>0</v>
      </c>
      <c r="M2187">
        <v>1.3215093277528793E-3</v>
      </c>
      <c r="N2187">
        <v>0.13683261289670492</v>
      </c>
      <c r="O2187">
        <v>0.12867471438650593</v>
      </c>
      <c r="P2187">
        <v>1.9152959393374996E-2</v>
      </c>
      <c r="Q2187">
        <v>9.5468147740893224E-4</v>
      </c>
      <c r="R2187">
        <v>1.3181737626300381E-3</v>
      </c>
      <c r="S2187">
        <v>0.11197888858116892</v>
      </c>
      <c r="T2187">
        <v>1.0410917256238881</v>
      </c>
      <c r="U2187">
        <v>0</v>
      </c>
      <c r="V2187">
        <v>0.21125015044230494</v>
      </c>
      <c r="W2187">
        <v>8.7850782120977078E-2</v>
      </c>
      <c r="X2187">
        <v>3.1560325615804331E-2</v>
      </c>
      <c r="Y2187">
        <v>3.5876344460148962E-3</v>
      </c>
    </row>
    <row r="2188" spans="1:25" x14ac:dyDescent="0.25">
      <c r="A2188" s="1095"/>
      <c r="B2188" s="1454">
        <v>1938</v>
      </c>
      <c r="C2188" s="1099">
        <v>1.0131792456576196</v>
      </c>
      <c r="D2188" s="1099">
        <v>1.0218146734295777</v>
      </c>
      <c r="E2188" s="1099">
        <v>1.0070426319006431</v>
      </c>
      <c r="F2188" s="1099">
        <v>1.0069859295646144</v>
      </c>
      <c r="G2188" s="1099">
        <v>1.0361711374828473</v>
      </c>
      <c r="H2188" s="1099">
        <v>0.9996360822496535</v>
      </c>
      <c r="I2188" s="1099">
        <v>1.0126095068799494</v>
      </c>
      <c r="K2188">
        <v>1.738963227071431</v>
      </c>
      <c r="L2188">
        <v>0</v>
      </c>
      <c r="M2188">
        <v>1.3224554683629597E-3</v>
      </c>
      <c r="N2188">
        <v>0.1242647203994072</v>
      </c>
      <c r="O2188">
        <v>0.12639442465331788</v>
      </c>
      <c r="P2188">
        <v>1.8569562010458802E-2</v>
      </c>
      <c r="Q2188">
        <v>8.8591308014653123E-4</v>
      </c>
      <c r="R2188">
        <v>1.3190350416124629E-3</v>
      </c>
      <c r="S2188">
        <v>0.10657940904673591</v>
      </c>
      <c r="T2188">
        <v>1.0380480381387056</v>
      </c>
      <c r="U2188">
        <v>0</v>
      </c>
      <c r="V2188">
        <v>0.20959601006961404</v>
      </c>
      <c r="W2188">
        <v>8.1293434111973525E-2</v>
      </c>
      <c r="X2188">
        <v>2.9745157424334905E-2</v>
      </c>
      <c r="Y2188">
        <v>3.589978563484517E-3</v>
      </c>
    </row>
    <row r="2189" spans="1:25" x14ac:dyDescent="0.25">
      <c r="A2189" s="1095"/>
      <c r="B2189" s="1454">
        <v>1939</v>
      </c>
      <c r="C2189" s="1099">
        <v>1.0081762768973161</v>
      </c>
      <c r="D2189" s="1099">
        <v>1.024745284593694</v>
      </c>
      <c r="E2189" s="1099">
        <v>1.0122031153305622</v>
      </c>
      <c r="F2189" s="1099">
        <v>1.0023498485328421</v>
      </c>
      <c r="G2189" s="1099">
        <v>1.0054958180155797</v>
      </c>
      <c r="H2189" s="1099">
        <v>1.0122070872946716</v>
      </c>
      <c r="I2189" s="1099">
        <v>1.0076186823319946</v>
      </c>
      <c r="K2189">
        <v>1.7371124350585221</v>
      </c>
      <c r="L2189">
        <v>0</v>
      </c>
      <c r="M2189">
        <v>1.3280872210517248E-3</v>
      </c>
      <c r="N2189">
        <v>0.12675706232038825</v>
      </c>
      <c r="O2189">
        <v>0.12618722997234111</v>
      </c>
      <c r="P2189">
        <v>1.8562368556870969E-2</v>
      </c>
      <c r="Q2189">
        <v>8.9403639126484145E-4</v>
      </c>
      <c r="R2189">
        <v>1.3246903675557828E-3</v>
      </c>
      <c r="S2189">
        <v>0.10721261924306563</v>
      </c>
      <c r="T2189">
        <v>1.0331166629938666</v>
      </c>
      <c r="U2189">
        <v>0</v>
      </c>
      <c r="V2189">
        <v>0.20821254177605403</v>
      </c>
      <c r="W2189">
        <v>8.2671883195519755E-2</v>
      </c>
      <c r="X2189">
        <v>2.9896056966220122E-2</v>
      </c>
      <c r="Y2189">
        <v>3.6053704964245383E-3</v>
      </c>
    </row>
    <row r="2190" spans="1:25" x14ac:dyDescent="0.25">
      <c r="A2190" s="1095"/>
      <c r="B2190" s="1454">
        <v>1940</v>
      </c>
      <c r="C2190" s="1099">
        <v>0.98567625777592116</v>
      </c>
      <c r="D2190" s="1099">
        <v>0.97681988014571131</v>
      </c>
      <c r="E2190" s="1099">
        <v>1.0265785328800521</v>
      </c>
      <c r="F2190" s="1099">
        <v>0.98486408809875181</v>
      </c>
      <c r="G2190" s="1099">
        <v>1.0221675814083961</v>
      </c>
      <c r="H2190" s="1099">
        <v>0.99279608210029546</v>
      </c>
      <c r="I2190" s="1099">
        <v>1.0033177260899804</v>
      </c>
      <c r="K2190">
        <v>1.7367797868938275</v>
      </c>
      <c r="L2190">
        <v>0</v>
      </c>
      <c r="M2190">
        <v>1.3254782413598691E-3</v>
      </c>
      <c r="N2190">
        <v>0.13211065012251202</v>
      </c>
      <c r="O2190">
        <v>0.12826045282480403</v>
      </c>
      <c r="P2190">
        <v>1.8598771512390866E-2</v>
      </c>
      <c r="Q2190">
        <v>9.4598569025574415E-4</v>
      </c>
      <c r="R2190">
        <v>1.3220409933846215E-3</v>
      </c>
      <c r="S2190">
        <v>0.11084633194083739</v>
      </c>
      <c r="T2190">
        <v>1.0146814583987889</v>
      </c>
      <c r="U2190">
        <v>0</v>
      </c>
      <c r="V2190">
        <v>0.2114868242924374</v>
      </c>
      <c r="W2190">
        <v>8.5441553801659922E-2</v>
      </c>
      <c r="X2190">
        <v>3.0813035784820919E-2</v>
      </c>
      <c r="Y2190">
        <v>3.598159773296597E-3</v>
      </c>
    </row>
    <row r="2191" spans="1:25" x14ac:dyDescent="0.25">
      <c r="A2191" s="1095"/>
      <c r="B2191" s="1454">
        <v>1941</v>
      </c>
      <c r="C2191" s="1099">
        <v>1.015233401511725</v>
      </c>
      <c r="D2191" s="1099">
        <v>0.99484215552813982</v>
      </c>
      <c r="E2191" s="1099">
        <v>1.0020472837460555</v>
      </c>
      <c r="F2191" s="1099">
        <v>0.9648040070763183</v>
      </c>
      <c r="G2191" s="1099">
        <v>0.9949260915714071</v>
      </c>
      <c r="H2191" s="1099">
        <v>1.0131736003919218</v>
      </c>
      <c r="I2191" s="1099">
        <v>0.98371352495123487</v>
      </c>
      <c r="K2191">
        <v>1.691887356180827</v>
      </c>
      <c r="L2191">
        <v>0</v>
      </c>
      <c r="M2191">
        <v>1.3682388901459139E-3</v>
      </c>
      <c r="N2191">
        <v>0.12664652585656003</v>
      </c>
      <c r="O2191">
        <v>0.12427714296076429</v>
      </c>
      <c r="P2191">
        <v>1.7847934996974471E-2</v>
      </c>
      <c r="Q2191">
        <v>8.8902673332104235E-4</v>
      </c>
      <c r="R2191">
        <v>1.3647526994767982E-3</v>
      </c>
      <c r="S2191">
        <v>0.10572086830717113</v>
      </c>
      <c r="T2191">
        <v>0.99470756457032283</v>
      </c>
      <c r="U2191">
        <v>0</v>
      </c>
      <c r="V2191">
        <v>0.20600441801636737</v>
      </c>
      <c r="W2191">
        <v>8.3097066430691119E-2</v>
      </c>
      <c r="X2191">
        <v>2.8985887541953262E-2</v>
      </c>
      <c r="Y2191">
        <v>3.7144069573693725E-3</v>
      </c>
    </row>
    <row r="2192" spans="1:25" x14ac:dyDescent="0.25">
      <c r="A2192" s="1095"/>
      <c r="B2192" s="1454">
        <v>1942</v>
      </c>
      <c r="C2192" s="1099">
        <v>1.036009976201427</v>
      </c>
      <c r="D2192" s="1099">
        <v>0.97512120580827455</v>
      </c>
      <c r="E2192" s="1099">
        <v>1.0158352918363227</v>
      </c>
      <c r="F2192" s="1099">
        <v>1.0039489494343508</v>
      </c>
      <c r="G2192" s="1099">
        <v>1.0232977552696825</v>
      </c>
      <c r="H2192" s="1099">
        <v>0.99315376423808233</v>
      </c>
      <c r="I2192" s="1099">
        <v>1.0139518346610459</v>
      </c>
      <c r="K2192">
        <v>1.7375181988133113</v>
      </c>
      <c r="L2192">
        <v>0</v>
      </c>
      <c r="M2192">
        <v>1.2990669722636513E-3</v>
      </c>
      <c r="N2192">
        <v>0.1253516249461995</v>
      </c>
      <c r="O2192">
        <v>0.1271883027408835</v>
      </c>
      <c r="P2192">
        <v>1.863430676455537E-2</v>
      </c>
      <c r="Q2192">
        <v>8.9078728510274098E-4</v>
      </c>
      <c r="R2192">
        <v>1.2957204544058931E-3</v>
      </c>
      <c r="S2192">
        <v>0.10710903035836256</v>
      </c>
      <c r="T2192">
        <v>1.0346579660690198</v>
      </c>
      <c r="U2192">
        <v>0</v>
      </c>
      <c r="V2192">
        <v>0.20838381643645712</v>
      </c>
      <c r="W2192">
        <v>8.1580882167854654E-2</v>
      </c>
      <c r="X2192">
        <v>3.0198304619971743E-2</v>
      </c>
      <c r="Y2192">
        <v>3.5265239427598413E-3</v>
      </c>
    </row>
    <row r="2193" spans="1:25" x14ac:dyDescent="0.25">
      <c r="A2193" s="1095"/>
      <c r="B2193" s="1454">
        <v>1943</v>
      </c>
      <c r="C2193" s="1099">
        <v>0.99271851932117428</v>
      </c>
      <c r="D2193" s="1099">
        <v>1.0028617590216053</v>
      </c>
      <c r="E2193" s="1099">
        <v>1.0337928996106296</v>
      </c>
      <c r="F2193" s="1099">
        <v>0.9930097868643657</v>
      </c>
      <c r="G2193" s="1099">
        <v>1.0066802860832245</v>
      </c>
      <c r="H2193" s="1099">
        <v>1.0267339040012304</v>
      </c>
      <c r="I2193" s="1099">
        <v>1.019679487132072</v>
      </c>
      <c r="K2193">
        <v>1.7483319796545669</v>
      </c>
      <c r="L2193">
        <v>0</v>
      </c>
      <c r="M2193">
        <v>1.3220036229354723E-3</v>
      </c>
      <c r="N2193">
        <v>0.13467168971085125</v>
      </c>
      <c r="O2193">
        <v>0.12734831425521781</v>
      </c>
      <c r="P2193">
        <v>1.881164482546371E-2</v>
      </c>
      <c r="Q2193">
        <v>9.3630851856405287E-4</v>
      </c>
      <c r="R2193">
        <v>1.3186768787136634E-3</v>
      </c>
      <c r="S2193">
        <v>0.1125932822315721</v>
      </c>
      <c r="T2193">
        <v>1.0228672166503749</v>
      </c>
      <c r="U2193">
        <v>0</v>
      </c>
      <c r="V2193">
        <v>0.20979126447761728</v>
      </c>
      <c r="W2193">
        <v>8.6733956159248116E-2</v>
      </c>
      <c r="X2193">
        <v>3.099262580773373E-2</v>
      </c>
      <c r="Y2193">
        <v>3.5890037621423535E-3</v>
      </c>
    </row>
    <row r="2194" spans="1:25" x14ac:dyDescent="0.25">
      <c r="A2194" s="1095"/>
      <c r="B2194" s="1454">
        <v>1944</v>
      </c>
      <c r="C2194" s="1099">
        <v>0.99130027054216263</v>
      </c>
      <c r="D2194" s="1099">
        <v>0.98640203878224708</v>
      </c>
      <c r="E2194" s="1099">
        <v>1.0164074347176355</v>
      </c>
      <c r="F2194" s="1099">
        <v>0.98386096740625983</v>
      </c>
      <c r="G2194" s="1099">
        <v>0.97903114677380565</v>
      </c>
      <c r="H2194" s="1099">
        <v>0.96229597260163491</v>
      </c>
      <c r="I2194" s="1099">
        <v>1.0278057050579545</v>
      </c>
      <c r="K2194">
        <v>1.7199760948074483</v>
      </c>
      <c r="L2194">
        <v>0</v>
      </c>
      <c r="M2194">
        <v>1.2978757915467088E-3</v>
      </c>
      <c r="N2194">
        <v>0.12544012688835326</v>
      </c>
      <c r="O2194">
        <v>0.12740060046899254</v>
      </c>
      <c r="P2194">
        <v>1.8398407024724197E-2</v>
      </c>
      <c r="Q2194">
        <v>9.2723539912860679E-4</v>
      </c>
      <c r="R2194">
        <v>1.2943985327164953E-3</v>
      </c>
      <c r="S2194">
        <v>0.11001772539976483</v>
      </c>
      <c r="T2194">
        <v>1.0139390641679515</v>
      </c>
      <c r="U2194">
        <v>0</v>
      </c>
      <c r="V2194">
        <v>0.20853696860658605</v>
      </c>
      <c r="W2194">
        <v>8.1611074605273892E-2</v>
      </c>
      <c r="X2194">
        <v>3.0185443397809035E-2</v>
      </c>
      <c r="Y2194">
        <v>3.5229261076926677E-3</v>
      </c>
    </row>
    <row r="2195" spans="1:25" x14ac:dyDescent="0.25">
      <c r="A2195" s="1095"/>
      <c r="B2195" s="1454">
        <v>1945</v>
      </c>
      <c r="C2195" s="1099">
        <v>1.00616290805206</v>
      </c>
      <c r="D2195" s="1099">
        <v>1.0096344421997911</v>
      </c>
      <c r="E2195" s="1099">
        <v>0.95493385610633807</v>
      </c>
      <c r="F2195" s="1099">
        <v>0.98718268434017897</v>
      </c>
      <c r="G2195" s="1099">
        <v>1.0076992258601605</v>
      </c>
      <c r="H2195" s="1099">
        <v>0.99530553609750816</v>
      </c>
      <c r="I2195" s="1099">
        <v>1.017775665072302</v>
      </c>
      <c r="K2195">
        <v>1.7104308482610382</v>
      </c>
      <c r="L2195">
        <v>0</v>
      </c>
      <c r="M2195">
        <v>1.4839161277143565E-3</v>
      </c>
      <c r="N2195">
        <v>0.11909781771085048</v>
      </c>
      <c r="O2195">
        <v>0.12559410417345199</v>
      </c>
      <c r="P2195">
        <v>1.7599914414630675E-2</v>
      </c>
      <c r="Q2195">
        <v>8.4876640943678573E-4</v>
      </c>
      <c r="R2195">
        <v>1.4800614958203557E-3</v>
      </c>
      <c r="S2195">
        <v>0.10811988278580058</v>
      </c>
      <c r="T2195">
        <v>1.019192340050789</v>
      </c>
      <c r="U2195">
        <v>0</v>
      </c>
      <c r="V2195">
        <v>0.20797671026618555</v>
      </c>
      <c r="W2195">
        <v>8.0401989737591287E-2</v>
      </c>
      <c r="X2195">
        <v>2.7574937854710938E-2</v>
      </c>
      <c r="Y2195">
        <v>4.0282394894820368E-3</v>
      </c>
    </row>
    <row r="2196" spans="1:25" x14ac:dyDescent="0.25">
      <c r="A2196" s="1095"/>
      <c r="B2196" s="1454">
        <v>1946</v>
      </c>
      <c r="C2196" s="1099">
        <v>1.0299226633173486</v>
      </c>
      <c r="D2196" s="1099">
        <v>0.98887116280473886</v>
      </c>
      <c r="E2196" s="1099">
        <v>1.0167814366145369</v>
      </c>
      <c r="F2196" s="1099">
        <v>1.0318749363748025</v>
      </c>
      <c r="G2196" s="1099">
        <v>0.96931837280384092</v>
      </c>
      <c r="H2196" s="1099">
        <v>1.0284330521079306</v>
      </c>
      <c r="I2196" s="1099">
        <v>1.0170376335410591</v>
      </c>
      <c r="K2196">
        <v>1.7780312538683221</v>
      </c>
      <c r="L2196">
        <v>0</v>
      </c>
      <c r="M2196">
        <v>1.341826348637136E-3</v>
      </c>
      <c r="N2196">
        <v>0.12985905886560464</v>
      </c>
      <c r="O2196">
        <v>0.12895031341856023</v>
      </c>
      <c r="P2196">
        <v>1.9065388566809668E-2</v>
      </c>
      <c r="Q2196">
        <v>8.9191452981019262E-4</v>
      </c>
      <c r="R2196">
        <v>1.3384854327150911E-3</v>
      </c>
      <c r="S2196">
        <v>0.10972849777536044</v>
      </c>
      <c r="T2196">
        <v>1.0634096095539811</v>
      </c>
      <c r="U2196">
        <v>0</v>
      </c>
      <c r="V2196">
        <v>0.20728905994825833</v>
      </c>
      <c r="W2196">
        <v>8.4467488150009332E-2</v>
      </c>
      <c r="X2196">
        <v>3.0730347859603165E-2</v>
      </c>
      <c r="Y2196">
        <v>3.6429161162461667E-3</v>
      </c>
    </row>
    <row r="2197" spans="1:25" x14ac:dyDescent="0.25">
      <c r="A2197" s="1095"/>
      <c r="B2197" s="1454">
        <v>1947</v>
      </c>
      <c r="C2197" s="1099">
        <v>0.97182052527538543</v>
      </c>
      <c r="D2197" s="1099">
        <v>1.0001333823229441</v>
      </c>
      <c r="E2197" s="1099">
        <v>1.0031230764930155</v>
      </c>
      <c r="F2197" s="1099">
        <v>0.98230748732586937</v>
      </c>
      <c r="G2197" s="1099">
        <v>1.0112939456861412</v>
      </c>
      <c r="H2197" s="1099">
        <v>1.0133681999635933</v>
      </c>
      <c r="I2197" s="1099">
        <v>0.99118785150108546</v>
      </c>
      <c r="K2197">
        <v>1.7333757497287499</v>
      </c>
      <c r="L2197">
        <v>0</v>
      </c>
      <c r="M2197">
        <v>1.4189910701425663E-3</v>
      </c>
      <c r="N2197">
        <v>0.13177075605098032</v>
      </c>
      <c r="O2197">
        <v>0.12762013427503058</v>
      </c>
      <c r="P2197">
        <v>1.8249603079389679E-2</v>
      </c>
      <c r="Q2197">
        <v>9.2780539494654462E-4</v>
      </c>
      <c r="R2197">
        <v>1.4153649687590928E-3</v>
      </c>
      <c r="S2197">
        <v>0.11078209765038328</v>
      </c>
      <c r="T2197">
        <v>1.0127222224058199</v>
      </c>
      <c r="U2197">
        <v>0</v>
      </c>
      <c r="V2197">
        <v>0.21125864979366726</v>
      </c>
      <c r="W2197">
        <v>8.6404095970117542E-2</v>
      </c>
      <c r="X2197">
        <v>2.9791854339771006E-2</v>
      </c>
      <c r="Y2197">
        <v>3.8521568700256937E-3</v>
      </c>
    </row>
    <row r="2198" spans="1:25" x14ac:dyDescent="0.25">
      <c r="A2198" s="1095"/>
      <c r="B2198" s="1454">
        <v>1948</v>
      </c>
      <c r="C2198" s="1099">
        <v>0.99447873232786055</v>
      </c>
      <c r="D2198" s="1099">
        <v>1.0168656719618272</v>
      </c>
      <c r="E2198" s="1099">
        <v>0.97500831668670196</v>
      </c>
      <c r="F2198" s="1099">
        <v>0.99597713329351523</v>
      </c>
      <c r="G2198" s="1099">
        <v>1.0287547457645252</v>
      </c>
      <c r="H2198" s="1099">
        <v>1.0041723775983908</v>
      </c>
      <c r="I2198" s="1099">
        <v>1.0177674442430447</v>
      </c>
      <c r="K2198">
        <v>1.7312068394890627</v>
      </c>
      <c r="L2198">
        <v>0</v>
      </c>
      <c r="M2198">
        <v>1.4469032472553235E-3</v>
      </c>
      <c r="N2198">
        <v>0.12340983891337273</v>
      </c>
      <c r="O2198">
        <v>0.1266121722428547</v>
      </c>
      <c r="P2198">
        <v>1.8037476048396988E-2</v>
      </c>
      <c r="Q2198">
        <v>8.7464429798697445E-4</v>
      </c>
      <c r="R2198">
        <v>1.4431721870614589E-3</v>
      </c>
      <c r="S2198">
        <v>0.10955631432172913</v>
      </c>
      <c r="T2198">
        <v>1.0276566526625197</v>
      </c>
      <c r="U2198">
        <v>0</v>
      </c>
      <c r="V2198">
        <v>0.21027933073940522</v>
      </c>
      <c r="W2198">
        <v>8.2297237920100325E-2</v>
      </c>
      <c r="X2198">
        <v>2.8559064451291194E-2</v>
      </c>
      <c r="Y2198">
        <v>3.9278389515976864E-3</v>
      </c>
    </row>
    <row r="2199" spans="1:25" x14ac:dyDescent="0.25">
      <c r="A2199" s="1095"/>
      <c r="B2199" s="1454">
        <v>1949</v>
      </c>
      <c r="C2199" s="1099">
        <v>0.99807854745201741</v>
      </c>
      <c r="D2199" s="1099">
        <v>1.0348162815073154</v>
      </c>
      <c r="E2199" s="1099">
        <v>1.0269916096799812</v>
      </c>
      <c r="F2199" s="1099">
        <v>1.022030675055648</v>
      </c>
      <c r="G2199" s="1099">
        <v>0.99870294325958986</v>
      </c>
      <c r="H2199" s="1099">
        <v>1.0272222647317313</v>
      </c>
      <c r="I2199" s="1099">
        <v>1.0248666268535398</v>
      </c>
      <c r="K2199">
        <v>1.7712204408354915</v>
      </c>
      <c r="L2199">
        <v>0</v>
      </c>
      <c r="M2199">
        <v>1.3136306459443541E-3</v>
      </c>
      <c r="N2199">
        <v>0.13110220945760692</v>
      </c>
      <c r="O2199">
        <v>0.12778565438478645</v>
      </c>
      <c r="P2199">
        <v>1.9106200226395094E-2</v>
      </c>
      <c r="Q2199">
        <v>9.1330957383040751E-4</v>
      </c>
      <c r="R2199">
        <v>1.310316380495921E-3</v>
      </c>
      <c r="S2199">
        <v>0.11062858939844</v>
      </c>
      <c r="T2199">
        <v>1.0529610719011484</v>
      </c>
      <c r="U2199">
        <v>0</v>
      </c>
      <c r="V2199">
        <v>0.2094952663295894</v>
      </c>
      <c r="W2199">
        <v>8.4768972707716356E-2</v>
      </c>
      <c r="X2199">
        <v>3.0896231879393179E-2</v>
      </c>
      <c r="Y2199">
        <v>3.5662492420311552E-3</v>
      </c>
    </row>
    <row r="2200" spans="1:25" x14ac:dyDescent="0.25">
      <c r="A2200" s="1095"/>
      <c r="B2200" s="1454">
        <v>1950</v>
      </c>
      <c r="C2200" s="1099">
        <v>0.99644179035375446</v>
      </c>
      <c r="D2200" s="1099">
        <v>0.99813370737925133</v>
      </c>
      <c r="E2200" s="1099">
        <v>1.0067627129910641</v>
      </c>
      <c r="F2200" s="1099">
        <v>1.0116199333409195</v>
      </c>
      <c r="G2200" s="1099">
        <v>1.0180885558597681</v>
      </c>
      <c r="H2200" s="1099">
        <v>0.98054301885509632</v>
      </c>
      <c r="I2200" s="1099">
        <v>1.0044425923593703</v>
      </c>
      <c r="K2200">
        <v>1.7512322676584957</v>
      </c>
      <c r="L2200">
        <v>0</v>
      </c>
      <c r="M2200">
        <v>1.3368560775326192E-3</v>
      </c>
      <c r="N2200">
        <v>0.12550656077994998</v>
      </c>
      <c r="O2200">
        <v>0.12867592207853809</v>
      </c>
      <c r="P2200">
        <v>1.8666093174863424E-2</v>
      </c>
      <c r="Q2200">
        <v>9.0901960820438546E-4</v>
      </c>
      <c r="R2200">
        <v>1.3333433824912059E-3</v>
      </c>
      <c r="S2200">
        <v>0.10765039041380332</v>
      </c>
      <c r="T2200">
        <v>1.0428333449625282</v>
      </c>
      <c r="U2200">
        <v>0</v>
      </c>
      <c r="V2200">
        <v>0.21106139694079418</v>
      </c>
      <c r="W2200">
        <v>8.2119427393418626E-2</v>
      </c>
      <c r="X2200">
        <v>3.018470385082252E-2</v>
      </c>
      <c r="Y2200">
        <v>3.6289211506131524E-3</v>
      </c>
    </row>
    <row r="2201" spans="1:25" x14ac:dyDescent="0.25">
      <c r="A2201" s="1095"/>
      <c r="B2201" s="1454">
        <v>1951</v>
      </c>
      <c r="C2201" s="1099">
        <v>1.014132949783398</v>
      </c>
      <c r="D2201" s="1099">
        <v>1.0405578299878429</v>
      </c>
      <c r="E2201" s="1099">
        <v>1.0230956723724252</v>
      </c>
      <c r="F2201" s="1099">
        <v>0.97524971687859852</v>
      </c>
      <c r="G2201" s="1099">
        <v>1.0245697583193709</v>
      </c>
      <c r="H2201" s="1099">
        <v>1.0297878318187552</v>
      </c>
      <c r="I2201" s="1099">
        <v>0.9845998873468722</v>
      </c>
      <c r="K2201">
        <v>1.7026024313574721</v>
      </c>
      <c r="L2201">
        <v>0</v>
      </c>
      <c r="M2201">
        <v>1.2989535481439214E-3</v>
      </c>
      <c r="N2201">
        <v>0.12812285357440298</v>
      </c>
      <c r="O2201">
        <v>0.12321113021047241</v>
      </c>
      <c r="P2201">
        <v>1.8258947265702232E-2</v>
      </c>
      <c r="Q2201">
        <v>8.9329635866105303E-4</v>
      </c>
      <c r="R2201">
        <v>1.2956724513212502E-3</v>
      </c>
      <c r="S2201">
        <v>0.10422743122566207</v>
      </c>
      <c r="T2201">
        <v>1.0048744773478324</v>
      </c>
      <c r="U2201">
        <v>0</v>
      </c>
      <c r="V2201">
        <v>0.20682713762448487</v>
      </c>
      <c r="W2201">
        <v>8.3030852521688292E-2</v>
      </c>
      <c r="X2201">
        <v>2.963319303119737E-2</v>
      </c>
      <c r="Y2201">
        <v>3.5263932941876552E-3</v>
      </c>
    </row>
    <row r="2202" spans="1:25" x14ac:dyDescent="0.25">
      <c r="A2202" s="1095"/>
      <c r="B2202" s="1454">
        <v>1952</v>
      </c>
      <c r="C2202" s="1099">
        <v>0.97876957813740639</v>
      </c>
      <c r="D2202" s="1099">
        <v>1.0432859805967865</v>
      </c>
      <c r="E2202" s="1099">
        <v>0.99801974593715881</v>
      </c>
      <c r="F2202" s="1099">
        <v>0.96237510184968211</v>
      </c>
      <c r="G2202" s="1099">
        <v>0.97355399571170564</v>
      </c>
      <c r="H2202" s="1099">
        <v>0.98604289616735408</v>
      </c>
      <c r="I2202" s="1099">
        <v>0.99140697030473002</v>
      </c>
      <c r="K2202">
        <v>1.683546936038768</v>
      </c>
      <c r="L2202">
        <v>0</v>
      </c>
      <c r="M2202">
        <v>1.3501008977589784E-3</v>
      </c>
      <c r="N2202">
        <v>0.12344361951889668</v>
      </c>
      <c r="O2202">
        <v>0.12380338692214117</v>
      </c>
      <c r="P2202">
        <v>1.7762064168988598E-2</v>
      </c>
      <c r="Q2202">
        <v>9.0100478486004193E-4</v>
      </c>
      <c r="R2202">
        <v>1.3465231875483617E-3</v>
      </c>
      <c r="S2202">
        <v>0.10523087589806857</v>
      </c>
      <c r="T2202">
        <v>0.99231859458920768</v>
      </c>
      <c r="U2202">
        <v>0</v>
      </c>
      <c r="V2202">
        <v>0.2065092494350142</v>
      </c>
      <c r="W2202">
        <v>8.1189641399866022E-2</v>
      </c>
      <c r="X2202">
        <v>2.8727284796678038E-2</v>
      </c>
      <c r="Y2202">
        <v>3.664792235257161E-3</v>
      </c>
    </row>
    <row r="2203" spans="1:25" x14ac:dyDescent="0.25">
      <c r="A2203" s="1095"/>
      <c r="B2203" s="1454">
        <v>1953</v>
      </c>
      <c r="C2203" s="1099">
        <v>1.022665999412528</v>
      </c>
      <c r="D2203" s="1099">
        <v>0.99464888988535882</v>
      </c>
      <c r="E2203" s="1099">
        <v>0.99588906102444597</v>
      </c>
      <c r="F2203" s="1099">
        <v>0.97011286737767977</v>
      </c>
      <c r="G2203" s="1099">
        <v>0.9865649436871966</v>
      </c>
      <c r="H2203" s="1099">
        <v>1.0088779013056626</v>
      </c>
      <c r="I2203" s="1099">
        <v>1.0056512101675785</v>
      </c>
      <c r="K2203">
        <v>1.6949120322917015</v>
      </c>
      <c r="L2203">
        <v>0</v>
      </c>
      <c r="M2203">
        <v>1.3715921319024768E-3</v>
      </c>
      <c r="N2203">
        <v>0.12461550549422272</v>
      </c>
      <c r="O2203">
        <v>0.1243052995583328</v>
      </c>
      <c r="P2203">
        <v>1.7851307291669359E-2</v>
      </c>
      <c r="Q2203">
        <v>8.7701336085538664E-4</v>
      </c>
      <c r="R2203">
        <v>1.3680865205021209E-3</v>
      </c>
      <c r="S2203">
        <v>0.10707645920732221</v>
      </c>
      <c r="T2203">
        <v>1.0003587473297415</v>
      </c>
      <c r="U2203">
        <v>0</v>
      </c>
      <c r="V2203">
        <v>0.20526691876161446</v>
      </c>
      <c r="W2203">
        <v>8.2064505728733875E-2</v>
      </c>
      <c r="X2203">
        <v>2.8776300651402981E-2</v>
      </c>
      <c r="Y2203">
        <v>3.723480519206495E-3</v>
      </c>
    </row>
    <row r="2204" spans="1:25" x14ac:dyDescent="0.25">
      <c r="A2204" s="1095"/>
      <c r="B2204" s="1454">
        <v>1954</v>
      </c>
      <c r="C2204" s="1099">
        <v>1.034689562404649</v>
      </c>
      <c r="D2204" s="1099">
        <v>1.0208376501418006</v>
      </c>
      <c r="E2204" s="1099">
        <v>0.98410584226073483</v>
      </c>
      <c r="F2204" s="1099">
        <v>0.98877633308483437</v>
      </c>
      <c r="G2204" s="1099">
        <v>1.0084658468631642</v>
      </c>
      <c r="H2204" s="1099">
        <v>1.0114484012647329</v>
      </c>
      <c r="I2204" s="1099">
        <v>1.0110210111176432</v>
      </c>
      <c r="K2204">
        <v>1.7058021124607927</v>
      </c>
      <c r="L2204">
        <v>0</v>
      </c>
      <c r="M2204">
        <v>1.3750481021321127E-3</v>
      </c>
      <c r="N2204">
        <v>0.12055718876027703</v>
      </c>
      <c r="O2204">
        <v>0.12391745230833455</v>
      </c>
      <c r="P2204">
        <v>1.7933926687219909E-2</v>
      </c>
      <c r="Q2204">
        <v>8.4738559178486707E-4</v>
      </c>
      <c r="R2204">
        <v>1.3715343493428016E-3</v>
      </c>
      <c r="S2204">
        <v>0.10503119113718397</v>
      </c>
      <c r="T2204">
        <v>1.0199539181193349</v>
      </c>
      <c r="U2204">
        <v>0</v>
      </c>
      <c r="V2204">
        <v>0.20554485202346132</v>
      </c>
      <c r="W2204">
        <v>7.9954338212619644E-2</v>
      </c>
      <c r="X2204">
        <v>2.8332509000630692E-2</v>
      </c>
      <c r="Y2204">
        <v>3.7328643727343575E-3</v>
      </c>
    </row>
    <row r="2205" spans="1:25" x14ac:dyDescent="0.25">
      <c r="A2205" s="1095"/>
      <c r="B2205" s="1454">
        <v>1955</v>
      </c>
      <c r="C2205" s="1099">
        <v>1.0007491544220704</v>
      </c>
      <c r="D2205" s="1099">
        <v>1.0019506770070521</v>
      </c>
      <c r="E2205" s="1099">
        <v>0.99117724653602968</v>
      </c>
      <c r="F2205" s="1099">
        <v>0.98667620285281643</v>
      </c>
      <c r="G2205" s="1099">
        <v>1.0116718702057397</v>
      </c>
      <c r="H2205" s="1099">
        <v>0.97783237079195595</v>
      </c>
      <c r="I2205" s="1099">
        <v>1.0162413386792246</v>
      </c>
      <c r="K2205">
        <v>1.7154402438214444</v>
      </c>
      <c r="L2205">
        <v>0</v>
      </c>
      <c r="M2205">
        <v>1.365477574598902E-3</v>
      </c>
      <c r="N2205">
        <v>0.12229510382079231</v>
      </c>
      <c r="O2205">
        <v>0.12631774417284258</v>
      </c>
      <c r="P2205">
        <v>1.8081592336669595E-2</v>
      </c>
      <c r="Q2205">
        <v>8.8923228093482835E-4</v>
      </c>
      <c r="R2205">
        <v>1.3618706077769564E-3</v>
      </c>
      <c r="S2205">
        <v>0.10784570047795296</v>
      </c>
      <c r="T2205">
        <v>1.0175775865123677</v>
      </c>
      <c r="U2205">
        <v>0</v>
      </c>
      <c r="V2205">
        <v>0.20892239191798087</v>
      </c>
      <c r="W2205">
        <v>8.0763436959736104E-2</v>
      </c>
      <c r="X2205">
        <v>2.9044499455146849E-2</v>
      </c>
      <c r="Y2205">
        <v>3.706562853843679E-3</v>
      </c>
    </row>
    <row r="2206" spans="1:25" x14ac:dyDescent="0.25">
      <c r="A2206" s="1095"/>
      <c r="B2206" s="1454">
        <v>1956</v>
      </c>
      <c r="C2206" s="1099">
        <v>1.0049521078585568</v>
      </c>
      <c r="D2206" s="1099">
        <v>1.0135759781576652</v>
      </c>
      <c r="E2206" s="1099">
        <v>1.0220418815271248</v>
      </c>
      <c r="F2206" s="1099">
        <v>1.0132244794800078</v>
      </c>
      <c r="G2206" s="1099">
        <v>1.0114647581202079</v>
      </c>
      <c r="H2206" s="1099">
        <v>0.96329702908430981</v>
      </c>
      <c r="I2206" s="1099">
        <v>1.0137862452874717</v>
      </c>
      <c r="K2206">
        <v>1.7434689905597831</v>
      </c>
      <c r="L2206">
        <v>0</v>
      </c>
      <c r="M2206">
        <v>1.2511685871415717E-3</v>
      </c>
      <c r="N2206">
        <v>0.12299890860220609</v>
      </c>
      <c r="O2206">
        <v>0.12770929536539161</v>
      </c>
      <c r="P2206">
        <v>1.8846294977470077E-2</v>
      </c>
      <c r="Q2206">
        <v>9.0999752430873874E-4</v>
      </c>
      <c r="R2206">
        <v>1.2478151888838927E-3</v>
      </c>
      <c r="S2206">
        <v>0.10558796307083955</v>
      </c>
      <c r="T2206">
        <v>1.0440338093181671</v>
      </c>
      <c r="U2206">
        <v>0</v>
      </c>
      <c r="V2206">
        <v>0.20968770738042686</v>
      </c>
      <c r="W2206">
        <v>7.9759305704192471E-2</v>
      </c>
      <c r="X2206">
        <v>3.0542920413061787E-2</v>
      </c>
      <c r="Y2206">
        <v>3.3961416019754908E-3</v>
      </c>
    </row>
    <row r="2207" spans="1:25" x14ac:dyDescent="0.25">
      <c r="A2207" s="1095"/>
      <c r="B2207" s="1454">
        <v>1957</v>
      </c>
      <c r="C2207" s="1099">
        <v>1.0312709434310798</v>
      </c>
      <c r="D2207" s="1099">
        <v>0.99628326451451121</v>
      </c>
      <c r="E2207" s="1099">
        <v>0.97521842561212757</v>
      </c>
      <c r="F2207" s="1099">
        <v>1.0165390625417789</v>
      </c>
      <c r="G2207" s="1099">
        <v>1.0142655752514944</v>
      </c>
      <c r="H2207" s="1099">
        <v>0.98026219522633451</v>
      </c>
      <c r="I2207" s="1099">
        <v>1.010472775338753</v>
      </c>
      <c r="K2207">
        <v>1.7377161601036224</v>
      </c>
      <c r="L2207">
        <v>0</v>
      </c>
      <c r="M2207">
        <v>1.3844871524164061E-3</v>
      </c>
      <c r="N2207">
        <v>0.11815656550829212</v>
      </c>
      <c r="O2207">
        <v>0.12722627915456511</v>
      </c>
      <c r="P2207">
        <v>1.8234409656075888E-2</v>
      </c>
      <c r="Q2207">
        <v>8.5055492312056415E-4</v>
      </c>
      <c r="R2207">
        <v>1.3808612280690516E-3</v>
      </c>
      <c r="S2207">
        <v>0.10490373618765787</v>
      </c>
      <c r="T2207">
        <v>1.0488660970546597</v>
      </c>
      <c r="U2207">
        <v>0</v>
      </c>
      <c r="V2207">
        <v>0.20822214315670409</v>
      </c>
      <c r="W2207">
        <v>7.878399884601274E-2</v>
      </c>
      <c r="X2207">
        <v>2.8717752478857984E-2</v>
      </c>
      <c r="Y2207">
        <v>3.7582490620224635E-3</v>
      </c>
    </row>
    <row r="2208" spans="1:25" x14ac:dyDescent="0.25">
      <c r="A2208" s="1095"/>
      <c r="B2208" s="1454">
        <v>1958</v>
      </c>
      <c r="C2208" s="1099">
        <v>1.0242244564740492</v>
      </c>
      <c r="D2208" s="1099">
        <v>0.98301203027567829</v>
      </c>
      <c r="E2208" s="1099">
        <v>1.0318322284887362</v>
      </c>
      <c r="F2208" s="1099">
        <v>1.0235169520514409</v>
      </c>
      <c r="G2208" s="1099">
        <v>1.0243176743341558</v>
      </c>
      <c r="H2208" s="1099">
        <v>0.99823705136665086</v>
      </c>
      <c r="I2208" s="1099">
        <v>1.0094816929167818</v>
      </c>
      <c r="K2208">
        <v>1.7679492732987607</v>
      </c>
      <c r="L2208">
        <v>0</v>
      </c>
      <c r="M2208">
        <v>1.2723099424400757E-3</v>
      </c>
      <c r="N2208">
        <v>0.12883948786610674</v>
      </c>
      <c r="O2208">
        <v>0.12894987470616892</v>
      </c>
      <c r="P2208">
        <v>1.916269564595903E-2</v>
      </c>
      <c r="Q2208">
        <v>9.1296732454367773E-4</v>
      </c>
      <c r="R2208">
        <v>1.2690463314600387E-3</v>
      </c>
      <c r="S2208">
        <v>0.10775879389500503</v>
      </c>
      <c r="T2208">
        <v>1.0543493651491327</v>
      </c>
      <c r="U2208">
        <v>0</v>
      </c>
      <c r="V2208">
        <v>0.21020199376967852</v>
      </c>
      <c r="W2208">
        <v>8.3072069075115051E-2</v>
      </c>
      <c r="X2208">
        <v>3.125136370480832E-2</v>
      </c>
      <c r="Y2208">
        <v>3.4539257732234914E-3</v>
      </c>
    </row>
    <row r="2209" spans="1:25" x14ac:dyDescent="0.25">
      <c r="A2209" s="1095"/>
      <c r="B2209" s="1454">
        <v>1959</v>
      </c>
      <c r="C2209" s="1099">
        <v>0.99196847786741915</v>
      </c>
      <c r="D2209" s="1099">
        <v>1.0183870555138874</v>
      </c>
      <c r="E2209" s="1099">
        <v>0.99489781250565579</v>
      </c>
      <c r="F2209" s="1099">
        <v>1.0242935332129648</v>
      </c>
      <c r="G2209" s="1099">
        <v>0.99507295503014703</v>
      </c>
      <c r="H2209" s="1099">
        <v>1.0025301622730733</v>
      </c>
      <c r="I2209" s="1099">
        <v>1.003291108197458</v>
      </c>
      <c r="K2209">
        <v>1.7660384365157951</v>
      </c>
      <c r="L2209">
        <v>0</v>
      </c>
      <c r="M2209">
        <v>1.3915957505967894E-3</v>
      </c>
      <c r="N2209">
        <v>0.1260519316045676</v>
      </c>
      <c r="O2209">
        <v>0.12888641533436618</v>
      </c>
      <c r="P2209">
        <v>1.8682494892249633E-2</v>
      </c>
      <c r="Q2209">
        <v>8.9474131711538246E-4</v>
      </c>
      <c r="R2209">
        <v>1.3880082265026513E-3</v>
      </c>
      <c r="S2209">
        <v>0.10824377237074806</v>
      </c>
      <c r="T2209">
        <v>1.0562589631764101</v>
      </c>
      <c r="U2209">
        <v>0</v>
      </c>
      <c r="V2209">
        <v>0.21034636053081759</v>
      </c>
      <c r="W2209">
        <v>8.3059550085608488E-2</v>
      </c>
      <c r="X2209">
        <v>2.9840093892255729E-2</v>
      </c>
      <c r="Y2209">
        <v>3.7777008357513225E-3</v>
      </c>
    </row>
    <row r="2210" spans="1:25" x14ac:dyDescent="0.25">
      <c r="A2210" s="1095"/>
      <c r="B2210" s="1454">
        <v>1960</v>
      </c>
      <c r="C2210" s="1099">
        <v>0.9818242091760665</v>
      </c>
      <c r="D2210" s="1099">
        <v>0.98163901430283174</v>
      </c>
      <c r="E2210" s="1099">
        <v>0.97558314988501027</v>
      </c>
      <c r="F2210" s="1099">
        <v>1.0017335833908518</v>
      </c>
      <c r="G2210" s="1099">
        <v>1.0177088614001493</v>
      </c>
      <c r="H2210" s="1099">
        <v>1.0291456242820618</v>
      </c>
      <c r="I2210" s="1099">
        <v>1.0296570067590118</v>
      </c>
      <c r="K2210">
        <v>1.7620879800161207</v>
      </c>
      <c r="L2210">
        <v>0</v>
      </c>
      <c r="M2210">
        <v>1.5307402393770573E-3</v>
      </c>
      <c r="N2210">
        <v>0.13079804165787931</v>
      </c>
      <c r="O2210">
        <v>0.12933680748803378</v>
      </c>
      <c r="P2210">
        <v>1.8244008816325718E-2</v>
      </c>
      <c r="Q2210">
        <v>8.9904249242335412E-4</v>
      </c>
      <c r="R2210">
        <v>1.5269119663622345E-3</v>
      </c>
      <c r="S2210">
        <v>0.11653838637132558</v>
      </c>
      <c r="T2210">
        <v>1.0335786584260718</v>
      </c>
      <c r="U2210">
        <v>0</v>
      </c>
      <c r="V2210">
        <v>0.21220341746102026</v>
      </c>
      <c r="W2210">
        <v>8.7193760785124946E-2</v>
      </c>
      <c r="X2210">
        <v>2.914393376488528E-2</v>
      </c>
      <c r="Y2210">
        <v>4.1557510260435693E-3</v>
      </c>
    </row>
    <row r="2211" spans="1:25" x14ac:dyDescent="0.25">
      <c r="A2211" s="1095"/>
      <c r="B2211" s="1454">
        <v>1961</v>
      </c>
      <c r="C2211" s="1099">
        <v>0.97933539303976536</v>
      </c>
      <c r="D2211" s="1099">
        <v>0.98971254499355543</v>
      </c>
      <c r="E2211" s="1099">
        <v>1.0330192252730221</v>
      </c>
      <c r="F2211" s="1099">
        <v>0.99546410133226682</v>
      </c>
      <c r="G2211" s="1099">
        <v>0.99488424561287359</v>
      </c>
      <c r="H2211" s="1099">
        <v>1.0300138612731311</v>
      </c>
      <c r="I2211" s="1099">
        <v>1.0018564501905425</v>
      </c>
      <c r="K2211">
        <v>1.7597308009087516</v>
      </c>
      <c r="L2211">
        <v>0</v>
      </c>
      <c r="M2211">
        <v>1.3557226991498031E-3</v>
      </c>
      <c r="N2211">
        <v>0.13778661797351438</v>
      </c>
      <c r="O2211">
        <v>0.12884182334578662</v>
      </c>
      <c r="P2211">
        <v>1.8861030367929806E-2</v>
      </c>
      <c r="Q2211">
        <v>9.5337595590803883E-4</v>
      </c>
      <c r="R2211">
        <v>1.352327170554511E-3</v>
      </c>
      <c r="S2211">
        <v>0.11321767349343945</v>
      </c>
      <c r="T2211">
        <v>1.0254174594430749</v>
      </c>
      <c r="U2211">
        <v>0</v>
      </c>
      <c r="V2211">
        <v>0.21090373310321381</v>
      </c>
      <c r="W2211">
        <v>8.8779850253588921E-2</v>
      </c>
      <c r="X2211">
        <v>3.1292043737171593E-2</v>
      </c>
      <c r="Y2211">
        <v>3.680588763717416E-3</v>
      </c>
    </row>
    <row r="2212" spans="1:25" x14ac:dyDescent="0.25">
      <c r="A2212" s="1095"/>
      <c r="B2212" s="1454">
        <v>1962</v>
      </c>
      <c r="C2212" s="1099">
        <v>1.0156942689983075</v>
      </c>
      <c r="D2212" s="1099">
        <v>1.0263775531831805</v>
      </c>
      <c r="E2212" s="1099">
        <v>1.0103915171194755</v>
      </c>
      <c r="F2212" s="1099">
        <v>0.98989861249620215</v>
      </c>
      <c r="G2212" s="1099">
        <v>0.99306202808075761</v>
      </c>
      <c r="H2212" s="1099">
        <v>1.0119161260740801</v>
      </c>
      <c r="I2212" s="1099">
        <v>1.0431660850692062</v>
      </c>
      <c r="K2212">
        <v>1.7210658646115595</v>
      </c>
      <c r="L2212">
        <v>0</v>
      </c>
      <c r="M2212">
        <v>1.321013713821464E-3</v>
      </c>
      <c r="N2212">
        <v>0.12539398787572023</v>
      </c>
      <c r="O2212">
        <v>0.12479976378851759</v>
      </c>
      <c r="P2212">
        <v>1.8374033169531279E-2</v>
      </c>
      <c r="Q2212">
        <v>8.8519987848233964E-4</v>
      </c>
      <c r="R2212">
        <v>1.3176314409793887E-3</v>
      </c>
      <c r="S2212">
        <v>0.11000911668136441</v>
      </c>
      <c r="T2212">
        <v>1.0203359475419127</v>
      </c>
      <c r="U2212">
        <v>0</v>
      </c>
      <c r="V2212">
        <v>0.20629919516106041</v>
      </c>
      <c r="W2212">
        <v>8.1870198488978155E-2</v>
      </c>
      <c r="X2212">
        <v>2.9515645873574629E-2</v>
      </c>
      <c r="Y2212">
        <v>3.5861584252581138E-3</v>
      </c>
    </row>
    <row r="2213" spans="1:25" x14ac:dyDescent="0.25">
      <c r="A2213" s="1095"/>
      <c r="B2213" s="1454">
        <v>1963</v>
      </c>
      <c r="C2213" s="1099">
        <v>0.99765653703066837</v>
      </c>
      <c r="D2213" s="1099">
        <v>1.0175669079581269</v>
      </c>
      <c r="E2213" s="1099">
        <v>1.0064977611622734</v>
      </c>
      <c r="F2213" s="1099">
        <v>1.03185880334749</v>
      </c>
      <c r="G2213" s="1099">
        <v>0.9813043398376583</v>
      </c>
      <c r="H2213" s="1099">
        <v>0.99221616737892637</v>
      </c>
      <c r="I2213" s="1099">
        <v>0.97804278527488187</v>
      </c>
      <c r="K2213">
        <v>1.7685194981518226</v>
      </c>
      <c r="L2213">
        <v>0</v>
      </c>
      <c r="M2213">
        <v>1.3389411299887485E-3</v>
      </c>
      <c r="N2213">
        <v>0.12560504958013671</v>
      </c>
      <c r="O2213">
        <v>0.12924119088632527</v>
      </c>
      <c r="P2213">
        <v>1.8883968030827234E-2</v>
      </c>
      <c r="Q2213">
        <v>9.0069043189164452E-4</v>
      </c>
      <c r="R2213">
        <v>1.3354577523758365E-3</v>
      </c>
      <c r="S2213">
        <v>0.10436230055558153</v>
      </c>
      <c r="T2213">
        <v>1.0637047561139426</v>
      </c>
      <c r="U2213">
        <v>0</v>
      </c>
      <c r="V2213">
        <v>0.2096456849921664</v>
      </c>
      <c r="W2213">
        <v>8.2196744211280898E-2</v>
      </c>
      <c r="X2213">
        <v>3.0347920958846083E-2</v>
      </c>
      <c r="Y2213">
        <v>3.6346757684372721E-3</v>
      </c>
    </row>
    <row r="2214" spans="1:25" x14ac:dyDescent="0.25">
      <c r="A2214" s="1095"/>
      <c r="B2214" s="1454">
        <v>1964</v>
      </c>
      <c r="C2214" s="1099">
        <v>1.0017935702611818</v>
      </c>
      <c r="D2214" s="1099">
        <v>0.98550127550242506</v>
      </c>
      <c r="E2214" s="1099">
        <v>1.0355928088118718</v>
      </c>
      <c r="F2214" s="1099">
        <v>1.0124029102639529</v>
      </c>
      <c r="G2214" s="1099">
        <v>1.0074338863230339</v>
      </c>
      <c r="H2214" s="1099">
        <v>1.0168769536783764</v>
      </c>
      <c r="I2214" s="1099">
        <v>1.0146359596374868</v>
      </c>
      <c r="K2214">
        <v>1.7696889578184094</v>
      </c>
      <c r="L2214">
        <v>0</v>
      </c>
      <c r="M2214">
        <v>1.3091481485515619E-3</v>
      </c>
      <c r="N2214">
        <v>0.13408612117341337</v>
      </c>
      <c r="O2214">
        <v>0.12916640351411637</v>
      </c>
      <c r="P2214">
        <v>1.9114008981480284E-2</v>
      </c>
      <c r="Q2214">
        <v>9.3604364602633964E-4</v>
      </c>
      <c r="R2214">
        <v>1.3058408694743907E-3</v>
      </c>
      <c r="S2214">
        <v>0.11170265507223429</v>
      </c>
      <c r="T2214">
        <v>1.0427911466853221</v>
      </c>
      <c r="U2214">
        <v>0</v>
      </c>
      <c r="V2214">
        <v>0.21060459912573729</v>
      </c>
      <c r="W2214">
        <v>8.6266978909102746E-2</v>
      </c>
      <c r="X2214">
        <v>3.1470239613668821E-2</v>
      </c>
      <c r="Y2214">
        <v>3.5540683763823607E-3</v>
      </c>
    </row>
    <row r="2215" spans="1:25" x14ac:dyDescent="0.25">
      <c r="A2215" s="1095"/>
      <c r="B2215" s="1454">
        <v>1965</v>
      </c>
      <c r="C2215" s="1099">
        <v>1.0130141142408702</v>
      </c>
      <c r="D2215" s="1099">
        <v>0.96696252900433755</v>
      </c>
      <c r="E2215" s="1099">
        <v>0.97390262378883696</v>
      </c>
      <c r="F2215" s="1099">
        <v>1.0157900664321837</v>
      </c>
      <c r="G2215" s="1099">
        <v>0.9772860900856899</v>
      </c>
      <c r="H2215" s="1099">
        <v>1.0092313326778868</v>
      </c>
      <c r="I2215" s="1099">
        <v>1.0312850543080607</v>
      </c>
      <c r="K2215">
        <v>1.7613320191188837</v>
      </c>
      <c r="L2215">
        <v>0</v>
      </c>
      <c r="M2215">
        <v>1.4787191189553496E-3</v>
      </c>
      <c r="N2215">
        <v>0.12570781920931876</v>
      </c>
      <c r="O2215">
        <v>0.12947052516605914</v>
      </c>
      <c r="P2215">
        <v>1.8322498898156708E-2</v>
      </c>
      <c r="Q2215">
        <v>8.7508115961536421E-4</v>
      </c>
      <c r="R2215">
        <v>1.4749733076474484E-3</v>
      </c>
      <c r="S2215">
        <v>0.113026181386679</v>
      </c>
      <c r="T2215">
        <v>1.0481340299874278</v>
      </c>
      <c r="U2215">
        <v>0</v>
      </c>
      <c r="V2215">
        <v>0.20878238523946832</v>
      </c>
      <c r="W2215">
        <v>8.3885905715701425E-2</v>
      </c>
      <c r="X2215">
        <v>2.9116947049168947E-2</v>
      </c>
      <c r="Y2215">
        <v>4.014391118596165E-3</v>
      </c>
    </row>
    <row r="2216" spans="1:25" x14ac:dyDescent="0.25">
      <c r="A2216" s="1095"/>
      <c r="B2216" s="1454">
        <v>1966</v>
      </c>
      <c r="C2216" s="1099">
        <v>1.0344941228702971</v>
      </c>
      <c r="D2216" s="1099">
        <v>1.0208818059375011</v>
      </c>
      <c r="E2216" s="1099">
        <v>1.0281627845788444</v>
      </c>
      <c r="F2216" s="1099">
        <v>0.97074750671499355</v>
      </c>
      <c r="G2216" s="1099">
        <v>1.0128179819602219</v>
      </c>
      <c r="H2216" s="1099">
        <v>0.99680476233859039</v>
      </c>
      <c r="I2216" s="1099">
        <v>0.98863577787032275</v>
      </c>
      <c r="K2216">
        <v>1.6851962920265418</v>
      </c>
      <c r="L2216">
        <v>0</v>
      </c>
      <c r="M2216">
        <v>1.2349642906746613E-3</v>
      </c>
      <c r="N2216">
        <v>0.12367801815143573</v>
      </c>
      <c r="O2216">
        <v>0.12274885330144115</v>
      </c>
      <c r="P2216">
        <v>1.8199114491635509E-2</v>
      </c>
      <c r="Q2216">
        <v>8.8701203396917324E-4</v>
      </c>
      <c r="R2216">
        <v>1.2317571382750054E-3</v>
      </c>
      <c r="S2216">
        <v>0.10172495321758737</v>
      </c>
      <c r="T2216">
        <v>1.0000930188769492</v>
      </c>
      <c r="U2216">
        <v>0</v>
      </c>
      <c r="V2216">
        <v>0.20496301305106304</v>
      </c>
      <c r="W2216">
        <v>7.9914137121176107E-2</v>
      </c>
      <c r="X2216">
        <v>2.9638942051929091E-2</v>
      </c>
      <c r="Y2216">
        <v>3.3524368817530598E-3</v>
      </c>
    </row>
    <row r="2217" spans="1:25" x14ac:dyDescent="0.25">
      <c r="A2217" s="1095"/>
      <c r="B2217" s="1454">
        <v>1967</v>
      </c>
      <c r="C2217" s="1099">
        <v>0.99523081412557401</v>
      </c>
      <c r="D2217" s="1099">
        <v>1.0058834396662129</v>
      </c>
      <c r="E2217" s="1099">
        <v>1.0002188894957276</v>
      </c>
      <c r="F2217" s="1099">
        <v>0.98706163063126873</v>
      </c>
      <c r="G2217" s="1099">
        <v>0.9705071124355571</v>
      </c>
      <c r="H2217" s="1099">
        <v>0.9905649077920734</v>
      </c>
      <c r="I2217" s="1099">
        <v>1.007826948040675</v>
      </c>
      <c r="K2217">
        <v>1.7195154747268311</v>
      </c>
      <c r="L2217">
        <v>0</v>
      </c>
      <c r="M2217">
        <v>1.3613778138103732E-3</v>
      </c>
      <c r="N2217">
        <v>0.12530947008611798</v>
      </c>
      <c r="O2217">
        <v>0.12648809941410599</v>
      </c>
      <c r="P2217">
        <v>1.8188841685278623E-2</v>
      </c>
      <c r="Q2217">
        <v>9.0119074474714813E-4</v>
      </c>
      <c r="R2217">
        <v>1.3578237661718159E-3</v>
      </c>
      <c r="S2217">
        <v>0.10816846577257108</v>
      </c>
      <c r="T2217">
        <v>1.0177086391162677</v>
      </c>
      <c r="U2217">
        <v>0</v>
      </c>
      <c r="V2217">
        <v>0.20732602848661671</v>
      </c>
      <c r="W2217">
        <v>8.2309095570458651E-2</v>
      </c>
      <c r="X2217">
        <v>2.9423649213269051E-2</v>
      </c>
      <c r="Y2217">
        <v>3.695548685035461E-3</v>
      </c>
    </row>
    <row r="2218" spans="1:25" x14ac:dyDescent="0.25">
      <c r="A2218" s="1095"/>
      <c r="B2218" s="1454">
        <v>1968</v>
      </c>
      <c r="C2218" s="1099">
        <v>0.98221415277290491</v>
      </c>
      <c r="D2218" s="1099">
        <v>0.95982549560881925</v>
      </c>
      <c r="E2218" s="1099">
        <v>0.98478890330461799</v>
      </c>
      <c r="F2218" s="1099">
        <v>1.0233667905747155</v>
      </c>
      <c r="G2218" s="1099">
        <v>0.98329581990289372</v>
      </c>
      <c r="H2218" s="1099">
        <v>1.0176616433585115</v>
      </c>
      <c r="I2218" s="1099">
        <v>1.0198343290838094</v>
      </c>
      <c r="K2218">
        <v>1.7903208998276137</v>
      </c>
      <c r="L2218">
        <v>0</v>
      </c>
      <c r="M2218">
        <v>1.5071901164152794E-3</v>
      </c>
      <c r="N2218">
        <v>0.13242156143615288</v>
      </c>
      <c r="O2218">
        <v>0.13207073741936215</v>
      </c>
      <c r="P2218">
        <v>1.8668160589745814E-2</v>
      </c>
      <c r="Q2218">
        <v>9.1558959172540312E-4</v>
      </c>
      <c r="R2218">
        <v>1.5034016189537014E-3</v>
      </c>
      <c r="S2218">
        <v>0.11630344267961462</v>
      </c>
      <c r="T2218">
        <v>1.0556139600212697</v>
      </c>
      <c r="U2218">
        <v>0</v>
      </c>
      <c r="V2218">
        <v>0.21236673895410971</v>
      </c>
      <c r="W2218">
        <v>8.7786782386316958E-2</v>
      </c>
      <c r="X2218">
        <v>3.0085951636194892E-2</v>
      </c>
      <c r="Y2218">
        <v>4.0917636105814812E-3</v>
      </c>
    </row>
    <row r="2219" spans="1:25" x14ac:dyDescent="0.25">
      <c r="A2219" s="1095"/>
      <c r="B2219" s="1454">
        <v>1969</v>
      </c>
      <c r="C2219" s="1099">
        <v>1.0103280271941351</v>
      </c>
      <c r="D2219" s="1099">
        <v>1.0149782787099255</v>
      </c>
      <c r="E2219" s="1099">
        <v>1.0065292774301922</v>
      </c>
      <c r="F2219" s="1099">
        <v>0.97482439841863222</v>
      </c>
      <c r="G2219" s="1099">
        <v>1.0333378163065334</v>
      </c>
      <c r="H2219" s="1099">
        <v>1.0205392118187</v>
      </c>
      <c r="I2219" s="1099">
        <v>1.0076578345691287</v>
      </c>
      <c r="K2219">
        <v>1.7080903943913004</v>
      </c>
      <c r="L2219">
        <v>0</v>
      </c>
      <c r="M2219">
        <v>1.3566802131562735E-3</v>
      </c>
      <c r="N2219">
        <v>0.12728939432384481</v>
      </c>
      <c r="O2219">
        <v>0.12441252289753013</v>
      </c>
      <c r="P2219">
        <v>1.8109374642966698E-2</v>
      </c>
      <c r="Q2219">
        <v>8.9032964406761503E-4</v>
      </c>
      <c r="R2219">
        <v>1.3532372428389423E-3</v>
      </c>
      <c r="S2219">
        <v>0.1080347595106514</v>
      </c>
      <c r="T2219">
        <v>1.0049092078849942</v>
      </c>
      <c r="U2219">
        <v>0</v>
      </c>
      <c r="V2219">
        <v>0.2082177459137397</v>
      </c>
      <c r="W2219">
        <v>8.3297437829983514E-2</v>
      </c>
      <c r="X2219">
        <v>2.9249999033370392E-2</v>
      </c>
      <c r="Y2219">
        <v>3.6830656804703894E-3</v>
      </c>
    </row>
    <row r="2220" spans="1:25" x14ac:dyDescent="0.25">
      <c r="A2220" s="1095"/>
      <c r="B2220" s="1454">
        <v>1970</v>
      </c>
      <c r="C2220" s="1099">
        <v>1.0311570561029766</v>
      </c>
      <c r="D2220" s="1099">
        <v>0.98479498660162224</v>
      </c>
      <c r="E2220" s="1099">
        <v>1.0055740097763086</v>
      </c>
      <c r="F2220" s="1099">
        <v>1.0378483013144741</v>
      </c>
      <c r="G2220" s="1099">
        <v>1.0172724534887831</v>
      </c>
      <c r="H2220" s="1099">
        <v>0.95782109562384188</v>
      </c>
      <c r="I2220" s="1099">
        <v>1.0238677292481377</v>
      </c>
      <c r="K2220">
        <v>1.7669916640674697</v>
      </c>
      <c r="L2220">
        <v>0</v>
      </c>
      <c r="M2220">
        <v>1.2814861778397339E-3</v>
      </c>
      <c r="N2220">
        <v>0.11987217089995326</v>
      </c>
      <c r="O2220">
        <v>0.12947569208569176</v>
      </c>
      <c r="P2220">
        <v>1.8977434826662542E-2</v>
      </c>
      <c r="Q2220">
        <v>8.8207198940439869E-4</v>
      </c>
      <c r="R2220">
        <v>1.2780649925468225E-3</v>
      </c>
      <c r="S2220">
        <v>0.10566614445241658</v>
      </c>
      <c r="T2220">
        <v>1.0699074337465204</v>
      </c>
      <c r="U2220">
        <v>0</v>
      </c>
      <c r="V2220">
        <v>0.20990769087414105</v>
      </c>
      <c r="W2220">
        <v>7.8487987496190542E-2</v>
      </c>
      <c r="X2220">
        <v>3.033998728607825E-2</v>
      </c>
      <c r="Y2220">
        <v>3.4784715957008878E-3</v>
      </c>
    </row>
    <row r="2221" spans="1:25" x14ac:dyDescent="0.25">
      <c r="A2221" s="1095"/>
      <c r="B2221" s="1454">
        <v>1971</v>
      </c>
      <c r="C2221" s="1099">
        <v>0.98017442985522085</v>
      </c>
      <c r="D2221" s="1099">
        <v>0.99152871075427829</v>
      </c>
      <c r="E2221" s="1099">
        <v>0.9838677028381676</v>
      </c>
      <c r="F2221" s="1099">
        <v>0.99554149058337338</v>
      </c>
      <c r="G2221" s="1099">
        <v>0.99149673827085372</v>
      </c>
      <c r="H2221" s="1099">
        <v>0.98675725011199311</v>
      </c>
      <c r="I2221" s="1099">
        <v>0.98074467100697027</v>
      </c>
      <c r="K2221">
        <v>1.7347844614458776</v>
      </c>
      <c r="L2221">
        <v>0</v>
      </c>
      <c r="M2221">
        <v>1.4357217145551501E-3</v>
      </c>
      <c r="N2221">
        <v>0.12577857419543642</v>
      </c>
      <c r="O2221">
        <v>0.12851952610624667</v>
      </c>
      <c r="P2221">
        <v>1.8124522214405386E-2</v>
      </c>
      <c r="Q2221">
        <v>9.0477413935155038E-4</v>
      </c>
      <c r="R2221">
        <v>1.4319672116186197E-3</v>
      </c>
      <c r="S2221">
        <v>0.10749806186428688</v>
      </c>
      <c r="T2221">
        <v>1.0269395519045932</v>
      </c>
      <c r="U2221">
        <v>0</v>
      </c>
      <c r="V2221">
        <v>0.21047257548312814</v>
      </c>
      <c r="W2221">
        <v>8.3429154073334622E-2</v>
      </c>
      <c r="X2221">
        <v>2.9224133265868268E-2</v>
      </c>
      <c r="Y2221">
        <v>3.8973427021614373E-3</v>
      </c>
    </row>
    <row r="2222" spans="1:25" x14ac:dyDescent="0.25">
      <c r="A2222" s="1095"/>
      <c r="B2222" s="1454">
        <v>1972</v>
      </c>
      <c r="C2222" s="1099">
        <v>0.96185443771608936</v>
      </c>
      <c r="D2222" s="1099">
        <v>0.99411360037017149</v>
      </c>
      <c r="E2222" s="1099">
        <v>0.99614257274646356</v>
      </c>
      <c r="F2222" s="1099">
        <v>0.9888800939613952</v>
      </c>
      <c r="G2222" s="1099">
        <v>1.0172001671739852</v>
      </c>
      <c r="H2222" s="1099">
        <v>1.0458710085432197</v>
      </c>
      <c r="I2222" s="1099">
        <v>1.0025302769157345</v>
      </c>
      <c r="K2222">
        <v>1.7578704076865166</v>
      </c>
      <c r="L2222">
        <v>0</v>
      </c>
      <c r="M2222">
        <v>1.5061279959628739E-3</v>
      </c>
      <c r="N2222">
        <v>0.13695483670693562</v>
      </c>
      <c r="O2222">
        <v>0.12891426694414373</v>
      </c>
      <c r="P2222">
        <v>1.8343221107925977E-2</v>
      </c>
      <c r="Q2222">
        <v>9.3290749488246722E-4</v>
      </c>
      <c r="R2222">
        <v>1.5024019044710911E-3</v>
      </c>
      <c r="S2222">
        <v>0.11596252512289006</v>
      </c>
      <c r="T2222">
        <v>1.0197036106535173</v>
      </c>
      <c r="U2222">
        <v>0</v>
      </c>
      <c r="V2222">
        <v>0.21294836841503853</v>
      </c>
      <c r="W2222">
        <v>9.0176838661774006E-2</v>
      </c>
      <c r="X2222">
        <v>2.9848515953585054E-2</v>
      </c>
      <c r="Y2222">
        <v>4.0890427173156073E-3</v>
      </c>
    </row>
    <row r="2223" spans="1:25" x14ac:dyDescent="0.25">
      <c r="A2223" s="1095"/>
      <c r="B2223" s="1454">
        <v>1973</v>
      </c>
      <c r="C2223" s="1099">
        <v>1.0012877791834742</v>
      </c>
      <c r="D2223" s="1099">
        <v>1.0113028845970076</v>
      </c>
      <c r="E2223" s="1099">
        <v>1.0134231292553231</v>
      </c>
      <c r="F2223" s="1099">
        <v>1.0214060877982132</v>
      </c>
      <c r="G2223" s="1099">
        <v>0.96880928151987256</v>
      </c>
      <c r="H2223" s="1099">
        <v>0.99175623102898702</v>
      </c>
      <c r="I2223" s="1099">
        <v>0.99927701764425225</v>
      </c>
      <c r="K2223">
        <v>1.7586850873926203</v>
      </c>
      <c r="L2223">
        <v>0</v>
      </c>
      <c r="M2223">
        <v>1.3184886526325255E-3</v>
      </c>
      <c r="N2223">
        <v>0.12629969590644941</v>
      </c>
      <c r="O2223">
        <v>0.12858394371370505</v>
      </c>
      <c r="P2223">
        <v>1.8843136891539047E-2</v>
      </c>
      <c r="Q2223">
        <v>9.0609189083415084E-4</v>
      </c>
      <c r="R2223">
        <v>1.3150590246130869E-3</v>
      </c>
      <c r="S2223">
        <v>0.10658993403691422</v>
      </c>
      <c r="T2223">
        <v>1.0527212581903986</v>
      </c>
      <c r="U2223">
        <v>0</v>
      </c>
      <c r="V2223">
        <v>0.20839970937919525</v>
      </c>
      <c r="W2223">
        <v>8.231447721955075E-2</v>
      </c>
      <c r="X2223">
        <v>3.0451112636146329E-2</v>
      </c>
      <c r="Y2223">
        <v>3.579157155905868E-3</v>
      </c>
    </row>
    <row r="2224" spans="1:25" x14ac:dyDescent="0.25">
      <c r="A2224" s="1095"/>
      <c r="B2224" s="1454">
        <v>1974</v>
      </c>
      <c r="C2224" s="1099">
        <v>1.011506790624791</v>
      </c>
      <c r="D2224" s="1099">
        <v>0.99462462507808402</v>
      </c>
      <c r="E2224" s="1099">
        <v>0.98383897930351416</v>
      </c>
      <c r="F2224" s="1099">
        <v>1.0031284386173716</v>
      </c>
      <c r="G2224" s="1099">
        <v>0.98695164646798139</v>
      </c>
      <c r="H2224" s="1099">
        <v>0.99686907140444037</v>
      </c>
      <c r="I2224" s="1099">
        <v>0.98659188237936735</v>
      </c>
      <c r="K2224">
        <v>1.7324738313580823</v>
      </c>
      <c r="L2224">
        <v>0</v>
      </c>
      <c r="M2224">
        <v>1.4076729103148001E-3</v>
      </c>
      <c r="N2224">
        <v>0.1233147536460938</v>
      </c>
      <c r="O2224">
        <v>0.12732830311342461</v>
      </c>
      <c r="P2224">
        <v>1.8167881428670311E-2</v>
      </c>
      <c r="Q2224">
        <v>8.7562899502127548E-4</v>
      </c>
      <c r="R2224">
        <v>1.4040390246436471E-3</v>
      </c>
      <c r="S2224">
        <v>0.10550304725346245</v>
      </c>
      <c r="T2224">
        <v>1.034766652652056</v>
      </c>
      <c r="U2224">
        <v>0</v>
      </c>
      <c r="V2224">
        <v>0.20789040254865221</v>
      </c>
      <c r="W2224">
        <v>8.1796311813069483E-2</v>
      </c>
      <c r="X2224">
        <v>2.9013152409560511E-2</v>
      </c>
      <c r="Y2224">
        <v>3.8213313837399251E-3</v>
      </c>
    </row>
    <row r="2225" spans="1:25" x14ac:dyDescent="0.25">
      <c r="A2225" s="1095"/>
      <c r="B2225" s="1454">
        <v>1975</v>
      </c>
      <c r="C2225" s="1099">
        <v>1.0242416087063739</v>
      </c>
      <c r="D2225" s="1099">
        <v>1.0062149625502015</v>
      </c>
      <c r="E2225" s="1099">
        <v>1.0103527747749264</v>
      </c>
      <c r="F2225" s="1099">
        <v>0.98667224892322525</v>
      </c>
      <c r="G2225" s="1099">
        <v>0.96516855319016404</v>
      </c>
      <c r="H2225" s="1099">
        <v>0.97575468453351744</v>
      </c>
      <c r="I2225" s="1099">
        <v>0.96309782525557408</v>
      </c>
      <c r="K2225">
        <v>1.6988668076294811</v>
      </c>
      <c r="L2225">
        <v>0</v>
      </c>
      <c r="M2225">
        <v>1.2786677834289283E-3</v>
      </c>
      <c r="N2225">
        <v>0.12135000935301531</v>
      </c>
      <c r="O2225">
        <v>0.12502444058110024</v>
      </c>
      <c r="P2225">
        <v>1.8162528174317349E-2</v>
      </c>
      <c r="Q2225">
        <v>8.8477151856149454E-4</v>
      </c>
      <c r="R2225">
        <v>1.275286740127741E-3</v>
      </c>
      <c r="S2225">
        <v>9.9617885866198963E-2</v>
      </c>
      <c r="T2225">
        <v>1.0170115045223778</v>
      </c>
      <c r="U2225">
        <v>0</v>
      </c>
      <c r="V2225">
        <v>0.20467122095296036</v>
      </c>
      <c r="W2225">
        <v>7.9231679484609838E-2</v>
      </c>
      <c r="X2225">
        <v>2.9445238111172035E-2</v>
      </c>
      <c r="Y2225">
        <v>3.4709101084668121E-3</v>
      </c>
    </row>
    <row r="2226" spans="1:25" x14ac:dyDescent="0.25">
      <c r="A2226" s="1095"/>
      <c r="B2226" s="1454">
        <v>1976</v>
      </c>
      <c r="C2226" s="1099">
        <v>0.96736771651076514</v>
      </c>
      <c r="D2226" s="1099">
        <v>1.0130749379493866</v>
      </c>
      <c r="E2226" s="1099">
        <v>1.0325260786817358</v>
      </c>
      <c r="F2226" s="1099">
        <v>0.98459319508681253</v>
      </c>
      <c r="G2226" s="1099">
        <v>1.0232896700684471</v>
      </c>
      <c r="H2226" s="1099">
        <v>0.97753936677191355</v>
      </c>
      <c r="I2226" s="1099">
        <v>0.98933743403794216</v>
      </c>
      <c r="K2226">
        <v>1.7297251334195314</v>
      </c>
      <c r="L2226">
        <v>0</v>
      </c>
      <c r="M2226">
        <v>1.2836250223915828E-3</v>
      </c>
      <c r="N2226">
        <v>0.1302455775166155</v>
      </c>
      <c r="O2226">
        <v>0.1275706673152236</v>
      </c>
      <c r="P2226">
        <v>1.8637317979525787E-2</v>
      </c>
      <c r="Q2226">
        <v>9.5572474229204687E-4</v>
      </c>
      <c r="R2226">
        <v>1.2802159146851403E-3</v>
      </c>
      <c r="S2226">
        <v>0.10771748569276354</v>
      </c>
      <c r="T2226">
        <v>1.0142334120685257</v>
      </c>
      <c r="U2226">
        <v>0</v>
      </c>
      <c r="V2226">
        <v>0.21205806391607165</v>
      </c>
      <c r="W2226">
        <v>8.394491707946905E-2</v>
      </c>
      <c r="X2226">
        <v>3.0881050520039234E-2</v>
      </c>
      <c r="Y2226">
        <v>3.484325696710098E-3</v>
      </c>
    </row>
    <row r="2227" spans="1:25" x14ac:dyDescent="0.25">
      <c r="A2227" s="1095"/>
      <c r="B2227" s="1454">
        <v>1977</v>
      </c>
      <c r="C2227" s="1099">
        <v>0.98863526261681034</v>
      </c>
      <c r="D2227" s="1099">
        <v>1.0006467461090762</v>
      </c>
      <c r="E2227" s="1099">
        <v>0.99612717991038502</v>
      </c>
      <c r="F2227" s="1099">
        <v>0.97121304022769006</v>
      </c>
      <c r="G2227" s="1099">
        <v>0.97569017068445907</v>
      </c>
      <c r="H2227" s="1099">
        <v>0.98053303802641478</v>
      </c>
      <c r="I2227" s="1099">
        <v>1.0012218933994288</v>
      </c>
      <c r="K2227">
        <v>1.7005459753211156</v>
      </c>
      <c r="L2227">
        <v>0</v>
      </c>
      <c r="M2227">
        <v>1.3696062511750274E-3</v>
      </c>
      <c r="N2227">
        <v>0.12451415174065186</v>
      </c>
      <c r="O2227">
        <v>0.12583330354731642</v>
      </c>
      <c r="P2227">
        <v>1.7907632904567664E-2</v>
      </c>
      <c r="Q2227">
        <v>9.0524677064226654E-4</v>
      </c>
      <c r="R2227">
        <v>1.3659904651627643E-3</v>
      </c>
      <c r="S2227">
        <v>0.10767181085520382</v>
      </c>
      <c r="T2227">
        <v>1.0014863187665937</v>
      </c>
      <c r="U2227">
        <v>0</v>
      </c>
      <c r="V2227">
        <v>0.20745004591387325</v>
      </c>
      <c r="W2227">
        <v>8.1986119519093043E-2</v>
      </c>
      <c r="X2227">
        <v>2.9077185341647646E-2</v>
      </c>
      <c r="Y2227">
        <v>3.7177757475372239E-3</v>
      </c>
    </row>
    <row r="2228" spans="1:25" x14ac:dyDescent="0.25">
      <c r="A2228" s="1095"/>
      <c r="B2228" s="1454">
        <v>1978</v>
      </c>
      <c r="C2228" s="1099">
        <v>1.0107787793053902</v>
      </c>
      <c r="D2228" s="1099">
        <v>1.0225383508427255</v>
      </c>
      <c r="E2228" s="1099">
        <v>1.0011752333281163</v>
      </c>
      <c r="F2228" s="1099">
        <v>1.0161793677545283</v>
      </c>
      <c r="G2228" s="1099">
        <v>0.98346880552803417</v>
      </c>
      <c r="H2228" s="1099">
        <v>1.0060967195311725</v>
      </c>
      <c r="I2228" s="1099">
        <v>1.0235166336256702</v>
      </c>
      <c r="K2228">
        <v>1.7503584270780714</v>
      </c>
      <c r="L2228">
        <v>0</v>
      </c>
      <c r="M2228">
        <v>1.3507033897605372E-3</v>
      </c>
      <c r="N2228">
        <v>0.12469189163993466</v>
      </c>
      <c r="O2228">
        <v>0.12714199375160573</v>
      </c>
      <c r="P2228">
        <v>1.8619438905761385E-2</v>
      </c>
      <c r="Q2228">
        <v>8.8239310060216894E-4</v>
      </c>
      <c r="R2228">
        <v>1.3472338126860838E-3</v>
      </c>
      <c r="S2228">
        <v>0.1084170831836149</v>
      </c>
      <c r="T2228">
        <v>1.0477015759772885</v>
      </c>
      <c r="U2228">
        <v>0</v>
      </c>
      <c r="V2228">
        <v>0.20767750311942504</v>
      </c>
      <c r="W2228">
        <v>8.1856926325151333E-2</v>
      </c>
      <c r="X2228">
        <v>2.9706364329138108E-2</v>
      </c>
      <c r="Y2228">
        <v>3.666726322624526E-3</v>
      </c>
    </row>
    <row r="2229" spans="1:25" x14ac:dyDescent="0.25">
      <c r="A2229" s="1095"/>
      <c r="B2229" s="1454">
        <v>1979</v>
      </c>
      <c r="C2229" s="1099">
        <v>0.99602955116468006</v>
      </c>
      <c r="D2229" s="1099">
        <v>0.99843975381021743</v>
      </c>
      <c r="E2229" s="1099">
        <v>0.97533281981181752</v>
      </c>
      <c r="F2229" s="1099">
        <v>0.98104493623185296</v>
      </c>
      <c r="G2229" s="1099">
        <v>1.0248273879967629</v>
      </c>
      <c r="H2229" s="1099">
        <v>1.0224286898032566</v>
      </c>
      <c r="I2229" s="1099">
        <v>1.0228274746735866</v>
      </c>
      <c r="K2229">
        <v>1.7230013467906988</v>
      </c>
      <c r="L2229">
        <v>0</v>
      </c>
      <c r="M2229">
        <v>1.4840432259631549E-3</v>
      </c>
      <c r="N2229">
        <v>0.12670854953923022</v>
      </c>
      <c r="O2229">
        <v>0.12622598255310608</v>
      </c>
      <c r="P2229">
        <v>1.7866165336829224E-2</v>
      </c>
      <c r="Q2229">
        <v>8.7999357895153366E-4</v>
      </c>
      <c r="R2229">
        <v>1.480293141640698E-3</v>
      </c>
      <c r="S2229">
        <v>0.11239959047571658</v>
      </c>
      <c r="T2229">
        <v>1.0122398003921571</v>
      </c>
      <c r="U2229">
        <v>0</v>
      </c>
      <c r="V2229">
        <v>0.20972145992111396</v>
      </c>
      <c r="W2229">
        <v>8.4480401712039105E-2</v>
      </c>
      <c r="X2229">
        <v>2.8454283412832574E-2</v>
      </c>
      <c r="Y2229">
        <v>4.0288699530429848E-3</v>
      </c>
    </row>
    <row r="2230" spans="1:25" x14ac:dyDescent="0.25">
      <c r="A2230" s="1095"/>
      <c r="B2230" s="1454">
        <v>1980</v>
      </c>
      <c r="C2230" s="1099">
        <v>1.0211589164012589</v>
      </c>
      <c r="D2230" s="1099">
        <v>1.0052509859355891</v>
      </c>
      <c r="E2230" s="1099">
        <v>1.0311019153083891</v>
      </c>
      <c r="F2230" s="1099">
        <v>0.97441033594950233</v>
      </c>
      <c r="G2230" s="1099">
        <v>0.98052687690670359</v>
      </c>
      <c r="H2230" s="1099">
        <v>1.0017957109036699</v>
      </c>
      <c r="I2230" s="1099">
        <v>0.9681079308098901</v>
      </c>
      <c r="K2230">
        <v>1.6976107439510797</v>
      </c>
      <c r="L2230">
        <v>0</v>
      </c>
      <c r="M2230">
        <v>1.2601530200058145E-3</v>
      </c>
      <c r="N2230">
        <v>0.12732612717513683</v>
      </c>
      <c r="O2230">
        <v>0.12437083376710939</v>
      </c>
      <c r="P2230">
        <v>1.8297729224938199E-2</v>
      </c>
      <c r="Q2230">
        <v>9.0687487772153825E-4</v>
      </c>
      <c r="R2230">
        <v>1.2569038309474788E-3</v>
      </c>
      <c r="S2230">
        <v>0.10216581858717003</v>
      </c>
      <c r="T2230">
        <v>1.0037839531682613</v>
      </c>
      <c r="U2230">
        <v>0</v>
      </c>
      <c r="V2230">
        <v>0.20510946750823153</v>
      </c>
      <c r="W2230">
        <v>8.2131067101599758E-2</v>
      </c>
      <c r="X2230">
        <v>3.010124384036594E-2</v>
      </c>
      <c r="Y2230">
        <v>3.4208778896025211E-3</v>
      </c>
    </row>
    <row r="2231" spans="1:25" x14ac:dyDescent="0.25">
      <c r="A2231" s="1095"/>
      <c r="B2231" s="1454">
        <v>1981</v>
      </c>
      <c r="C2231" s="1099">
        <v>1.0156093663852606</v>
      </c>
      <c r="D2231" s="1099">
        <v>1.0286591279476645</v>
      </c>
      <c r="E2231" s="1099">
        <v>0.98341778535959701</v>
      </c>
      <c r="F2231" s="1099">
        <v>0.99618058985097657</v>
      </c>
      <c r="G2231" s="1099">
        <v>0.98962865068710348</v>
      </c>
      <c r="H2231" s="1099">
        <v>0.96619129196214926</v>
      </c>
      <c r="I2231" s="1099">
        <v>1.0091172214165278</v>
      </c>
      <c r="K2231">
        <v>1.7071334669332201</v>
      </c>
      <c r="L2231">
        <v>0</v>
      </c>
      <c r="M2231">
        <v>1.3329276133402534E-3</v>
      </c>
      <c r="N2231">
        <v>0.1166065882856674</v>
      </c>
      <c r="O2231">
        <v>0.1250665964061857</v>
      </c>
      <c r="P2231">
        <v>1.8012835267547881E-2</v>
      </c>
      <c r="Q2231">
        <v>8.6005457184082227E-4</v>
      </c>
      <c r="R2231">
        <v>1.3293536761442961E-3</v>
      </c>
      <c r="S2231">
        <v>0.10314704288912056</v>
      </c>
      <c r="T2231">
        <v>1.0276123497923195</v>
      </c>
      <c r="U2231">
        <v>0</v>
      </c>
      <c r="V2231">
        <v>0.20632255223915505</v>
      </c>
      <c r="W2231">
        <v>7.7366314096145777E-2</v>
      </c>
      <c r="X2231">
        <v>2.8524644837288133E-2</v>
      </c>
      <c r="Y2231">
        <v>3.6180624851432073E-3</v>
      </c>
    </row>
    <row r="2232" spans="1:25" x14ac:dyDescent="0.25">
      <c r="A2232" s="1095"/>
      <c r="B2232" s="1454">
        <v>1982</v>
      </c>
      <c r="C2232" s="1099">
        <v>1.0165167371920467</v>
      </c>
      <c r="D2232" s="1099">
        <v>1.0205957198077515</v>
      </c>
      <c r="E2232" s="1099">
        <v>0.97657561931636228</v>
      </c>
      <c r="F2232" s="1099">
        <v>0.99304374963521846</v>
      </c>
      <c r="G2232" s="1099">
        <v>0.99452600474270525</v>
      </c>
      <c r="H2232" s="1099">
        <v>0.99015605073381785</v>
      </c>
      <c r="I2232" s="1099">
        <v>1.007951413225554</v>
      </c>
      <c r="K2232">
        <v>1.7106420952819663</v>
      </c>
      <c r="L2232">
        <v>0</v>
      </c>
      <c r="M2232">
        <v>1.3903961639360756E-3</v>
      </c>
      <c r="N2232">
        <v>0.11914999673117239</v>
      </c>
      <c r="O2232">
        <v>0.12511423887838061</v>
      </c>
      <c r="P2232">
        <v>1.7907304791839943E-2</v>
      </c>
      <c r="Q2232">
        <v>8.5583745028634914E-4</v>
      </c>
      <c r="R2232">
        <v>1.3867631201990058E-3</v>
      </c>
      <c r="S2232">
        <v>0.10505581056647685</v>
      </c>
      <c r="T2232">
        <v>1.0245825733352343</v>
      </c>
      <c r="U2232">
        <v>0</v>
      </c>
      <c r="V2232">
        <v>0.20653497690334613</v>
      </c>
      <c r="W2232">
        <v>7.9381103184204924E-2</v>
      </c>
      <c r="X2232">
        <v>2.828957441791739E-2</v>
      </c>
      <c r="Y2232">
        <v>3.7743120668419809E-3</v>
      </c>
    </row>
    <row r="2233" spans="1:25" x14ac:dyDescent="0.25">
      <c r="A2233" s="1095"/>
      <c r="B2233" s="1454">
        <v>1983</v>
      </c>
      <c r="C2233" s="1099">
        <v>1.0119446513775101</v>
      </c>
      <c r="D2233" s="1099">
        <v>1.0072217196231215</v>
      </c>
      <c r="E2233" s="1099">
        <v>0.95968682551530982</v>
      </c>
      <c r="F2233" s="1099">
        <v>1.0027741757962885</v>
      </c>
      <c r="G2233" s="1099">
        <v>1.0027087467360576</v>
      </c>
      <c r="H2233" s="1099">
        <v>1.0095683304121559</v>
      </c>
      <c r="I2233" s="1099">
        <v>0.98453946989049412</v>
      </c>
      <c r="K2233">
        <v>1.7283998959804272</v>
      </c>
      <c r="L2233">
        <v>0</v>
      </c>
      <c r="M2233">
        <v>1.4867831043005415E-3</v>
      </c>
      <c r="N2233">
        <v>0.12106442493532227</v>
      </c>
      <c r="O2233">
        <v>0.12660575533298921</v>
      </c>
      <c r="P2233">
        <v>1.7840104236784355E-2</v>
      </c>
      <c r="Q2233">
        <v>8.4899481555839528E-4</v>
      </c>
      <c r="R2233">
        <v>1.482984207693254E-3</v>
      </c>
      <c r="S2233">
        <v>0.10524157967908883</v>
      </c>
      <c r="T2233">
        <v>1.035141615664922</v>
      </c>
      <c r="U2233">
        <v>0</v>
      </c>
      <c r="V2233">
        <v>0.20815213144547043</v>
      </c>
      <c r="W2233">
        <v>8.1491152614485404E-2</v>
      </c>
      <c r="X2233">
        <v>2.7981742004682189E-2</v>
      </c>
      <c r="Y2233">
        <v>4.0361941477283581E-3</v>
      </c>
    </row>
    <row r="2234" spans="1:25" x14ac:dyDescent="0.25">
      <c r="A2234" s="1095"/>
      <c r="B2234" s="1454">
        <v>1984</v>
      </c>
      <c r="C2234" s="1099">
        <v>0.97101668453811119</v>
      </c>
      <c r="D2234" s="1099">
        <v>0.99855406241137601</v>
      </c>
      <c r="E2234" s="1099">
        <v>0.99781963678434749</v>
      </c>
      <c r="F2234" s="1099">
        <v>0.97860385246429771</v>
      </c>
      <c r="G2234" s="1099">
        <v>0.99633985039291717</v>
      </c>
      <c r="H2234" s="1099">
        <v>1.000895030629726</v>
      </c>
      <c r="I2234" s="1099">
        <v>1.0003789725328038</v>
      </c>
      <c r="K2234">
        <v>1.7253763026824791</v>
      </c>
      <c r="L2234">
        <v>0</v>
      </c>
      <c r="M2234">
        <v>1.4189305462022318E-3</v>
      </c>
      <c r="N2234">
        <v>0.12966660078589376</v>
      </c>
      <c r="O2234">
        <v>0.12742614298271868</v>
      </c>
      <c r="P2234">
        <v>1.8120573771936883E-2</v>
      </c>
      <c r="Q2234">
        <v>9.2406682310863558E-4</v>
      </c>
      <c r="R2234">
        <v>1.415258975819427E-3</v>
      </c>
      <c r="S2234">
        <v>0.11107663712517306</v>
      </c>
      <c r="T2234">
        <v>1.0090581226244506</v>
      </c>
      <c r="U2234">
        <v>0</v>
      </c>
      <c r="V2234">
        <v>0.21044206003690344</v>
      </c>
      <c r="W2234">
        <v>8.5292695406523497E-2</v>
      </c>
      <c r="X2234">
        <v>2.9521206303966385E-2</v>
      </c>
      <c r="Y2234">
        <v>3.8518683921844872E-3</v>
      </c>
    </row>
    <row r="2235" spans="1:25" x14ac:dyDescent="0.25">
      <c r="A2235" s="1095"/>
      <c r="B2235" s="1454">
        <v>1985</v>
      </c>
      <c r="C2235" s="1099">
        <v>1.0360244690176414</v>
      </c>
      <c r="D2235" s="1099">
        <v>0.96775777651949646</v>
      </c>
      <c r="E2235" s="1099">
        <v>0.98607263330002226</v>
      </c>
      <c r="F2235" s="1099">
        <v>1.0047180427369604</v>
      </c>
      <c r="G2235" s="1099">
        <v>1.0135039583783867</v>
      </c>
      <c r="H2235" s="1099">
        <v>1.0141621097565792</v>
      </c>
      <c r="I2235" s="1099">
        <v>0.96752246921155249</v>
      </c>
      <c r="K2235">
        <v>1.7358263730578321</v>
      </c>
      <c r="L2235">
        <v>0</v>
      </c>
      <c r="M2235">
        <v>1.4174561782809502E-3</v>
      </c>
      <c r="N2235">
        <v>0.12502135255756733</v>
      </c>
      <c r="O2235">
        <v>0.12747454838871533</v>
      </c>
      <c r="P2235">
        <v>1.8202802595038588E-2</v>
      </c>
      <c r="Q2235">
        <v>8.6634289080416229E-4</v>
      </c>
      <c r="R2235">
        <v>1.4138857558792419E-3</v>
      </c>
      <c r="S2235">
        <v>0.10404167305225191</v>
      </c>
      <c r="T2235">
        <v>1.036338672269471</v>
      </c>
      <c r="U2235">
        <v>0</v>
      </c>
      <c r="V2235">
        <v>0.20809254118500309</v>
      </c>
      <c r="W2235">
        <v>8.2816986455927E-2</v>
      </c>
      <c r="X2235">
        <v>2.912689314526528E-2</v>
      </c>
      <c r="Y2235">
        <v>3.8481309401891357E-3</v>
      </c>
    </row>
    <row r="2236" spans="1:25" x14ac:dyDescent="0.25">
      <c r="A2236" s="1095"/>
      <c r="B2236" s="1454">
        <v>1986</v>
      </c>
      <c r="C2236" s="1099">
        <v>0.9952701332072732</v>
      </c>
      <c r="D2236" s="1099">
        <v>1.0135357719709568</v>
      </c>
      <c r="E2236" s="1099">
        <v>0.99525133162926094</v>
      </c>
      <c r="F2236" s="1099">
        <v>1.0048569702960284</v>
      </c>
      <c r="G2236" s="1099">
        <v>0.98586067902788654</v>
      </c>
      <c r="H2236" s="1099">
        <v>0.99863684660624441</v>
      </c>
      <c r="I2236" s="1099">
        <v>1.0136155401246756</v>
      </c>
      <c r="K2236">
        <v>1.7419028006879154</v>
      </c>
      <c r="L2236">
        <v>0</v>
      </c>
      <c r="M2236">
        <v>1.3826068009369259E-3</v>
      </c>
      <c r="N2236">
        <v>0.12537017812608584</v>
      </c>
      <c r="O2236">
        <v>0.12747683737695994</v>
      </c>
      <c r="P2236">
        <v>1.8402866655103649E-2</v>
      </c>
      <c r="Q2236">
        <v>8.9380650030624644E-4</v>
      </c>
      <c r="R2236">
        <v>1.3790269658927616E-3</v>
      </c>
      <c r="S2236">
        <v>0.10894728301174525</v>
      </c>
      <c r="T2236">
        <v>1.0362052255281438</v>
      </c>
      <c r="U2236">
        <v>0</v>
      </c>
      <c r="V2236">
        <v>0.20875769703848182</v>
      </c>
      <c r="W2236">
        <v>8.2592898174226159E-2</v>
      </c>
      <c r="X2236">
        <v>2.9506331306864704E-2</v>
      </c>
      <c r="Y2236">
        <v>3.753256805042965E-3</v>
      </c>
    </row>
    <row r="2237" spans="1:25" x14ac:dyDescent="0.25">
      <c r="A2237" s="1095"/>
      <c r="B2237" s="1454">
        <v>1987</v>
      </c>
      <c r="C2237" s="1099">
        <v>0.98221313801108856</v>
      </c>
      <c r="D2237" s="1099">
        <v>1.00186641611796</v>
      </c>
      <c r="E2237" s="1099">
        <v>0.99572725861599298</v>
      </c>
      <c r="F2237" s="1099">
        <v>0.95942542560387079</v>
      </c>
      <c r="G2237" s="1099">
        <v>1.0291093656020764</v>
      </c>
      <c r="H2237" s="1099">
        <v>1.0294305782181494</v>
      </c>
      <c r="I2237" s="1099">
        <v>1.0289837555673265</v>
      </c>
      <c r="K2237">
        <v>1.7085485253241726</v>
      </c>
      <c r="L2237">
        <v>0</v>
      </c>
      <c r="M2237">
        <v>1.4450904494284456E-3</v>
      </c>
      <c r="N2237">
        <v>0.13123378938075092</v>
      </c>
      <c r="O2237">
        <v>0.12519823628604448</v>
      </c>
      <c r="P2237">
        <v>1.7866958873507525E-2</v>
      </c>
      <c r="Q2237">
        <v>9.1034342997603425E-4</v>
      </c>
      <c r="R2237">
        <v>1.4414497777909283E-3</v>
      </c>
      <c r="S2237">
        <v>0.11473540680172893</v>
      </c>
      <c r="T2237">
        <v>0.98934272989761274</v>
      </c>
      <c r="U2237">
        <v>0</v>
      </c>
      <c r="V2237">
        <v>0.20992723576234901</v>
      </c>
      <c r="W2237">
        <v>8.6431260544618763E-2</v>
      </c>
      <c r="X2237">
        <v>2.8983053897865624E-2</v>
      </c>
      <c r="Y2237">
        <v>3.9231511213553638E-3</v>
      </c>
    </row>
    <row r="2238" spans="1:25" x14ac:dyDescent="0.25">
      <c r="A2238" s="1095"/>
      <c r="B2238" s="1454">
        <v>1988</v>
      </c>
      <c r="C2238" s="1099">
        <v>0.96745709348353282</v>
      </c>
      <c r="D2238" s="1099">
        <v>0.99208726303730499</v>
      </c>
      <c r="E2238" s="1099">
        <v>0.96833533243714243</v>
      </c>
      <c r="F2238" s="1099">
        <v>0.97473300941014351</v>
      </c>
      <c r="G2238" s="1099">
        <v>1.0051029326763634</v>
      </c>
      <c r="H2238" s="1099">
        <v>0.97613078779651352</v>
      </c>
      <c r="I2238" s="1099">
        <v>0.99189694003617102</v>
      </c>
      <c r="K2238">
        <v>1.7112328970675084</v>
      </c>
      <c r="L2238">
        <v>0</v>
      </c>
      <c r="M2238">
        <v>1.4808886272915022E-3</v>
      </c>
      <c r="N2238">
        <v>0.12377330097926934</v>
      </c>
      <c r="O2238">
        <v>0.12749699060996281</v>
      </c>
      <c r="P2238">
        <v>1.7661216874904049E-2</v>
      </c>
      <c r="Q2238">
        <v>9.0163376667706221E-4</v>
      </c>
      <c r="R2238">
        <v>1.4769615808365982E-3</v>
      </c>
      <c r="S2238">
        <v>0.10910943748021108</v>
      </c>
      <c r="T2238">
        <v>1.0059356675360158</v>
      </c>
      <c r="U2238">
        <v>0</v>
      </c>
      <c r="V2238">
        <v>0.21109101963772833</v>
      </c>
      <c r="W2238">
        <v>8.2875078707568356E-2</v>
      </c>
      <c r="X2238">
        <v>2.837267597884148E-2</v>
      </c>
      <c r="Y2238">
        <v>4.0198025427829499E-3</v>
      </c>
    </row>
    <row r="2239" spans="1:25" x14ac:dyDescent="0.25">
      <c r="A2239" s="1095"/>
      <c r="B2239" s="1454">
        <v>1989</v>
      </c>
      <c r="C2239" s="1099">
        <v>1.0462490340731456</v>
      </c>
      <c r="D2239" s="1099">
        <v>1.0278890889335364</v>
      </c>
      <c r="E2239" s="1099">
        <v>1.0002848896349654</v>
      </c>
      <c r="F2239" s="1099">
        <v>1.0079775079157243</v>
      </c>
      <c r="G2239" s="1099">
        <v>1.0183816634619429</v>
      </c>
      <c r="H2239" s="1099">
        <v>0.99857203249584825</v>
      </c>
      <c r="I2239" s="1099">
        <v>1.0220926414890168</v>
      </c>
      <c r="K2239">
        <v>1.7232244525405374</v>
      </c>
      <c r="L2239">
        <v>0</v>
      </c>
      <c r="M2239">
        <v>1.2961413750130679E-3</v>
      </c>
      <c r="N2239">
        <v>0.11933151276009792</v>
      </c>
      <c r="O2239">
        <v>0.12453214380164493</v>
      </c>
      <c r="P2239">
        <v>1.8406641719647409E-2</v>
      </c>
      <c r="Q2239">
        <v>8.4991548559763645E-4</v>
      </c>
      <c r="R2239">
        <v>1.2927902310094317E-3</v>
      </c>
      <c r="S2239">
        <v>0.10388516257813958</v>
      </c>
      <c r="T2239">
        <v>1.0392719506593067</v>
      </c>
      <c r="U2239">
        <v>0</v>
      </c>
      <c r="V2239">
        <v>0.20594954899259421</v>
      </c>
      <c r="W2239">
        <v>7.8379420779259343E-2</v>
      </c>
      <c r="X2239">
        <v>2.9102958067629241E-2</v>
      </c>
      <c r="Y2239">
        <v>3.5185488406225562E-3</v>
      </c>
    </row>
    <row r="2240" spans="1:25" x14ac:dyDescent="0.25">
      <c r="A2240" s="1095"/>
      <c r="B2240" s="1454">
        <v>1990</v>
      </c>
      <c r="C2240" s="1099">
        <v>1.0260369466220716</v>
      </c>
      <c r="D2240" s="1099">
        <v>1.008466841946549</v>
      </c>
      <c r="E2240" s="1099">
        <v>0.98069394132873577</v>
      </c>
      <c r="F2240" s="1099">
        <v>0.99811625755960576</v>
      </c>
      <c r="G2240" s="1099">
        <v>0.97471545541453608</v>
      </c>
      <c r="H2240" s="1099">
        <v>0.97834844067118321</v>
      </c>
      <c r="I2240" s="1099">
        <v>1.0025703416495499</v>
      </c>
      <c r="K2240">
        <v>1.7118700662846471</v>
      </c>
      <c r="L2240">
        <v>0</v>
      </c>
      <c r="M2240">
        <v>1.3606976905853512E-3</v>
      </c>
      <c r="N2240">
        <v>0.11806454511744749</v>
      </c>
      <c r="O2240">
        <v>0.12557493949273615</v>
      </c>
      <c r="P2240">
        <v>1.799741331700833E-2</v>
      </c>
      <c r="Q2240">
        <v>8.5564841829683291E-4</v>
      </c>
      <c r="R2240">
        <v>1.3571117635531428E-3</v>
      </c>
      <c r="S2240">
        <v>0.10357729630250528</v>
      </c>
      <c r="T2240">
        <v>1.0296913667895435</v>
      </c>
      <c r="U2240">
        <v>0</v>
      </c>
      <c r="V2240">
        <v>0.2054306274891752</v>
      </c>
      <c r="W2240">
        <v>7.84623744012692E-2</v>
      </c>
      <c r="X2240">
        <v>2.8525830035079629E-2</v>
      </c>
      <c r="Y2240">
        <v>3.6936108486190335E-3</v>
      </c>
    </row>
    <row r="2241" spans="1:25" x14ac:dyDescent="0.25">
      <c r="A2241" s="1095"/>
      <c r="B2241" s="1454">
        <v>1991</v>
      </c>
      <c r="C2241" s="1099">
        <v>0.97974875285720531</v>
      </c>
      <c r="D2241" s="1099">
        <v>0.99278253282399231</v>
      </c>
      <c r="E2241" s="1099">
        <v>0.96328853047511842</v>
      </c>
      <c r="F2241" s="1099">
        <v>1.0171741202208928</v>
      </c>
      <c r="G2241" s="1099">
        <v>0.97388641149482769</v>
      </c>
      <c r="H2241" s="1099">
        <v>1.0227276828892855</v>
      </c>
      <c r="I2241" s="1099">
        <v>0.98448721089441016</v>
      </c>
      <c r="K2241">
        <v>1.7672650028399337</v>
      </c>
      <c r="L2241">
        <v>0</v>
      </c>
      <c r="M2241">
        <v>1.5550951717974227E-3</v>
      </c>
      <c r="N2241">
        <v>0.1280208835402028</v>
      </c>
      <c r="O2241">
        <v>0.13005631567037326</v>
      </c>
      <c r="P2241">
        <v>1.8189043407562371E-2</v>
      </c>
      <c r="Q2241">
        <v>8.8534191787383032E-4</v>
      </c>
      <c r="R2241">
        <v>1.5511779051191588E-3</v>
      </c>
      <c r="S2241">
        <v>0.11049887885869075</v>
      </c>
      <c r="T2241">
        <v>1.04989323215979</v>
      </c>
      <c r="U2241">
        <v>0</v>
      </c>
      <c r="V2241">
        <v>0.21069725715892806</v>
      </c>
      <c r="W2241">
        <v>8.5983723690228095E-2</v>
      </c>
      <c r="X2241">
        <v>2.8822448790886527E-2</v>
      </c>
      <c r="Y2241">
        <v>4.2217949120753545E-3</v>
      </c>
    </row>
    <row r="2242" spans="1:25" x14ac:dyDescent="0.25">
      <c r="A2242" s="1095"/>
      <c r="B2242" s="1454">
        <v>1992</v>
      </c>
      <c r="C2242" s="1099">
        <v>1.0133146146331935</v>
      </c>
      <c r="D2242" s="1099">
        <v>0.98823802518250159</v>
      </c>
      <c r="E2242" s="1099">
        <v>1.0093953087721168</v>
      </c>
      <c r="F2242" s="1099">
        <v>1.0045884145968864</v>
      </c>
      <c r="G2242" s="1099">
        <v>0.99920600390335812</v>
      </c>
      <c r="H2242" s="1099">
        <v>0.98023160695201361</v>
      </c>
      <c r="I2242" s="1099">
        <v>0.99232358799577947</v>
      </c>
      <c r="K2242">
        <v>1.7360907298394979</v>
      </c>
      <c r="L2242">
        <v>0</v>
      </c>
      <c r="M2242">
        <v>1.3157493891906018E-3</v>
      </c>
      <c r="N2242">
        <v>0.12451160181933689</v>
      </c>
      <c r="O2242">
        <v>0.1277397822191593</v>
      </c>
      <c r="P2242">
        <v>1.8536269944134529E-2</v>
      </c>
      <c r="Q2242">
        <v>8.9989545613195952E-4</v>
      </c>
      <c r="R2242">
        <v>1.3123003003464348E-3</v>
      </c>
      <c r="S2242">
        <v>0.10526364152344121</v>
      </c>
      <c r="T2242">
        <v>1.0355068865576704</v>
      </c>
      <c r="U2242">
        <v>0</v>
      </c>
      <c r="V2242">
        <v>0.2086725655396707</v>
      </c>
      <c r="W2242">
        <v>8.1341858832283606E-2</v>
      </c>
      <c r="X2242">
        <v>3.0050028218648796E-2</v>
      </c>
      <c r="Y2242">
        <v>3.5716488178652497E-3</v>
      </c>
    </row>
    <row r="2243" spans="1:25" x14ac:dyDescent="0.25">
      <c r="A2243" s="1095"/>
      <c r="B2243" s="1454">
        <v>1993</v>
      </c>
      <c r="C2243" s="1099">
        <v>1.0075390373149251</v>
      </c>
      <c r="D2243" s="1099">
        <v>1.0241809725472302</v>
      </c>
      <c r="E2243" s="1099">
        <v>0.99480063275863506</v>
      </c>
      <c r="F2243" s="1099">
        <v>1.0167889707589515</v>
      </c>
      <c r="G2243" s="1099">
        <v>0.97553493222220666</v>
      </c>
      <c r="H2243" s="1099">
        <v>0.99219014980102416</v>
      </c>
      <c r="I2243" s="1099">
        <v>0.98763263970807236</v>
      </c>
      <c r="K2243">
        <v>1.7428531534804026</v>
      </c>
      <c r="L2243">
        <v>0</v>
      </c>
      <c r="M2243">
        <v>1.3525379371381212E-3</v>
      </c>
      <c r="N2243">
        <v>0.12247461727371022</v>
      </c>
      <c r="O2243">
        <v>0.12725483929738596</v>
      </c>
      <c r="P2243">
        <v>1.8478445558772694E-2</v>
      </c>
      <c r="Q2243">
        <v>8.7882837534973763E-4</v>
      </c>
      <c r="R2243">
        <v>1.3490131511107006E-3</v>
      </c>
      <c r="S2243">
        <v>0.10388259066296886</v>
      </c>
      <c r="T2243">
        <v>1.0485231561458392</v>
      </c>
      <c r="U2243">
        <v>0</v>
      </c>
      <c r="V2243">
        <v>0.20752850621587113</v>
      </c>
      <c r="W2243">
        <v>8.0707026444898397E-2</v>
      </c>
      <c r="X2243">
        <v>2.945709919637745E-2</v>
      </c>
      <c r="Y2243">
        <v>3.6715690952575804E-3</v>
      </c>
    </row>
    <row r="2244" spans="1:25" x14ac:dyDescent="0.25">
      <c r="A2244" s="1095"/>
      <c r="B2244" s="1454">
        <v>1994</v>
      </c>
      <c r="C2244" s="1099">
        <v>1.0243026706242462</v>
      </c>
      <c r="D2244" s="1099">
        <v>0.9936268281769578</v>
      </c>
      <c r="E2244" s="1099">
        <v>0.98138095324174579</v>
      </c>
      <c r="F2244" s="1099">
        <v>0.9889522078626084</v>
      </c>
      <c r="G2244" s="1099">
        <v>0.98496674363945347</v>
      </c>
      <c r="H2244" s="1099">
        <v>1.029147927166761</v>
      </c>
      <c r="I2244" s="1099">
        <v>0.95850718495685305</v>
      </c>
      <c r="K2244">
        <v>1.7153363842043872</v>
      </c>
      <c r="L2244">
        <v>0</v>
      </c>
      <c r="M2244">
        <v>1.4429973426104191E-3</v>
      </c>
      <c r="N2244">
        <v>0.12548296724705083</v>
      </c>
      <c r="O2244">
        <v>0.12564792964094934</v>
      </c>
      <c r="P2244">
        <v>1.7884905524369516E-2</v>
      </c>
      <c r="Q2244">
        <v>8.6281536036479504E-4</v>
      </c>
      <c r="R2244">
        <v>1.4393891109702032E-3</v>
      </c>
      <c r="S2244">
        <v>0.10338581100228778</v>
      </c>
      <c r="T2244">
        <v>1.0202168335359694</v>
      </c>
      <c r="U2244">
        <v>0</v>
      </c>
      <c r="V2244">
        <v>0.20603318266643944</v>
      </c>
      <c r="W2244">
        <v>8.3357890582273372E-2</v>
      </c>
      <c r="X2244">
        <v>2.8550114210755401E-2</v>
      </c>
      <c r="Y2244">
        <v>3.9175426655679848E-3</v>
      </c>
    </row>
    <row r="2245" spans="1:25" x14ac:dyDescent="0.25">
      <c r="A2245" s="1095"/>
      <c r="B2245" s="1454">
        <v>1995</v>
      </c>
      <c r="C2245" s="1099">
        <v>1.0000361088021443</v>
      </c>
      <c r="D2245" s="1099">
        <v>1.0097602138485757</v>
      </c>
      <c r="E2245" s="1099">
        <v>0.9996325205856752</v>
      </c>
      <c r="F2245" s="1099">
        <v>1.0112879526760621</v>
      </c>
      <c r="G2245" s="1099">
        <v>0.99077744056805772</v>
      </c>
      <c r="H2245" s="1099">
        <v>0.99298547331046494</v>
      </c>
      <c r="I2245" s="1099">
        <v>1.012429986198508</v>
      </c>
      <c r="K2245">
        <v>1.7478730217024656</v>
      </c>
      <c r="L2245">
        <v>0</v>
      </c>
      <c r="M2245">
        <v>1.360113161506376E-3</v>
      </c>
      <c r="N2245">
        <v>0.12497284770907764</v>
      </c>
      <c r="O2245">
        <v>0.12790296382874647</v>
      </c>
      <c r="P2245">
        <v>1.8546027532644296E-2</v>
      </c>
      <c r="Q2245">
        <v>8.9493723317405228E-4</v>
      </c>
      <c r="R2245">
        <v>1.3565773315674565E-3</v>
      </c>
      <c r="S2245">
        <v>0.10822681144567683</v>
      </c>
      <c r="T2245">
        <v>1.0427047866722414</v>
      </c>
      <c r="U2245">
        <v>0</v>
      </c>
      <c r="V2245">
        <v>0.2090499296964391</v>
      </c>
      <c r="W2245">
        <v>8.2116601101276221E-2</v>
      </c>
      <c r="X2245">
        <v>2.9769496012198745E-2</v>
      </c>
      <c r="Y2245">
        <v>3.6921563009294518E-3</v>
      </c>
    </row>
    <row r="2246" spans="1:25" x14ac:dyDescent="0.25">
      <c r="A2246" s="1095"/>
      <c r="B2246" s="1454">
        <v>1996</v>
      </c>
      <c r="C2246" s="1099">
        <v>0.97580337124446759</v>
      </c>
      <c r="D2246" s="1099">
        <v>1.0160627393834256</v>
      </c>
      <c r="E2246" s="1099">
        <v>0.95845260811034172</v>
      </c>
      <c r="F2246" s="1099">
        <v>0.98053445090247371</v>
      </c>
      <c r="G2246" s="1099">
        <v>1.0217679197548888</v>
      </c>
      <c r="H2246" s="1099">
        <v>1.0033452745076095</v>
      </c>
      <c r="I2246" s="1099">
        <v>1.0465248486350454</v>
      </c>
      <c r="K2246">
        <v>1.7208748564342136</v>
      </c>
      <c r="L2246">
        <v>0</v>
      </c>
      <c r="M2246">
        <v>1.5208063913340433E-3</v>
      </c>
      <c r="N2246">
        <v>0.12336848696366801</v>
      </c>
      <c r="O2246">
        <v>0.12637538415585628</v>
      </c>
      <c r="P2246">
        <v>1.7677243699481111E-2</v>
      </c>
      <c r="Q2246">
        <v>8.7622016613071209E-4</v>
      </c>
      <c r="R2246">
        <v>1.5168705430469865E-3</v>
      </c>
      <c r="S2246">
        <v>0.11455341887690508</v>
      </c>
      <c r="T2246">
        <v>1.0122214970467847</v>
      </c>
      <c r="U2246">
        <v>0</v>
      </c>
      <c r="V2246">
        <v>0.21071841249780332</v>
      </c>
      <c r="W2246">
        <v>8.3105016232926862E-2</v>
      </c>
      <c r="X2246">
        <v>2.7854691061011783E-2</v>
      </c>
      <c r="Y2246">
        <v>4.1284215819337687E-3</v>
      </c>
    </row>
    <row r="2247" spans="1:25" x14ac:dyDescent="0.25">
      <c r="A2247" s="1095"/>
      <c r="B2247" s="1454">
        <v>1997</v>
      </c>
      <c r="C2247" s="1099">
        <v>0.97268840444972804</v>
      </c>
      <c r="D2247" s="1099">
        <v>0.98084361737519898</v>
      </c>
      <c r="E2247" s="1099">
        <v>0.9855632896027412</v>
      </c>
      <c r="F2247" s="1099">
        <v>0.96347855398688842</v>
      </c>
      <c r="G2247" s="1099">
        <v>0.98670010227675464</v>
      </c>
      <c r="H2247" s="1099">
        <v>0.98300651524904259</v>
      </c>
      <c r="I2247" s="1099">
        <v>0.9984785664603727</v>
      </c>
      <c r="K2247">
        <v>1.7030276782421492</v>
      </c>
      <c r="L2247">
        <v>0</v>
      </c>
      <c r="M2247">
        <v>1.4401122093475104E-3</v>
      </c>
      <c r="N2247">
        <v>0.12681008570946836</v>
      </c>
      <c r="O2247">
        <v>0.12692365155751389</v>
      </c>
      <c r="P2247">
        <v>1.7728584377919594E-2</v>
      </c>
      <c r="Q2247">
        <v>9.1732189704835153E-4</v>
      </c>
      <c r="R2247">
        <v>1.4363256875534285E-3</v>
      </c>
      <c r="S2247">
        <v>0.11049584009932727</v>
      </c>
      <c r="T2247">
        <v>0.9938160842375996</v>
      </c>
      <c r="U2247">
        <v>0</v>
      </c>
      <c r="V2247">
        <v>0.2095266316881477</v>
      </c>
      <c r="W2247">
        <v>8.4027604188494254E-2</v>
      </c>
      <c r="X2247">
        <v>2.8876455971537027E-2</v>
      </c>
      <c r="Y2247">
        <v>3.9092050368847824E-3</v>
      </c>
    </row>
    <row r="2248" spans="1:25" x14ac:dyDescent="0.25">
      <c r="A2248" s="1095"/>
      <c r="B2248" s="1454">
        <v>1998</v>
      </c>
      <c r="C2248" s="1099">
        <v>1.0134516574230035</v>
      </c>
      <c r="D2248" s="1099">
        <v>0.96540743124228334</v>
      </c>
      <c r="E2248" s="1099">
        <v>0.99896645118931726</v>
      </c>
      <c r="F2248" s="1099">
        <v>0.9943186556333139</v>
      </c>
      <c r="G2248" s="1099">
        <v>0.98010063589183327</v>
      </c>
      <c r="H2248" s="1099">
        <v>1.0067095141678339</v>
      </c>
      <c r="I2248" s="1099">
        <v>1.0317274724068455</v>
      </c>
      <c r="K2248">
        <v>1.7392653113551204</v>
      </c>
      <c r="L2248">
        <v>0</v>
      </c>
      <c r="M2248">
        <v>1.3985728139224078E-3</v>
      </c>
      <c r="N2248">
        <v>0.12825555647066911</v>
      </c>
      <c r="O2248">
        <v>0.12798209733776522</v>
      </c>
      <c r="P2248">
        <v>1.8345852309877168E-2</v>
      </c>
      <c r="Q2248">
        <v>8.9847963837384412E-4</v>
      </c>
      <c r="R2248">
        <v>1.3950156241913324E-3</v>
      </c>
      <c r="S2248">
        <v>0.11286428896432311</v>
      </c>
      <c r="T2248">
        <v>1.0252280202357058</v>
      </c>
      <c r="U2248">
        <v>0</v>
      </c>
      <c r="V2248">
        <v>0.20787542821128799</v>
      </c>
      <c r="W2248">
        <v>8.4306975616015911E-2</v>
      </c>
      <c r="X2248">
        <v>2.9715397098559231E-2</v>
      </c>
      <c r="Y2248">
        <v>3.7967726622718839E-3</v>
      </c>
    </row>
    <row r="2249" spans="1:25" x14ac:dyDescent="0.25">
      <c r="A2249" s="1095"/>
      <c r="B2249" s="1454">
        <v>1999</v>
      </c>
      <c r="C2249" s="1099">
        <v>1.020341351821737</v>
      </c>
      <c r="D2249" s="1099">
        <v>0.98623530404074755</v>
      </c>
      <c r="E2249" s="1099">
        <v>1.0413810900900673</v>
      </c>
      <c r="F2249" s="1099">
        <v>1.0074689614576262</v>
      </c>
      <c r="G2249" s="1099">
        <v>0.98921105996157188</v>
      </c>
      <c r="H2249" s="1099">
        <v>1.0116411611378069</v>
      </c>
      <c r="I2249" s="1099">
        <v>1.0132083332827702</v>
      </c>
      <c r="K2249">
        <v>1.7534932449624483</v>
      </c>
      <c r="L2249">
        <v>0</v>
      </c>
      <c r="M2249">
        <v>1.2642194557419466E-3</v>
      </c>
      <c r="N2249">
        <v>0.13176080783335842</v>
      </c>
      <c r="O2249">
        <v>0.12782869086666662</v>
      </c>
      <c r="P2249">
        <v>1.9047004169502897E-2</v>
      </c>
      <c r="Q2249">
        <v>9.2417290662015147E-4</v>
      </c>
      <c r="R2249">
        <v>1.2610122306584688E-3</v>
      </c>
      <c r="S2249">
        <v>0.1091888757904618</v>
      </c>
      <c r="T2249">
        <v>1.0375423865472757</v>
      </c>
      <c r="U2249">
        <v>0</v>
      </c>
      <c r="V2249">
        <v>0.20791809097831024</v>
      </c>
      <c r="W2249">
        <v>8.4488475691539014E-2</v>
      </c>
      <c r="X2249">
        <v>3.1365887804513978E-2</v>
      </c>
      <c r="Y2249">
        <v>3.4320595992822361E-3</v>
      </c>
    </row>
    <row r="2250" spans="1:25" x14ac:dyDescent="0.25">
      <c r="A2250" s="1095"/>
      <c r="B2250" s="1454">
        <v>2000</v>
      </c>
      <c r="C2250" s="1099">
        <v>0.97191267377435397</v>
      </c>
      <c r="D2250" s="1099">
        <v>0.99029959325360073</v>
      </c>
      <c r="E2250" s="1099">
        <v>0.99656984051475861</v>
      </c>
      <c r="F2250" s="1099">
        <v>1.0090186345939522</v>
      </c>
      <c r="G2250" s="1099">
        <v>0.99979181019852059</v>
      </c>
      <c r="H2250" s="1099">
        <v>1.0045328879813935</v>
      </c>
      <c r="I2250" s="1099">
        <v>1.0221180676543944</v>
      </c>
      <c r="K2250">
        <v>1.7679576908349284</v>
      </c>
      <c r="L2250">
        <v>0</v>
      </c>
      <c r="M2250">
        <v>1.437463909883885E-3</v>
      </c>
      <c r="N2250">
        <v>0.13086777208947012</v>
      </c>
      <c r="O2250">
        <v>0.13010906070632555</v>
      </c>
      <c r="P2250">
        <v>1.8603100910978082E-2</v>
      </c>
      <c r="Q2250">
        <v>9.2508410580451148E-4</v>
      </c>
      <c r="R2250">
        <v>1.433773975037349E-3</v>
      </c>
      <c r="S2250">
        <v>0.11444088012587562</v>
      </c>
      <c r="T2250">
        <v>1.0404570094435166</v>
      </c>
      <c r="U2250">
        <v>0</v>
      </c>
      <c r="V2250">
        <v>0.21238975422347006</v>
      </c>
      <c r="W2250">
        <v>8.6146916298537893E-2</v>
      </c>
      <c r="X2250">
        <v>3.0119542749206647E-2</v>
      </c>
      <c r="Y2250">
        <v>3.9022601165878195E-3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F47" zoomScale="85" zoomScaleNormal="85" workbookViewId="0">
      <selection activeCell="Q65" sqref="Q65:Q113"/>
    </sheetView>
  </sheetViews>
  <sheetFormatPr defaultColWidth="11" defaultRowHeight="12.5" x14ac:dyDescent="0.25"/>
  <cols>
    <col min="1" max="1" width="27.26953125" style="53" customWidth="1"/>
    <col min="2" max="2" width="28.7265625" style="53" customWidth="1"/>
    <col min="3" max="3" width="25.26953125" style="53" customWidth="1"/>
    <col min="4" max="4" width="18.7265625" style="53" customWidth="1"/>
    <col min="5" max="5" width="49.726562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6.7265625" style="53" customWidth="1"/>
    <col min="30" max="30" width="14.81640625" style="53" customWidth="1"/>
    <col min="31" max="31" width="15.453125" style="53" customWidth="1"/>
    <col min="32" max="32" width="11" style="53"/>
    <col min="33" max="33" width="14.81640625" style="53" customWidth="1"/>
    <col min="34" max="16384" width="11" style="53"/>
  </cols>
  <sheetData>
    <row r="1" spans="1:23" ht="15" customHeight="1" thickBot="1" x14ac:dyDescent="0.3">
      <c r="D1" s="41"/>
    </row>
    <row r="2" spans="1:23" ht="15" customHeight="1" thickTop="1" x14ac:dyDescent="0.3">
      <c r="A2" s="590" t="s">
        <v>493</v>
      </c>
      <c r="B2" s="584"/>
      <c r="C2" s="585"/>
      <c r="D2" s="41"/>
    </row>
    <row r="3" spans="1:23" ht="15" customHeight="1" x14ac:dyDescent="0.25">
      <c r="A3" s="591" t="s">
        <v>494</v>
      </c>
      <c r="B3" s="586"/>
      <c r="C3" s="587"/>
      <c r="E3" s="148"/>
      <c r="F3" s="40"/>
      <c r="G3" s="41"/>
    </row>
    <row r="4" spans="1:23" ht="30.75" customHeight="1" x14ac:dyDescent="0.25">
      <c r="A4" s="591" t="s">
        <v>495</v>
      </c>
      <c r="B4" s="586"/>
      <c r="C4" s="587"/>
      <c r="T4" s="151"/>
      <c r="U4" s="134"/>
      <c r="V4" s="134"/>
      <c r="W4" s="134"/>
    </row>
    <row r="5" spans="1:23" ht="26.25" customHeight="1" x14ac:dyDescent="0.25">
      <c r="A5" s="591" t="s">
        <v>79</v>
      </c>
      <c r="B5" s="586"/>
      <c r="C5" s="587"/>
      <c r="T5" s="151"/>
      <c r="U5" s="134"/>
      <c r="V5" s="134"/>
      <c r="W5" s="134"/>
    </row>
    <row r="6" spans="1:23" ht="15" customHeight="1" thickBot="1" x14ac:dyDescent="0.3">
      <c r="A6" s="592" t="s">
        <v>496</v>
      </c>
      <c r="B6" s="588"/>
      <c r="C6" s="589"/>
      <c r="T6" s="151"/>
      <c r="U6" s="134"/>
      <c r="V6" s="134"/>
      <c r="W6" s="134"/>
    </row>
    <row r="7" spans="1:23" ht="15" customHeight="1" thickTop="1" x14ac:dyDescent="0.25">
      <c r="T7" s="151"/>
      <c r="U7" s="134"/>
      <c r="V7" s="134"/>
      <c r="W7" s="134"/>
    </row>
    <row r="8" spans="1:23" ht="15" customHeight="1" x14ac:dyDescent="0.25">
      <c r="T8" s="151"/>
      <c r="U8" s="134"/>
      <c r="V8" s="134"/>
      <c r="W8" s="134"/>
    </row>
    <row r="9" spans="1:23" ht="15" customHeight="1" x14ac:dyDescent="0.25">
      <c r="T9" s="151"/>
      <c r="U9" s="134"/>
      <c r="V9" s="134"/>
      <c r="W9" s="134"/>
    </row>
    <row r="10" spans="1:23" ht="15" customHeight="1" x14ac:dyDescent="0.25">
      <c r="T10" s="151"/>
      <c r="U10" s="134"/>
      <c r="V10" s="134"/>
      <c r="W10" s="134"/>
    </row>
    <row r="11" spans="1:23" ht="15" customHeight="1" x14ac:dyDescent="0.25">
      <c r="T11" s="151"/>
      <c r="U11" s="134"/>
      <c r="V11" s="134"/>
      <c r="W11" s="134"/>
    </row>
    <row r="12" spans="1:23" ht="29.25" customHeight="1" x14ac:dyDescent="0.25">
      <c r="T12" s="151"/>
      <c r="U12" s="134"/>
      <c r="V12" s="134"/>
      <c r="W12" s="134"/>
    </row>
    <row r="13" spans="1:23" ht="15" customHeight="1" x14ac:dyDescent="0.35">
      <c r="A13" s="137"/>
      <c r="B13" s="147"/>
      <c r="C13" s="147"/>
      <c r="D13" s="147"/>
      <c r="E13" s="147"/>
      <c r="F13" s="134"/>
      <c r="G13" s="40"/>
      <c r="H13" s="41"/>
    </row>
    <row r="14" spans="1:23" ht="15" customHeight="1" thickBot="1" x14ac:dyDescent="0.45">
      <c r="A14" s="133"/>
    </row>
    <row r="15" spans="1:23" ht="29.25" customHeight="1" thickTop="1" thickBot="1" x14ac:dyDescent="0.4">
      <c r="A15" s="155" t="s">
        <v>89</v>
      </c>
      <c r="B15" s="150"/>
      <c r="D15" s="1623" t="s">
        <v>65</v>
      </c>
      <c r="E15" s="1624"/>
    </row>
    <row r="16" spans="1:23" ht="39.5" thickTop="1" x14ac:dyDescent="0.3">
      <c r="A16" s="156" t="s">
        <v>90</v>
      </c>
      <c r="B16" s="157"/>
      <c r="D16" s="317" t="str">
        <f>"Hydrogen Cost (Year "&amp;TEXT(ref_year,"0")&amp;" Real $/kg)"</f>
        <v>Hydrogen Cost (Year 2016 Real $/kg)</v>
      </c>
      <c r="E16" s="1213">
        <f ca="1">H2_price_nominal/INFLATION_FACTOR</f>
        <v>1.738021291813362</v>
      </c>
    </row>
    <row r="17" spans="1:10" ht="37.5" x14ac:dyDescent="0.25">
      <c r="A17" s="158" t="s">
        <v>91</v>
      </c>
      <c r="B17" s="159">
        <f ca="1">output_kgyear</f>
        <v>124628629.5</v>
      </c>
      <c r="D17" s="138" t="s">
        <v>935</v>
      </c>
      <c r="E17" s="1084">
        <f ca="1">+SUM(X57:AB57)/AC57*(1+inflation_rate)^construct</f>
        <v>2.7304580507984655</v>
      </c>
    </row>
    <row r="18" spans="1:10" ht="25" x14ac:dyDescent="0.25">
      <c r="A18" s="158" t="s">
        <v>92</v>
      </c>
      <c r="B18" s="159">
        <f ca="1">B17*H2_LHV_MJ_p_kg/1000/mmBTU_to_GJ</f>
        <v>14200769.412962679</v>
      </c>
      <c r="D18" s="139" t="s">
        <v>983</v>
      </c>
      <c r="E18" s="140">
        <f ca="1">((E20+1)/(1+B30))-1</f>
        <v>8.0000000000000959E-2</v>
      </c>
    </row>
    <row r="19" spans="1:10" ht="28.5" customHeight="1" x14ac:dyDescent="0.3">
      <c r="A19" s="158" t="s">
        <v>93</v>
      </c>
      <c r="B19" s="159">
        <f ca="1">B17*H2_LHV_MJ_p_kg</f>
        <v>14981811730.675625</v>
      </c>
      <c r="C19" s="136"/>
      <c r="D19" s="139" t="s">
        <v>991</v>
      </c>
      <c r="E19" s="140">
        <f ca="1">((E21+1)/(1+B30))-1</f>
        <v>9.6515346379164813E-2</v>
      </c>
    </row>
    <row r="20" spans="1:10" ht="15" customHeight="1" x14ac:dyDescent="0.25">
      <c r="A20" s="160" t="s">
        <v>94</v>
      </c>
      <c r="B20" s="159">
        <f ca="1">design_cap</f>
        <v>379387</v>
      </c>
      <c r="D20" s="141" t="s">
        <v>982</v>
      </c>
      <c r="E20" s="142">
        <f ca="1">IRR(AA65:AA113)</f>
        <v>0.10052000000000083</v>
      </c>
    </row>
    <row r="21" spans="1:10" ht="15" customHeight="1" x14ac:dyDescent="0.25">
      <c r="A21" s="160" t="s">
        <v>95</v>
      </c>
      <c r="B21" s="159">
        <f ca="1">B20*365</f>
        <v>138476255</v>
      </c>
      <c r="D21" s="141" t="s">
        <v>990</v>
      </c>
      <c r="E21" s="142">
        <f ca="1">IRR(AC65:AC113)</f>
        <v>0.11734913796036883</v>
      </c>
    </row>
    <row r="22" spans="1:10" ht="15" customHeight="1" x14ac:dyDescent="0.25">
      <c r="A22" s="161" t="s">
        <v>96</v>
      </c>
      <c r="B22" s="162">
        <f ca="1">cap_factor</f>
        <v>0.9</v>
      </c>
      <c r="D22" s="144" t="s">
        <v>66</v>
      </c>
      <c r="E22" s="145">
        <f ca="1">(real_irr*(1+real_irr)^anal_period)/(((1+real_irr)^anal_period)-1)</f>
        <v>8.3860161500585326E-2</v>
      </c>
    </row>
    <row r="23" spans="1:10" ht="15" customHeight="1" x14ac:dyDescent="0.25">
      <c r="A23" s="160"/>
      <c r="B23" s="163"/>
      <c r="D23" s="144" t="s">
        <v>76</v>
      </c>
      <c r="E23" s="145">
        <f ca="1">(nominal_irr*(1+nominal_irr)^anal_period)/(((1+nominal_irr)^anal_period)-1)</f>
        <v>0.10274768859314053</v>
      </c>
    </row>
    <row r="24" spans="1:10" ht="24.75" customHeight="1" x14ac:dyDescent="0.3">
      <c r="A24" s="156" t="s">
        <v>97</v>
      </c>
      <c r="B24" s="157"/>
      <c r="D24" s="141" t="s">
        <v>77</v>
      </c>
      <c r="E24" s="145">
        <f ca="1">(E22*(1-total_tax_rate*INDEX(Depreciation!B12:H37,MATCH("NPV - Real IRR",Depreciation!B12:B37,0),MATCH(depr_length,recovery_period,0))))/(1-total_tax_rate)</f>
        <v>9.8212531813322054E-2</v>
      </c>
    </row>
    <row r="25" spans="1:10" ht="15" customHeight="1" x14ac:dyDescent="0.25">
      <c r="A25" s="139" t="s">
        <v>98</v>
      </c>
      <c r="B25" s="164">
        <f>startup_year</f>
        <v>2040</v>
      </c>
      <c r="D25" s="144" t="s">
        <v>78</v>
      </c>
      <c r="E25" s="145">
        <f ca="1">(E23*(1-total_tax_rate*INDEX(Depreciation!B12:H37,MATCH("NPV - Nominal IRR",Depreciation!B12:B37,0),MATCH(depr_length,recovery_period,0))))/(1-total_tax_rate)</f>
        <v>0.12265813940348715</v>
      </c>
    </row>
    <row r="26" spans="1:10" ht="15" customHeight="1" thickBot="1" x14ac:dyDescent="0.3">
      <c r="A26" s="160" t="s">
        <v>99</v>
      </c>
      <c r="B26" s="154">
        <f ca="1">real_irr</f>
        <v>0.08</v>
      </c>
      <c r="C26" s="165"/>
      <c r="D26" s="146" t="s">
        <v>249</v>
      </c>
      <c r="E26" s="1083">
        <f ca="1">NPV(nominal_irr,AA65:AA113)</f>
        <v>2.6479376439972309E-6</v>
      </c>
    </row>
    <row r="27" spans="1:10" ht="15" customHeight="1" thickTop="1" x14ac:dyDescent="0.25">
      <c r="A27" s="139" t="s">
        <v>988</v>
      </c>
      <c r="B27" s="154">
        <f ca="1">((1+B26)*(1+B30))-1</f>
        <v>0.10051999999999994</v>
      </c>
      <c r="C27" s="165"/>
      <c r="D27" s="166"/>
    </row>
    <row r="28" spans="1:10" ht="15" customHeight="1" x14ac:dyDescent="0.25">
      <c r="A28" s="160" t="s">
        <v>100</v>
      </c>
      <c r="B28" s="164">
        <f>anal_period</f>
        <v>40</v>
      </c>
      <c r="C28" s="165"/>
      <c r="D28" s="166"/>
      <c r="F28" s="166"/>
    </row>
    <row r="29" spans="1:10" ht="15" customHeight="1" x14ac:dyDescent="0.25">
      <c r="A29" s="160" t="s">
        <v>101</v>
      </c>
      <c r="B29" s="164">
        <f>plant_life</f>
        <v>40</v>
      </c>
      <c r="C29" s="165"/>
      <c r="D29" s="166"/>
    </row>
    <row r="30" spans="1:10" ht="15" customHeight="1" x14ac:dyDescent="0.25">
      <c r="A30" s="160" t="s">
        <v>102</v>
      </c>
      <c r="B30" s="154">
        <f>inflation_rate</f>
        <v>1.9E-2</v>
      </c>
      <c r="F30" s="1082"/>
      <c r="G30" s="1081"/>
      <c r="H30" s="1081"/>
      <c r="I30" s="1081"/>
      <c r="J30" s="1081"/>
    </row>
    <row r="31" spans="1:10" ht="15" customHeight="1" x14ac:dyDescent="0.25">
      <c r="A31" s="160" t="s">
        <v>103</v>
      </c>
      <c r="B31" s="167">
        <f>100%-equity</f>
        <v>0.6</v>
      </c>
    </row>
    <row r="32" spans="1:10" ht="15" customHeight="1" x14ac:dyDescent="0.25">
      <c r="A32" s="139" t="s">
        <v>104</v>
      </c>
      <c r="B32" s="168">
        <f>equity</f>
        <v>0.4</v>
      </c>
    </row>
    <row r="33" spans="1:12" ht="15" customHeight="1" x14ac:dyDescent="0.25">
      <c r="A33" s="139" t="s">
        <v>105</v>
      </c>
      <c r="B33" s="154">
        <f>total_tax_rate</f>
        <v>0.25739999999999996</v>
      </c>
    </row>
    <row r="34" spans="1:12" ht="15" customHeight="1" x14ac:dyDescent="0.25">
      <c r="A34" s="139"/>
      <c r="B34" s="169"/>
    </row>
    <row r="35" spans="1:12" ht="28.5" customHeight="1" x14ac:dyDescent="0.3">
      <c r="A35" s="170" t="s">
        <v>106</v>
      </c>
      <c r="B35" s="171"/>
    </row>
    <row r="36" spans="1:12" ht="15" customHeight="1" x14ac:dyDescent="0.25">
      <c r="A36" s="160" t="s">
        <v>107</v>
      </c>
      <c r="B36" s="164">
        <f>debt_period</f>
        <v>0</v>
      </c>
    </row>
    <row r="37" spans="1:12" ht="15" customHeight="1" x14ac:dyDescent="0.25">
      <c r="A37" s="160" t="s">
        <v>108</v>
      </c>
      <c r="B37" s="172">
        <f>debt_interest</f>
        <v>3.6999999999999998E-2</v>
      </c>
      <c r="K37" s="1081"/>
    </row>
    <row r="38" spans="1:12" ht="15" customHeight="1" x14ac:dyDescent="0.25">
      <c r="A38" s="139"/>
      <c r="B38" s="157"/>
      <c r="K38" s="1081"/>
    </row>
    <row r="39" spans="1:12" ht="28.5" customHeight="1" x14ac:dyDescent="0.3">
      <c r="A39" s="170" t="s">
        <v>109</v>
      </c>
      <c r="B39" s="157"/>
      <c r="F39" s="1081"/>
      <c r="G39" s="1081"/>
      <c r="H39" s="1081"/>
      <c r="I39" s="1081"/>
      <c r="J39" s="1081"/>
      <c r="K39" s="1081"/>
      <c r="L39" s="1081"/>
    </row>
    <row r="40" spans="1:12" ht="15" customHeight="1" x14ac:dyDescent="0.25">
      <c r="A40" s="139" t="s">
        <v>110</v>
      </c>
      <c r="B40" s="164">
        <f>construct</f>
        <v>3</v>
      </c>
      <c r="G40" s="1081"/>
      <c r="H40" s="1081"/>
    </row>
    <row r="41" spans="1:12" ht="15" customHeight="1" x14ac:dyDescent="0.25">
      <c r="A41" s="139" t="s">
        <v>111</v>
      </c>
      <c r="B41" s="162">
        <f>start_time</f>
        <v>1</v>
      </c>
    </row>
    <row r="42" spans="1:12" ht="15" customHeight="1" x14ac:dyDescent="0.25">
      <c r="A42" s="158" t="s">
        <v>112</v>
      </c>
      <c r="B42" s="167">
        <f>percnt_revs</f>
        <v>0.5</v>
      </c>
    </row>
    <row r="43" spans="1:12" ht="15" customHeight="1" x14ac:dyDescent="0.25">
      <c r="A43" s="158" t="s">
        <v>113</v>
      </c>
      <c r="B43" s="167">
        <f>percnt_var</f>
        <v>0.75</v>
      </c>
    </row>
    <row r="44" spans="1:12" ht="15" customHeight="1" x14ac:dyDescent="0.25">
      <c r="A44" s="158" t="s">
        <v>114</v>
      </c>
      <c r="B44" s="167">
        <f>percnt_fixed</f>
        <v>0.75</v>
      </c>
    </row>
    <row r="45" spans="1:12" ht="15" customHeight="1" x14ac:dyDescent="0.25">
      <c r="A45" s="139"/>
      <c r="B45" s="157"/>
    </row>
    <row r="46" spans="1:12" ht="28.5" customHeight="1" x14ac:dyDescent="0.3">
      <c r="A46" s="170" t="s">
        <v>115</v>
      </c>
      <c r="B46" s="157"/>
      <c r="F46" s="173"/>
    </row>
    <row r="47" spans="1:12" ht="15" customHeight="1" x14ac:dyDescent="0.25">
      <c r="A47" s="139" t="s">
        <v>389</v>
      </c>
      <c r="B47" s="174" t="str">
        <f>depr_type</f>
        <v>MACRS</v>
      </c>
      <c r="F47" s="173"/>
    </row>
    <row r="48" spans="1:12" ht="15" customHeight="1" x14ac:dyDescent="0.25">
      <c r="A48" s="139" t="s">
        <v>53</v>
      </c>
      <c r="B48" s="164">
        <f>depr_length</f>
        <v>20</v>
      </c>
      <c r="F48" s="173"/>
    </row>
    <row r="49" spans="1:32" ht="15" customHeight="1" x14ac:dyDescent="0.25">
      <c r="A49" s="139"/>
      <c r="B49" s="157"/>
      <c r="F49" s="173"/>
    </row>
    <row r="50" spans="1:32" ht="28.5" customHeight="1" x14ac:dyDescent="0.3">
      <c r="A50" s="170" t="s">
        <v>116</v>
      </c>
      <c r="B50" s="157"/>
    </row>
    <row r="51" spans="1:32" ht="30.75" customHeight="1" x14ac:dyDescent="0.25">
      <c r="A51" s="138" t="s">
        <v>979</v>
      </c>
      <c r="B51" s="175">
        <f ca="1">(total_cap-non_dep_cap)*INFLATION_FACTOR</f>
        <v>668736298.41081452</v>
      </c>
      <c r="F51" s="173"/>
    </row>
    <row r="52" spans="1:32" ht="30" customHeight="1" thickBot="1" x14ac:dyDescent="0.3">
      <c r="A52" s="138" t="s">
        <v>981</v>
      </c>
      <c r="B52" s="175">
        <f ca="1">non_dep_cap*INFLATION_FACTOR</f>
        <v>1729254.5444061807</v>
      </c>
      <c r="F52" s="173"/>
    </row>
    <row r="53" spans="1:32" ht="15" customHeight="1" thickBot="1" x14ac:dyDescent="0.4">
      <c r="A53" s="138" t="s">
        <v>117</v>
      </c>
      <c r="B53" s="175">
        <f ca="1">SUM(B51:B52)</f>
        <v>670465552.9552207</v>
      </c>
      <c r="F53" s="173"/>
      <c r="W53" s="1625" t="s">
        <v>1173</v>
      </c>
      <c r="X53" s="1626"/>
      <c r="Y53" s="1132"/>
      <c r="Z53" s="1132"/>
      <c r="AA53" s="1132"/>
      <c r="AB53" s="1132"/>
      <c r="AC53" s="1133"/>
    </row>
    <row r="54" spans="1:32" ht="15" customHeight="1" thickTop="1" x14ac:dyDescent="0.3">
      <c r="A54" s="138" t="s">
        <v>984</v>
      </c>
      <c r="B54" s="175">
        <f ca="1">decom_percent*depr_cap_infl</f>
        <v>66873629.841081455</v>
      </c>
      <c r="F54" s="173"/>
      <c r="W54" s="1134"/>
      <c r="X54" s="1127" t="s">
        <v>83</v>
      </c>
      <c r="Y54" s="1128" t="s">
        <v>1123</v>
      </c>
      <c r="Z54" s="1128" t="s">
        <v>1124</v>
      </c>
      <c r="AA54" s="1127" t="s">
        <v>1125</v>
      </c>
      <c r="AB54" s="1128" t="s">
        <v>1130</v>
      </c>
      <c r="AC54" s="1135" t="s">
        <v>1126</v>
      </c>
    </row>
    <row r="55" spans="1:32" ht="15" customHeight="1" x14ac:dyDescent="0.25">
      <c r="A55" s="138" t="s">
        <v>993</v>
      </c>
      <c r="B55" s="175">
        <f ca="1">salvage_perct*B53</f>
        <v>67046555.295522071</v>
      </c>
      <c r="F55" s="173"/>
      <c r="W55" s="1136" t="s">
        <v>1121</v>
      </c>
      <c r="X55" s="1129">
        <f ca="1">-SUM(H116:K116)</f>
        <v>496936052.87664157</v>
      </c>
      <c r="Y55" s="1129">
        <f ca="1">-U116</f>
        <v>348085376.22184378</v>
      </c>
      <c r="Z55" s="1129">
        <f ca="1">-Z116</f>
        <v>6788442.3881093655</v>
      </c>
      <c r="AA55" s="1129">
        <f ca="1">-SUM(L116:S116)</f>
        <v>2602643231.9905605</v>
      </c>
      <c r="AB55" s="1129">
        <f ca="1">+AF116</f>
        <v>0</v>
      </c>
      <c r="AC55" s="1137">
        <f ca="1">+AE116</f>
        <v>1224665447.1183949</v>
      </c>
    </row>
    <row r="56" spans="1:32" ht="15" customHeight="1" x14ac:dyDescent="0.25">
      <c r="A56" s="160" t="s">
        <v>985</v>
      </c>
      <c r="B56" s="60">
        <f ca="1">fixed*INFLATION_FACTOR</f>
        <v>20721152.038160618</v>
      </c>
      <c r="F56" s="173"/>
      <c r="W56" s="1136" t="s">
        <v>1131</v>
      </c>
      <c r="X56" s="1130">
        <v>1</v>
      </c>
      <c r="Y56" s="1130">
        <f>-total_tax_rate</f>
        <v>-0.25739999999999996</v>
      </c>
      <c r="Z56" s="1130">
        <v>1</v>
      </c>
      <c r="AA56" s="1130">
        <f>1-total_tax_rate</f>
        <v>0.74260000000000004</v>
      </c>
      <c r="AB56" s="1130">
        <v>-1</v>
      </c>
      <c r="AC56" s="1138">
        <f>1-total_tax_rate</f>
        <v>0.74260000000000004</v>
      </c>
    </row>
    <row r="57" spans="1:32" ht="15" customHeight="1" x14ac:dyDescent="0.25">
      <c r="A57" s="160" t="s">
        <v>986</v>
      </c>
      <c r="B57" s="60">
        <f ca="1">total_other_raw*INFLATION_FACTOR</f>
        <v>0</v>
      </c>
      <c r="F57" s="173"/>
      <c r="W57" s="1136" t="s">
        <v>1122</v>
      </c>
      <c r="X57" s="1131">
        <f t="shared" ref="X57:Z57" ca="1" si="0">+X55*X56</f>
        <v>496936052.87664157</v>
      </c>
      <c r="Y57" s="1131">
        <f t="shared" ca="1" si="0"/>
        <v>-89597175.839502573</v>
      </c>
      <c r="Z57" s="1131">
        <f t="shared" ca="1" si="0"/>
        <v>6788442.3881093655</v>
      </c>
      <c r="AA57" s="1131">
        <f ca="1">+AA55*AA56</f>
        <v>1932722864.0761902</v>
      </c>
      <c r="AB57" s="1131">
        <f ca="1">+AB55*AB56</f>
        <v>0</v>
      </c>
      <c r="AC57" s="1139">
        <f ca="1">+AC55*AC56</f>
        <v>909436561.03012002</v>
      </c>
    </row>
    <row r="58" spans="1:32" ht="45.75" customHeight="1" thickBot="1" x14ac:dyDescent="0.3">
      <c r="A58" s="176" t="s">
        <v>987</v>
      </c>
      <c r="B58" s="62">
        <f ca="1">(var_misc+royalties+operator_profit+CO2_OandMcost+waste_treat+solidwaste_treat)*INFLATION_FACTOR</f>
        <v>25330094.622863542</v>
      </c>
      <c r="F58" s="173"/>
      <c r="W58" s="1140"/>
      <c r="X58" s="1141"/>
      <c r="Y58" s="1141"/>
      <c r="Z58" s="1141"/>
      <c r="AA58" s="1141"/>
      <c r="AB58" s="1141"/>
      <c r="AC58" s="1142"/>
    </row>
    <row r="59" spans="1:32" ht="15" customHeight="1" thickTop="1" x14ac:dyDescent="0.25">
      <c r="F59" s="173"/>
      <c r="W59" s="1143" t="s">
        <v>1120</v>
      </c>
      <c r="X59" s="1084">
        <f ca="1">+(1+real_irr)*(1+inflation_rate)-1</f>
        <v>0.10051999999999994</v>
      </c>
      <c r="Y59" s="1141"/>
      <c r="Z59" s="1141"/>
      <c r="AA59" s="1141"/>
      <c r="AB59" s="1141"/>
      <c r="AC59" s="1142"/>
    </row>
    <row r="60" spans="1:32" ht="15" customHeight="1" thickBot="1" x14ac:dyDescent="0.3">
      <c r="F60" s="173"/>
      <c r="W60" s="1144" t="str">
        <f>+D16</f>
        <v>Hydrogen Cost (Year 2016 Real $/kg)</v>
      </c>
      <c r="X60" s="1145">
        <f ca="1">+SUM(X57:AB57)/AC57*(1+inflation_rate)^construct/INFLATION_FACTOR</f>
        <v>1.738021291813362</v>
      </c>
      <c r="Y60" s="1146"/>
      <c r="Z60" s="1146"/>
      <c r="AA60" s="1146"/>
      <c r="AB60" s="1146"/>
      <c r="AC60" s="1147"/>
    </row>
    <row r="61" spans="1:32" ht="39.75" customHeight="1" x14ac:dyDescent="0.25">
      <c r="F61" s="173"/>
    </row>
    <row r="62" spans="1:32" ht="17.25" customHeight="1" thickBot="1" x14ac:dyDescent="0.3">
      <c r="F62" s="173"/>
    </row>
    <row r="63" spans="1:32" ht="29.25" customHeight="1" thickTop="1" thickBot="1" x14ac:dyDescent="0.4">
      <c r="A63" s="49" t="s">
        <v>118</v>
      </c>
      <c r="B63" s="177"/>
      <c r="C63" s="177"/>
      <c r="D63" s="177"/>
      <c r="E63" s="177"/>
      <c r="F63" s="177"/>
      <c r="G63" s="177"/>
      <c r="H63" s="1171"/>
      <c r="I63" s="1171"/>
      <c r="J63" s="1171"/>
      <c r="K63" s="1171"/>
      <c r="L63" s="1171"/>
      <c r="M63" s="1171"/>
      <c r="N63" s="1171"/>
      <c r="O63" s="1171"/>
      <c r="P63" s="1171"/>
      <c r="Q63" s="1171"/>
      <c r="R63" s="1171"/>
      <c r="S63" s="1171"/>
      <c r="T63" s="1171"/>
      <c r="U63" s="1171"/>
      <c r="V63" s="1171"/>
      <c r="W63" s="1171"/>
      <c r="X63" s="1171"/>
      <c r="Y63" s="1171"/>
      <c r="Z63" s="1171"/>
      <c r="AA63" s="1171"/>
      <c r="AB63" s="1171"/>
      <c r="AC63" s="1172"/>
    </row>
    <row r="64" spans="1:32" ht="66" thickTop="1" thickBot="1" x14ac:dyDescent="0.35">
      <c r="A64" s="1148" t="s">
        <v>1128</v>
      </c>
      <c r="B64" s="1149" t="s">
        <v>40</v>
      </c>
      <c r="C64" s="1149" t="s">
        <v>56</v>
      </c>
      <c r="D64" s="1149" t="s">
        <v>119</v>
      </c>
      <c r="E64" s="1150" t="s">
        <v>120</v>
      </c>
      <c r="F64" s="1150" t="s">
        <v>1133</v>
      </c>
      <c r="G64" s="1151" t="s">
        <v>121</v>
      </c>
      <c r="H64" s="1173" t="s">
        <v>122</v>
      </c>
      <c r="I64" s="1174" t="s">
        <v>123</v>
      </c>
      <c r="J64" s="1174" t="s">
        <v>1127</v>
      </c>
      <c r="K64" s="1174" t="s">
        <v>135</v>
      </c>
      <c r="L64" s="1174" t="s">
        <v>993</v>
      </c>
      <c r="M64" s="1174" t="s">
        <v>84</v>
      </c>
      <c r="N64" s="1174" t="s">
        <v>136</v>
      </c>
      <c r="O64" s="1174" t="s">
        <v>1132</v>
      </c>
      <c r="P64" s="1174" t="s">
        <v>137</v>
      </c>
      <c r="Q64" s="1174" t="s">
        <v>1134</v>
      </c>
      <c r="R64" s="1174" t="s">
        <v>138</v>
      </c>
      <c r="S64" s="1174" t="s">
        <v>139</v>
      </c>
      <c r="T64" s="1174" t="s">
        <v>140</v>
      </c>
      <c r="U64" s="1174" t="s">
        <v>60</v>
      </c>
      <c r="V64" s="1174" t="s">
        <v>141</v>
      </c>
      <c r="W64" s="1174" t="s">
        <v>142</v>
      </c>
      <c r="X64" s="1174" t="s">
        <v>144</v>
      </c>
      <c r="Y64" s="1174" t="s">
        <v>145</v>
      </c>
      <c r="Z64" s="1174" t="s">
        <v>45</v>
      </c>
      <c r="AA64" s="1175" t="s">
        <v>146</v>
      </c>
      <c r="AB64" s="1175" t="s">
        <v>147</v>
      </c>
      <c r="AC64" s="1153" t="s">
        <v>148</v>
      </c>
      <c r="AD64" s="178"/>
      <c r="AE64" s="1152" t="s">
        <v>1119</v>
      </c>
      <c r="AF64" s="1153" t="s">
        <v>1129</v>
      </c>
    </row>
    <row r="65" spans="1:32" ht="13" thickTop="1" x14ac:dyDescent="0.25">
      <c r="A65" s="179">
        <f>startup_year-construct</f>
        <v>2037</v>
      </c>
      <c r="B65" s="180">
        <v>1</v>
      </c>
      <c r="C65" s="180">
        <f>IF(construct=0,1,-construct)</f>
        <v>-3</v>
      </c>
      <c r="D65" s="180">
        <f t="shared" ref="D65:D96" si="1">IF(C65="","",IF(C65&lt;=plant_life,C65,IF(D64=plant_life,1,D64+1)))</f>
        <v>-3</v>
      </c>
      <c r="E65" s="181">
        <f t="shared" ref="E65:E96" si="2">IF(C65="","",(1+inflation_rate)^(A65-$B$25))</f>
        <v>0.94509931410277337</v>
      </c>
      <c r="F65" s="182">
        <f t="shared" ref="F65:F96" si="3">IF(C65="","",IF(C65&lt;0,0,IF(AND(C65=1,start_time&lt;1),E65*(H2_price_nominal*output_kgyear*start_time*percnt_revs+H2_price_nominal*output_kgyear*(1-start_time)),IF(C65&lt;=start_time,H2_price_nominal*E65*output_kgyear*percnt_revs,H2_price_nominal*output_kgyear*E65))))</f>
        <v>0</v>
      </c>
      <c r="G65" s="1167">
        <f ca="1">-$B$31*depr_cap_infl*E65</f>
        <v>-379213330.16621304</v>
      </c>
      <c r="H65" s="1176">
        <f ca="1">IF(C65&lt;0,-E65*equity*depr_cap_infl*percent_cap1,IF(C65=1,-E65*equity*depr_cap_infl,0))</f>
        <v>-20224710.942198031</v>
      </c>
      <c r="I65" s="183" t="str">
        <f>IF(OR(C65&lt;0,C65=""),"",-E65*INDEX('Replacement Costs'!$A$16:$H$57,MATCH(C65,'Replacement Costs'!$C$16:$C$57,0),MATCH("Total Yearly Replacement Costs",'Replacement Costs'!$A$16:$H$16,0)))</f>
        <v/>
      </c>
      <c r="J65" s="183">
        <f>IF(AND(C65&gt;=1,C65&lt;anal_period),WorkingCap*SUM(N65:R65)-WorkingCap*SUM(N64:R64),0)</f>
        <v>0</v>
      </c>
      <c r="K65" s="183">
        <f t="shared" ref="K65:K96" ca="1" si="4">IF(C65=-construct,-E65*non_dep_infl,"")</f>
        <v>-1634317.2838273852</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-14030893.216149881</v>
      </c>
      <c r="T65" s="183">
        <f t="shared" ref="T65:T96" ca="1" si="12">IF(C65="","",F65+SUM(L65:S65))</f>
        <v>-14030893.216149881</v>
      </c>
      <c r="U65" s="183">
        <f>IF(C65="","",IF(C65&lt;-1,0,IF(C65=anal_period,-LOOKUP(C65,depr_yr,depr_cost)-Depreciation!$C$141-Depreciation!$B$166,-LOOKUP(C65,depr_yr,depr_cost))))</f>
        <v>0</v>
      </c>
      <c r="V65" s="183">
        <f t="shared" ref="V65:V96" ca="1" si="13">IF(C65="","",SUM(T65:U65))</f>
        <v>-14030893.216149881</v>
      </c>
      <c r="W65" s="184">
        <f t="shared" ref="W65:W96" si="14">IF(C65="","",$B$33)</f>
        <v>0.25739999999999996</v>
      </c>
      <c r="X65" s="183">
        <f t="shared" ref="X65:X96" ca="1" si="15">IF(C65="","",tax_credit-(V65*W65 +Upstream_CO2_taxpYear + Proc_CO2_taxpYear))</f>
        <v>3611551.9138369788</v>
      </c>
      <c r="Y65" s="183">
        <f t="shared" ref="Y65:Y96" ca="1" si="16">IF(C65="","",SUM(T65,X65))</f>
        <v>-10419341.302312903</v>
      </c>
      <c r="Z65" s="183">
        <f>IF(C65="","",IF($B$31=0,"",-'Debt Financing Calculations'!F14))</f>
        <v>0</v>
      </c>
      <c r="AA65" s="183">
        <f t="shared" ref="AA65:AA96" ca="1" si="17">IF(C65="","",SUM(H65,I65,J65,K65,T65,X65,Z65))</f>
        <v>-32278369.528338321</v>
      </c>
      <c r="AB65" s="183">
        <f ca="1">AA65</f>
        <v>-32278369.528338321</v>
      </c>
      <c r="AC65" s="1154">
        <f t="shared" ref="AC65:AC96" ca="1" si="18">IF(C65="","",SUM(H65,I65,J65,K65,T65,Z65))</f>
        <v>-35889921.442175299</v>
      </c>
      <c r="AD65" s="134"/>
      <c r="AE65" s="1158">
        <f t="shared" ref="AE65:AE96" si="19">IF(C65="","",IF(C65&lt;0,0,IF(AND(C65=1,start_time&lt;1),(output_kgyear*start_time*percnt_revs+output_kgyear*(1-start_time)),IF(C65&lt;=start_time,output_kgyear*percnt_revs,output_kgyear))))</f>
        <v>0</v>
      </c>
      <c r="AF65" s="1154">
        <f t="shared" ref="AF65:AF96" si="20">IF(C65="","",tax_credit)</f>
        <v>0</v>
      </c>
    </row>
    <row r="66" spans="1:32" x14ac:dyDescent="0.25">
      <c r="A66" s="58">
        <f t="shared" ref="A66:A113" si="21">IF(B66&lt;&gt;"",A65+1,"")</f>
        <v>2038</v>
      </c>
      <c r="B66" s="185">
        <f>IF(MAX($B$65:B65)&lt;(construct+anal_period),B65+1,"")</f>
        <v>2</v>
      </c>
      <c r="C66" s="185">
        <f t="shared" ref="C66:C113" si="22">IF(B66="","",IF(C65=-1,1,C65+1))</f>
        <v>-2</v>
      </c>
      <c r="D66" s="185">
        <f t="shared" si="1"/>
        <v>-2</v>
      </c>
      <c r="E66" s="186">
        <f t="shared" si="2"/>
        <v>0.96305620107072598</v>
      </c>
      <c r="F66" s="59">
        <f t="shared" si="3"/>
        <v>0</v>
      </c>
      <c r="G66" s="1168"/>
      <c r="H66" s="1177">
        <f ca="1">IF(C66&lt;0,-E66*equity*depr_cap_infl*percent_cap2,0)</f>
        <v>-154567353.37574843</v>
      </c>
      <c r="I66" s="187" t="str">
        <f>IF(OR(C66&lt;0,C66=""),"",-E66*INDEX('Replacement Costs'!$A$16:$H$57,MATCH(C66,'Replacement Costs'!$C$16:$C$57,0),MATCH("Total Yearly Replacement Costs",'Replacement Costs'!$A$16:$H$16,0)))</f>
        <v/>
      </c>
      <c r="J66" s="187">
        <f>IF(AND(C66&gt;=1,C66&lt;anal_period),WorkingCap*SUM(N66:R66)-WorkingCap*SUM(N65:R65),IF(C66&lt;0,0,IF(B66="","",-SUM(J$65:J65))))</f>
        <v>0</v>
      </c>
      <c r="K66" s="187" t="str">
        <f t="shared" si="4"/>
        <v/>
      </c>
      <c r="L66" s="187" t="str">
        <f t="shared" si="5"/>
        <v/>
      </c>
      <c r="M66" s="187" t="str">
        <f t="shared" si="6"/>
        <v/>
      </c>
      <c r="N66" s="187">
        <f t="shared" si="7"/>
        <v>0</v>
      </c>
      <c r="O66" s="187">
        <f t="shared" si="8"/>
        <v>0</v>
      </c>
      <c r="P66" s="187">
        <f t="shared" si="9"/>
        <v>0</v>
      </c>
      <c r="Q66" s="187">
        <f t="shared" si="10"/>
        <v>0</v>
      </c>
      <c r="R66" s="187">
        <f t="shared" si="11"/>
        <v>0</v>
      </c>
      <c r="S66" s="187">
        <f ca="1">IF(B66="","",IF($B$31=0,"",-'Debt Financing Calculations'!E15))</f>
        <v>-14030893.216149881</v>
      </c>
      <c r="T66" s="187">
        <f t="shared" ca="1" si="12"/>
        <v>-14030893.216149881</v>
      </c>
      <c r="U66" s="187">
        <f>IF(C66="","",IF(C66&lt;-1,0,IF(C66=anal_period,-LOOKUP(C66,depr_yr,depr_cost)-Depreciation!$C$141-Depreciation!$B$166,-LOOKUP(C66,depr_yr,depr_cost))))</f>
        <v>0</v>
      </c>
      <c r="V66" s="187">
        <f t="shared" ca="1" si="13"/>
        <v>-14030893.216149881</v>
      </c>
      <c r="W66" s="188">
        <f t="shared" si="14"/>
        <v>0.25739999999999996</v>
      </c>
      <c r="X66" s="187">
        <f t="shared" ca="1" si="15"/>
        <v>3611551.9138369788</v>
      </c>
      <c r="Y66" s="187">
        <f t="shared" ca="1" si="16"/>
        <v>-10419341.302312903</v>
      </c>
      <c r="Z66" s="187">
        <f>IF(C66="","",IF($B$31=0,"",-'Debt Financing Calculations'!F15))</f>
        <v>0</v>
      </c>
      <c r="AA66" s="187">
        <f t="shared" ca="1" si="17"/>
        <v>-164986694.67806134</v>
      </c>
      <c r="AB66" s="187">
        <f t="shared" ref="AB66:AB113" ca="1" si="23">IF(C66="","",AB65+AA66)</f>
        <v>-197265064.20639965</v>
      </c>
      <c r="AC66" s="1155">
        <f t="shared" ca="1" si="18"/>
        <v>-168598246.59189832</v>
      </c>
      <c r="AD66" s="134"/>
      <c r="AE66" s="1159">
        <f t="shared" si="19"/>
        <v>0</v>
      </c>
      <c r="AF66" s="1155">
        <f t="shared" si="20"/>
        <v>0</v>
      </c>
    </row>
    <row r="67" spans="1:32" x14ac:dyDescent="0.25">
      <c r="A67" s="58">
        <f t="shared" si="21"/>
        <v>2039</v>
      </c>
      <c r="B67" s="185">
        <f>IF(MAX($B$65:B66)&lt;(construct+anal_period),B66+1,"")</f>
        <v>3</v>
      </c>
      <c r="C67" s="185">
        <f t="shared" si="22"/>
        <v>-1</v>
      </c>
      <c r="D67" s="185">
        <f t="shared" si="1"/>
        <v>-1</v>
      </c>
      <c r="E67" s="186">
        <f t="shared" si="2"/>
        <v>0.9813542688910698</v>
      </c>
      <c r="F67" s="59">
        <f t="shared" si="3"/>
        <v>0</v>
      </c>
      <c r="G67" s="1168"/>
      <c r="H67" s="1177">
        <f ca="1">IF(C67&lt;0,-E67*equity*depr_cap_infl*percent_cap3,0)</f>
        <v>-84002204.314606741</v>
      </c>
      <c r="I67" s="187" t="str">
        <f>IF(OR(C67&lt;0,C67=""),"",-E67*INDEX('Replacement Costs'!$A$16:$H$57,MATCH(C67,'Replacement Costs'!$C$16:$C$57,0),MATCH("Total Yearly Replacement Costs",'Replacement Costs'!$A$16:$H$16,0)))</f>
        <v/>
      </c>
      <c r="J67" s="187">
        <f>IF(AND(C67&gt;=1,C67&lt;anal_period),WorkingCap*SUM(N67:R67)-WorkingCap*SUM(N66:R66),IF(C67&lt;0,0,IF(B67="","",-SUM(J$65:J66))))</f>
        <v>0</v>
      </c>
      <c r="K67" s="187" t="str">
        <f t="shared" si="4"/>
        <v/>
      </c>
      <c r="L67" s="187" t="str">
        <f t="shared" si="5"/>
        <v/>
      </c>
      <c r="M67" s="187" t="str">
        <f t="shared" si="6"/>
        <v/>
      </c>
      <c r="N67" s="187">
        <f t="shared" si="7"/>
        <v>0</v>
      </c>
      <c r="O67" s="187">
        <f t="shared" si="8"/>
        <v>0</v>
      </c>
      <c r="P67" s="187">
        <f t="shared" si="9"/>
        <v>0</v>
      </c>
      <c r="Q67" s="187">
        <f t="shared" si="10"/>
        <v>0</v>
      </c>
      <c r="R67" s="187">
        <f t="shared" si="11"/>
        <v>0</v>
      </c>
      <c r="S67" s="187">
        <f ca="1">IF(B67="","",IF($B$31=0,"",-'Debt Financing Calculations'!E16))</f>
        <v>-14030893.216149881</v>
      </c>
      <c r="T67" s="187">
        <f t="shared" ca="1" si="12"/>
        <v>-14030893.216149881</v>
      </c>
      <c r="U67" s="187">
        <f>IF(C67="","",IF(C67&lt;-1,0,IF(C67=anal_period,-LOOKUP(C67,depr_yr,depr_cost)-Depreciation!$C$141-Depreciation!$B$166,-LOOKUP(C67,depr_yr,depr_cost))))</f>
        <v>0</v>
      </c>
      <c r="V67" s="187">
        <f t="shared" ca="1" si="13"/>
        <v>-14030893.216149881</v>
      </c>
      <c r="W67" s="188">
        <f t="shared" si="14"/>
        <v>0.25739999999999996</v>
      </c>
      <c r="X67" s="187">
        <f t="shared" ca="1" si="15"/>
        <v>3611551.9138369788</v>
      </c>
      <c r="Y67" s="187">
        <f t="shared" ca="1" si="16"/>
        <v>-10419341.302312903</v>
      </c>
      <c r="Z67" s="187">
        <f>IF(C67="","",IF($B$31=0,"",-'Debt Financing Calculations'!F16))</f>
        <v>0</v>
      </c>
      <c r="AA67" s="187">
        <f t="shared" ca="1" si="17"/>
        <v>-94421545.616919637</v>
      </c>
      <c r="AB67" s="187">
        <f t="shared" ca="1" si="23"/>
        <v>-291686609.82331932</v>
      </c>
      <c r="AC67" s="1155">
        <f t="shared" ca="1" si="18"/>
        <v>-98033097.530756623</v>
      </c>
      <c r="AD67" s="134"/>
      <c r="AE67" s="1159">
        <f t="shared" si="19"/>
        <v>0</v>
      </c>
      <c r="AF67" s="1155">
        <f t="shared" si="20"/>
        <v>0</v>
      </c>
    </row>
    <row r="68" spans="1:32" ht="13" x14ac:dyDescent="0.3">
      <c r="A68" s="1089">
        <f t="shared" si="21"/>
        <v>2040</v>
      </c>
      <c r="B68" s="1090">
        <f>IF(MAX($B$65:B67)&lt;(construct+anal_period),B67+1,"")</f>
        <v>4</v>
      </c>
      <c r="C68" s="1090">
        <f t="shared" si="22"/>
        <v>1</v>
      </c>
      <c r="D68" s="1090">
        <f t="shared" si="1"/>
        <v>1</v>
      </c>
      <c r="E68" s="1091">
        <f t="shared" si="2"/>
        <v>1</v>
      </c>
      <c r="F68" s="1092">
        <f t="shared" ca="1" si="3"/>
        <v>170146622.38912708</v>
      </c>
      <c r="G68" s="1169"/>
      <c r="H68" s="1178">
        <f>IF(C68&lt;0,-E68*equity*depr_cap_infl*percent_cap4,0)</f>
        <v>0</v>
      </c>
      <c r="I68" s="1093">
        <f ca="1">IF(OR(C68&lt;0,C68=""),"",-E68*INDEX('Replacement Costs'!$A$16:$H$57,MATCH(C68,'Replacement Costs'!$C$16:$C$57,0),MATCH("Total Yearly Replacement Costs",'Replacement Costs'!$A$16:$H$16,0)))</f>
        <v>-23993517.930796217</v>
      </c>
      <c r="J68" s="1093">
        <f ca="1">IF(AND(C68&gt;=1,C68&lt;anal_period),WorkingCap*SUM(N68:R68)-WorkingCap*SUM(N67:R67),IF(C68&lt;0,0,IF(B68="","",-SUM(J$65:J67))))</f>
        <v>-27180147.624673158</v>
      </c>
      <c r="K68" s="1093" t="str">
        <f t="shared" si="4"/>
        <v/>
      </c>
      <c r="L68" s="1093" t="str">
        <f t="shared" si="5"/>
        <v/>
      </c>
      <c r="M68" s="1093" t="str">
        <f t="shared" si="6"/>
        <v/>
      </c>
      <c r="N68" s="1093">
        <f t="shared" ca="1" si="7"/>
        <v>-15540864.028620463</v>
      </c>
      <c r="O68" s="1093">
        <f t="shared" ca="1" si="8"/>
        <v>-135685658.81647113</v>
      </c>
      <c r="P68" s="1093">
        <f t="shared" ca="1" si="9"/>
        <v>0</v>
      </c>
      <c r="Q68" s="1093">
        <f t="shared" ca="1" si="10"/>
        <v>0</v>
      </c>
      <c r="R68" s="1093">
        <f t="shared" ca="1" si="11"/>
        <v>-29974461.319396142</v>
      </c>
      <c r="S68" s="1093">
        <f ca="1">IF(B68="","",IF($B$31=0,"",-'Debt Financing Calculations'!E17))</f>
        <v>-14030893.216149881</v>
      </c>
      <c r="T68" s="1093">
        <f t="shared" ca="1" si="12"/>
        <v>-25085254.99151051</v>
      </c>
      <c r="U68" s="1093">
        <f ca="1">IF(C68="","",IF(C68&lt;-1,0,IF(C68=anal_period,-LOOKUP(C68,depr_yr,depr_cost)-Depreciation!$C$141-Depreciation!$B$166,-LOOKUP(C68,depr_yr,depr_cost))))</f>
        <v>-24825041.877358593</v>
      </c>
      <c r="V68" s="1093">
        <f t="shared" ca="1" si="13"/>
        <v>-49910296.868869103</v>
      </c>
      <c r="W68" s="1094">
        <f t="shared" si="14"/>
        <v>0.25739999999999996</v>
      </c>
      <c r="X68" s="1093">
        <f t="shared" ca="1" si="15"/>
        <v>12846910.414046906</v>
      </c>
      <c r="Y68" s="1093">
        <f ca="1">IF(C68="","",SUM(T68,X68))</f>
        <v>-12238344.577463605</v>
      </c>
      <c r="Z68" s="1093">
        <f>IF(C68="","",IF($B$31=0,"",-'Debt Financing Calculations'!F17))</f>
        <v>0</v>
      </c>
      <c r="AA68" s="1093">
        <f t="shared" ca="1" si="17"/>
        <v>-63412010.132932983</v>
      </c>
      <c r="AB68" s="1093">
        <f t="shared" ca="1" si="23"/>
        <v>-355098619.95625228</v>
      </c>
      <c r="AC68" s="1156">
        <f t="shared" ca="1" si="18"/>
        <v>-76258920.546979889</v>
      </c>
      <c r="AD68" s="1085"/>
      <c r="AE68" s="1160">
        <f t="shared" ca="1" si="19"/>
        <v>62314314.75</v>
      </c>
      <c r="AF68" s="1156">
        <f t="shared" si="20"/>
        <v>0</v>
      </c>
    </row>
    <row r="69" spans="1:32" x14ac:dyDescent="0.25">
      <c r="A69" s="58">
        <f t="shared" si="21"/>
        <v>2041</v>
      </c>
      <c r="B69" s="185">
        <f>IF(MAX($B$65:B68)&lt;(construct+anal_period),B68+1,"")</f>
        <v>5</v>
      </c>
      <c r="C69" s="185">
        <f t="shared" si="22"/>
        <v>2</v>
      </c>
      <c r="D69" s="185">
        <f t="shared" si="1"/>
        <v>2</v>
      </c>
      <c r="E69" s="186">
        <f t="shared" si="2"/>
        <v>1.0189999999999999</v>
      </c>
      <c r="F69" s="59">
        <f t="shared" ca="1" si="3"/>
        <v>346758816.42904097</v>
      </c>
      <c r="G69" s="1168"/>
      <c r="H69" s="1177">
        <f t="shared" ref="H69:H113" si="24">IF(C69="","",0)</f>
        <v>0</v>
      </c>
      <c r="I69" s="187">
        <f ca="1">IF(OR(C69&lt;0,C69=""),"",-E69*INDEX('Replacement Costs'!$A$16:$H$57,MATCH(C69,'Replacement Costs'!$C$16:$C$57,0),MATCH("Total Yearly Replacement Costs",'Replacement Costs'!$A$16:$H$16,0)))</f>
        <v>-24449394.771481343</v>
      </c>
      <c r="J69" s="187">
        <f ca="1">IF(AND(C69&gt;=1,C69&lt;anal_period),WorkingCap*SUM(N69:R69)-WorkingCap*SUM(N68:R68),IF(C69&lt;0,0,IF(B69="","",-SUM(J$65:J68))))</f>
        <v>-9766518.0521043167</v>
      </c>
      <c r="K69" s="187" t="str">
        <f t="shared" si="4"/>
        <v/>
      </c>
      <c r="L69" s="187" t="str">
        <f t="shared" si="5"/>
        <v/>
      </c>
      <c r="M69" s="187" t="str">
        <f t="shared" si="6"/>
        <v/>
      </c>
      <c r="N69" s="187">
        <f t="shared" ca="1" si="7"/>
        <v>-21114853.926885668</v>
      </c>
      <c r="O69" s="187">
        <f t="shared" ca="1" si="8"/>
        <v>-184500684.8327347</v>
      </c>
      <c r="P69" s="187">
        <f t="shared" ca="1" si="9"/>
        <v>0</v>
      </c>
      <c r="Q69" s="187">
        <f t="shared" ca="1" si="10"/>
        <v>0</v>
      </c>
      <c r="R69" s="187">
        <f t="shared" ca="1" si="11"/>
        <v>-40695565.752229482</v>
      </c>
      <c r="S69" s="187">
        <f ca="1">IF(B69="","",IF($B$31=0,"",-'Debt Financing Calculations'!E18))</f>
        <v>-14030893.216149881</v>
      </c>
      <c r="T69" s="187">
        <f t="shared" ca="1" si="12"/>
        <v>86416818.701041222</v>
      </c>
      <c r="U69" s="187">
        <f ca="1">IF(C69="","",IF(C69&lt;-1,0,IF(C69=anal_period,-LOOKUP(C69,depr_yr,depr_cost)-Depreciation!$C$141-Depreciation!$B$166,-LOOKUP(C69,depr_yr,depr_cost))))</f>
        <v>-48706712.920637675</v>
      </c>
      <c r="V69" s="187">
        <f t="shared" ca="1" si="13"/>
        <v>37710105.780403547</v>
      </c>
      <c r="W69" s="188">
        <f t="shared" si="14"/>
        <v>0.25739999999999996</v>
      </c>
      <c r="X69" s="187">
        <f t="shared" ca="1" si="15"/>
        <v>-9706581.2278758716</v>
      </c>
      <c r="Y69" s="187">
        <f t="shared" ca="1" si="16"/>
        <v>76710237.473165348</v>
      </c>
      <c r="Z69" s="187">
        <f>IF(C69="","",IF($B$31=0,"",-'Debt Financing Calculations'!F18))</f>
        <v>0</v>
      </c>
      <c r="AA69" s="187">
        <f t="shared" ca="1" si="17"/>
        <v>42494324.649579689</v>
      </c>
      <c r="AB69" s="187">
        <f t="shared" ca="1" si="23"/>
        <v>-312604295.30667257</v>
      </c>
      <c r="AC69" s="1155">
        <f t="shared" ca="1" si="18"/>
        <v>52200905.877455562</v>
      </c>
      <c r="AD69" s="134"/>
      <c r="AE69" s="1159">
        <f t="shared" ca="1" si="19"/>
        <v>124628629.5</v>
      </c>
      <c r="AF69" s="1155">
        <f t="shared" si="20"/>
        <v>0</v>
      </c>
    </row>
    <row r="70" spans="1:32" x14ac:dyDescent="0.25">
      <c r="A70" s="58">
        <f t="shared" si="21"/>
        <v>2042</v>
      </c>
      <c r="B70" s="185">
        <f>IF(MAX($B$65:B69)&lt;(construct+anal_period),B69+1,"")</f>
        <v>6</v>
      </c>
      <c r="C70" s="185">
        <f t="shared" si="22"/>
        <v>3</v>
      </c>
      <c r="D70" s="185">
        <f t="shared" si="1"/>
        <v>3</v>
      </c>
      <c r="E70" s="186">
        <f t="shared" si="2"/>
        <v>1.0383609999999999</v>
      </c>
      <c r="F70" s="59">
        <f t="shared" ca="1" si="3"/>
        <v>353347233.94119269</v>
      </c>
      <c r="G70" s="1168"/>
      <c r="H70" s="1177">
        <f t="shared" si="24"/>
        <v>0</v>
      </c>
      <c r="I70" s="187">
        <f ca="1">IF(OR(C70&lt;0,C70=""),"",-E70*INDEX('Replacement Costs'!$A$16:$H$57,MATCH(C70,'Replacement Costs'!$C$16:$C$57,0),MATCH("Total Yearly Replacement Costs",'Replacement Costs'!$A$16:$H$16,0)))</f>
        <v>-24913933.272139486</v>
      </c>
      <c r="J70" s="187">
        <f ca="1">IF(AND(C70&gt;=1,C70&lt;anal_period),WorkingCap*SUM(N70:R70)-WorkingCap*SUM(N69:R69),IF(C70&lt;0,0,IF(B70="","",-SUM(J$65:J69))))</f>
        <v>-975306.04925330728</v>
      </c>
      <c r="K70" s="187" t="str">
        <f t="shared" si="4"/>
        <v/>
      </c>
      <c r="L70" s="187" t="str">
        <f t="shared" si="5"/>
        <v/>
      </c>
      <c r="M70" s="187" t="str">
        <f t="shared" si="6"/>
        <v/>
      </c>
      <c r="N70" s="187">
        <f t="shared" ca="1" si="7"/>
        <v>-21516036.151496496</v>
      </c>
      <c r="O70" s="187">
        <f t="shared" ca="1" si="8"/>
        <v>-189816412.33288735</v>
      </c>
      <c r="P70" s="187">
        <f t="shared" ca="1" si="9"/>
        <v>0</v>
      </c>
      <c r="Q70" s="187">
        <f t="shared" ca="1" si="10"/>
        <v>0</v>
      </c>
      <c r="R70" s="187">
        <f t="shared" ca="1" si="11"/>
        <v>-41480696.355821379</v>
      </c>
      <c r="S70" s="187">
        <f ca="1">IF(B70="","",IF($B$31=0,"",-'Debt Financing Calculations'!E19))</f>
        <v>-14030893.216149881</v>
      </c>
      <c r="T70" s="187">
        <f t="shared" ca="1" si="12"/>
        <v>86503195.884837568</v>
      </c>
      <c r="U70" s="187">
        <f ca="1">IF(C70="","",IF(C70&lt;-1,0,IF(C70=anal_period,-LOOKUP(C70,depr_yr,depr_cost)-Depreciation!$C$141-Depreciation!$B$166,-LOOKUP(C70,depr_yr,depr_cost))))</f>
        <v>-46901088.87029136</v>
      </c>
      <c r="V70" s="187">
        <f t="shared" ca="1" si="13"/>
        <v>39602107.014546208</v>
      </c>
      <c r="W70" s="188">
        <f t="shared" si="14"/>
        <v>0.25739999999999996</v>
      </c>
      <c r="X70" s="187">
        <f t="shared" ca="1" si="15"/>
        <v>-10193582.345544193</v>
      </c>
      <c r="Y70" s="187">
        <f t="shared" ca="1" si="16"/>
        <v>76309613.539293379</v>
      </c>
      <c r="Z70" s="187">
        <f>IF(C70="","",IF($B$31=0,"",-'Debt Financing Calculations'!F19))</f>
        <v>0</v>
      </c>
      <c r="AA70" s="187">
        <f t="shared" ca="1" si="17"/>
        <v>50420374.217900589</v>
      </c>
      <c r="AB70" s="187">
        <f t="shared" ca="1" si="23"/>
        <v>-262183921.088772</v>
      </c>
      <c r="AC70" s="1155">
        <f t="shared" ca="1" si="18"/>
        <v>60613956.563444778</v>
      </c>
      <c r="AD70" s="134"/>
      <c r="AE70" s="1159">
        <f t="shared" ca="1" si="19"/>
        <v>124628629.5</v>
      </c>
      <c r="AF70" s="1155">
        <f t="shared" si="20"/>
        <v>0</v>
      </c>
    </row>
    <row r="71" spans="1:32" x14ac:dyDescent="0.25">
      <c r="A71" s="58">
        <f t="shared" si="21"/>
        <v>2043</v>
      </c>
      <c r="B71" s="185">
        <f>IF(MAX($B$65:B70)&lt;(construct+anal_period),B70+1,"")</f>
        <v>7</v>
      </c>
      <c r="C71" s="185">
        <f t="shared" si="22"/>
        <v>4</v>
      </c>
      <c r="D71" s="185">
        <f t="shared" si="1"/>
        <v>4</v>
      </c>
      <c r="E71" s="186">
        <f t="shared" si="2"/>
        <v>1.0580898589999999</v>
      </c>
      <c r="F71" s="59">
        <f t="shared" ca="1" si="3"/>
        <v>360060831.38607538</v>
      </c>
      <c r="G71" s="1168"/>
      <c r="H71" s="1177">
        <f t="shared" si="24"/>
        <v>0</v>
      </c>
      <c r="I71" s="187">
        <f ca="1">IF(OR(C71&lt;0,C71=""),"",-E71*INDEX('Replacement Costs'!$A$16:$H$57,MATCH(C71,'Replacement Costs'!$C$16:$C$57,0),MATCH("Total Yearly Replacement Costs",'Replacement Costs'!$A$16:$H$16,0)))</f>
        <v>-25387298.004310139</v>
      </c>
      <c r="J71" s="187">
        <f ca="1">IF(AND(C71&gt;=1,C71&lt;anal_period),WorkingCap*SUM(N71:R71)-WorkingCap*SUM(N70:R70),IF(C71&lt;0,0,IF(B71="","",-SUM(J$65:J70))))</f>
        <v>-1148826.4251081869</v>
      </c>
      <c r="K71" s="187" t="str">
        <f t="shared" si="4"/>
        <v/>
      </c>
      <c r="L71" s="187" t="str">
        <f t="shared" si="5"/>
        <v/>
      </c>
      <c r="M71" s="187" t="str">
        <f t="shared" si="6"/>
        <v/>
      </c>
      <c r="N71" s="187">
        <f t="shared" ca="1" si="7"/>
        <v>-21924840.838374928</v>
      </c>
      <c r="O71" s="187">
        <f t="shared" ca="1" si="8"/>
        <v>-196246334.26194936</v>
      </c>
      <c r="P71" s="187">
        <f t="shared" ca="1" si="9"/>
        <v>0</v>
      </c>
      <c r="Q71" s="187">
        <f t="shared" ca="1" si="10"/>
        <v>0</v>
      </c>
      <c r="R71" s="187">
        <f t="shared" ca="1" si="11"/>
        <v>-42300812.573935501</v>
      </c>
      <c r="S71" s="187">
        <f ca="1">IF(B71="","",IF($B$31=0,"",-'Debt Financing Calculations'!E20))</f>
        <v>-14030893.216149881</v>
      </c>
      <c r="T71" s="187">
        <f t="shared" ca="1" si="12"/>
        <v>85557950.495665729</v>
      </c>
      <c r="U71" s="187">
        <f ca="1">IF(C71="","",IF(C71&lt;-1,0,IF(C71=anal_period,-LOOKUP(C71,depr_yr,depr_cost)-Depreciation!$C$141-Depreciation!$B$166,-LOOKUP(C71,depr_yr,depr_cost))))</f>
        <v>-45274855.587354265</v>
      </c>
      <c r="V71" s="187">
        <f t="shared" ca="1" si="13"/>
        <v>40283094.908311464</v>
      </c>
      <c r="W71" s="188">
        <f t="shared" si="14"/>
        <v>0.25739999999999996</v>
      </c>
      <c r="X71" s="187">
        <f t="shared" ca="1" si="15"/>
        <v>-10368868.629399369</v>
      </c>
      <c r="Y71" s="187">
        <f t="shared" ca="1" si="16"/>
        <v>75189081.866266355</v>
      </c>
      <c r="Z71" s="187">
        <f>IF(C71="","",IF($B$31=0,"",-'Debt Financing Calculations'!F20))</f>
        <v>0</v>
      </c>
      <c r="AA71" s="187">
        <f t="shared" ca="1" si="17"/>
        <v>48652957.436848037</v>
      </c>
      <c r="AB71" s="187">
        <f t="shared" ca="1" si="23"/>
        <v>-213530963.65192395</v>
      </c>
      <c r="AC71" s="1155">
        <f t="shared" ca="1" si="18"/>
        <v>59021826.066247404</v>
      </c>
      <c r="AD71" s="134"/>
      <c r="AE71" s="1159">
        <f t="shared" ca="1" si="19"/>
        <v>124628629.5</v>
      </c>
      <c r="AF71" s="1155">
        <f t="shared" si="20"/>
        <v>0</v>
      </c>
    </row>
    <row r="72" spans="1:32" x14ac:dyDescent="0.25">
      <c r="A72" s="58">
        <f t="shared" si="21"/>
        <v>2044</v>
      </c>
      <c r="B72" s="185">
        <f>IF(MAX($B$65:B71)&lt;(construct+anal_period),B71+1,"")</f>
        <v>8</v>
      </c>
      <c r="C72" s="185">
        <f t="shared" si="22"/>
        <v>5</v>
      </c>
      <c r="D72" s="185">
        <f t="shared" si="1"/>
        <v>5</v>
      </c>
      <c r="E72" s="186">
        <f t="shared" si="2"/>
        <v>1.0781935663209998</v>
      </c>
      <c r="F72" s="59">
        <f t="shared" ca="1" si="3"/>
        <v>366901987.18241078</v>
      </c>
      <c r="G72" s="1168"/>
      <c r="H72" s="1177">
        <f t="shared" si="24"/>
        <v>0</v>
      </c>
      <c r="I72" s="187">
        <f ca="1">IF(OR(C72&lt;0,C72=""),"",-E72*INDEX('Replacement Costs'!$A$16:$H$57,MATCH(C72,'Replacement Costs'!$C$16:$C$57,0),MATCH("Total Yearly Replacement Costs",'Replacement Costs'!$A$16:$H$16,0)))</f>
        <v>-25869656.666392028</v>
      </c>
      <c r="J72" s="187">
        <f ca="1">IF(AND(C72&gt;=1,C72&lt;anal_period),WorkingCap*SUM(N72:R72)-WorkingCap*SUM(N71:R71),IF(C72&lt;0,0,IF(B72="","",-SUM(J$65:J71))))</f>
        <v>-1044185.3917820901</v>
      </c>
      <c r="K72" s="187" t="str">
        <f t="shared" si="4"/>
        <v/>
      </c>
      <c r="L72" s="187" t="str">
        <f t="shared" si="5"/>
        <v/>
      </c>
      <c r="M72" s="187" t="str">
        <f t="shared" si="6"/>
        <v/>
      </c>
      <c r="N72" s="187">
        <f t="shared" ca="1" si="7"/>
        <v>-22341412.81430405</v>
      </c>
      <c r="O72" s="187">
        <f t="shared" ca="1" si="8"/>
        <v>-201946921.98474845</v>
      </c>
      <c r="P72" s="187">
        <f t="shared" ca="1" si="9"/>
        <v>0</v>
      </c>
      <c r="Q72" s="187">
        <f t="shared" ca="1" si="10"/>
        <v>0</v>
      </c>
      <c r="R72" s="187">
        <f t="shared" ca="1" si="11"/>
        <v>-43144888.820421249</v>
      </c>
      <c r="S72" s="187">
        <f ca="1">IF(B72="","",IF($B$31=0,"",-'Debt Financing Calculations'!E21))</f>
        <v>-14030893.216149881</v>
      </c>
      <c r="T72" s="187">
        <f t="shared" ca="1" si="12"/>
        <v>85437870.346787155</v>
      </c>
      <c r="U72" s="187">
        <f ca="1">IF(C72="","",IF(C72&lt;-1,0,IF(C72=anal_period,-LOOKUP(C72,depr_yr,depr_cost)-Depreciation!$C$141-Depreciation!$B$166,-LOOKUP(C72,depr_yr,depr_cost))))</f>
        <v>-43796687.40629591</v>
      </c>
      <c r="V72" s="187">
        <f t="shared" ca="1" si="13"/>
        <v>41641182.940491244</v>
      </c>
      <c r="W72" s="188">
        <f t="shared" si="14"/>
        <v>0.25739999999999996</v>
      </c>
      <c r="X72" s="187">
        <f t="shared" ca="1" si="15"/>
        <v>-10718440.488882445</v>
      </c>
      <c r="Y72" s="187">
        <f t="shared" ca="1" si="16"/>
        <v>74719429.857904702</v>
      </c>
      <c r="Z72" s="187">
        <f>IF(C72="","",IF($B$31=0,"",-'Debt Financing Calculations'!F21))</f>
        <v>0</v>
      </c>
      <c r="AA72" s="187">
        <f t="shared" ca="1" si="17"/>
        <v>47805587.799730591</v>
      </c>
      <c r="AB72" s="187">
        <f t="shared" ca="1" si="23"/>
        <v>-165725375.85219336</v>
      </c>
      <c r="AC72" s="1155">
        <f t="shared" ca="1" si="18"/>
        <v>58524028.288613036</v>
      </c>
      <c r="AD72" s="134"/>
      <c r="AE72" s="1159">
        <f t="shared" ca="1" si="19"/>
        <v>124628629.5</v>
      </c>
      <c r="AF72" s="1155">
        <f t="shared" si="20"/>
        <v>0</v>
      </c>
    </row>
    <row r="73" spans="1:32" x14ac:dyDescent="0.25">
      <c r="A73" s="58">
        <f t="shared" si="21"/>
        <v>2045</v>
      </c>
      <c r="B73" s="185">
        <f>IF(MAX($B$65:B72)&lt;(construct+anal_period),B72+1,"")</f>
        <v>9</v>
      </c>
      <c r="C73" s="185">
        <f t="shared" si="22"/>
        <v>6</v>
      </c>
      <c r="D73" s="185">
        <f t="shared" si="1"/>
        <v>6</v>
      </c>
      <c r="E73" s="186">
        <f t="shared" si="2"/>
        <v>1.0986792440810986</v>
      </c>
      <c r="F73" s="59">
        <f t="shared" ca="1" si="3"/>
        <v>373873124.93887651</v>
      </c>
      <c r="G73" s="1168"/>
      <c r="H73" s="1177">
        <f t="shared" si="24"/>
        <v>0</v>
      </c>
      <c r="I73" s="187">
        <f ca="1">IF(OR(C73&lt;0,C73=""),"",-E73*INDEX('Replacement Costs'!$A$16:$H$57,MATCH(C73,'Replacement Costs'!$C$16:$C$57,0),MATCH("Total Yearly Replacement Costs",'Replacement Costs'!$A$16:$H$16,0)))</f>
        <v>-26361180.143053472</v>
      </c>
      <c r="J73" s="187">
        <f ca="1">IF(AND(C73&gt;=1,C73&lt;anal_period),WorkingCap*SUM(N73:R73)-WorkingCap*SUM(N72:R72),IF(C73&lt;0,0,IF(B73="","",-SUM(J$65:J72))))</f>
        <v>-1164548.3929792419</v>
      </c>
      <c r="K73" s="187" t="str">
        <f t="shared" si="4"/>
        <v/>
      </c>
      <c r="L73" s="187" t="str">
        <f t="shared" si="5"/>
        <v/>
      </c>
      <c r="M73" s="187" t="str">
        <f t="shared" si="6"/>
        <v/>
      </c>
      <c r="N73" s="187">
        <f t="shared" ca="1" si="7"/>
        <v>-22765899.657775823</v>
      </c>
      <c r="O73" s="187">
        <f t="shared" ca="1" si="8"/>
        <v>-208426314.53612268</v>
      </c>
      <c r="P73" s="187">
        <f t="shared" ca="1" si="9"/>
        <v>0</v>
      </c>
      <c r="Q73" s="187">
        <f t="shared" ca="1" si="10"/>
        <v>0</v>
      </c>
      <c r="R73" s="187">
        <f t="shared" ca="1" si="11"/>
        <v>-44004665.378770187</v>
      </c>
      <c r="S73" s="187">
        <f ca="1">IF(B73="","",IF($B$31=0,"",-'Debt Financing Calculations'!E22))</f>
        <v>-14030893.216149881</v>
      </c>
      <c r="T73" s="187">
        <f t="shared" ca="1" si="12"/>
        <v>84645352.150057971</v>
      </c>
      <c r="U73" s="187">
        <f ca="1">IF(C73="","",IF(C73&lt;-1,0,IF(C73=anal_period,-LOOKUP(C73,depr_yr,depr_cost)-Depreciation!$C$141-Depreciation!$B$166,-LOOKUP(C73,depr_yr,depr_cost))))</f>
        <v>-42473671.258531295</v>
      </c>
      <c r="V73" s="187">
        <f t="shared" ca="1" si="13"/>
        <v>42171680.891526677</v>
      </c>
      <c r="W73" s="188">
        <f t="shared" si="14"/>
        <v>0.25739999999999996</v>
      </c>
      <c r="X73" s="187">
        <f t="shared" ca="1" si="15"/>
        <v>-10854990.661478965</v>
      </c>
      <c r="Y73" s="187">
        <f t="shared" ca="1" si="16"/>
        <v>73790361.488579005</v>
      </c>
      <c r="Z73" s="187">
        <f>IF(C73="","",IF($B$31=0,"",-'Debt Financing Calculations'!F22))</f>
        <v>0</v>
      </c>
      <c r="AA73" s="187">
        <f t="shared" ca="1" si="17"/>
        <v>46264632.952546291</v>
      </c>
      <c r="AB73" s="187">
        <f t="shared" ca="1" si="23"/>
        <v>-119460742.89964706</v>
      </c>
      <c r="AC73" s="1155">
        <f t="shared" ca="1" si="18"/>
        <v>57119623.614025258</v>
      </c>
      <c r="AD73" s="134"/>
      <c r="AE73" s="1159">
        <f t="shared" ca="1" si="19"/>
        <v>124628629.5</v>
      </c>
      <c r="AF73" s="1155">
        <f t="shared" si="20"/>
        <v>0</v>
      </c>
    </row>
    <row r="74" spans="1:32" x14ac:dyDescent="0.25">
      <c r="A74" s="58">
        <f t="shared" si="21"/>
        <v>2046</v>
      </c>
      <c r="B74" s="185">
        <f>IF(MAX($B$65:B73)&lt;(construct+anal_period),B73+1,"")</f>
        <v>10</v>
      </c>
      <c r="C74" s="185">
        <f t="shared" si="22"/>
        <v>7</v>
      </c>
      <c r="D74" s="185">
        <f t="shared" si="1"/>
        <v>7</v>
      </c>
      <c r="E74" s="186">
        <f t="shared" si="2"/>
        <v>1.1195541497186396</v>
      </c>
      <c r="F74" s="59">
        <f t="shared" ca="1" si="3"/>
        <v>380976714.31271523</v>
      </c>
      <c r="G74" s="1168"/>
      <c r="H74" s="1177">
        <f t="shared" si="24"/>
        <v>0</v>
      </c>
      <c r="I74" s="187">
        <f ca="1">IF(OR(C74&lt;0,C74=""),"",-E74*INDEX('Replacement Costs'!$A$16:$H$57,MATCH(C74,'Replacement Costs'!$C$16:$C$57,0),MATCH("Total Yearly Replacement Costs",'Replacement Costs'!$A$16:$H$16,0)))</f>
        <v>-26862042.565771494</v>
      </c>
      <c r="J74" s="187">
        <f ca="1">IF(AND(C74&gt;=1,C74&lt;anal_period),WorkingCap*SUM(N74:R74)-WorkingCap*SUM(N73:R73),IF(C74&lt;0,0,IF(B74="","",-SUM(J$65:J73))))</f>
        <v>-1099292.6396159083</v>
      </c>
      <c r="K74" s="187" t="str">
        <f t="shared" si="4"/>
        <v/>
      </c>
      <c r="L74" s="187" t="str">
        <f t="shared" si="5"/>
        <v/>
      </c>
      <c r="M74" s="187" t="str">
        <f t="shared" si="6"/>
        <v/>
      </c>
      <c r="N74" s="187">
        <f t="shared" ca="1" si="7"/>
        <v>-23198451.751273569</v>
      </c>
      <c r="O74" s="187">
        <f t="shared" ca="1" si="8"/>
        <v>-214444825.84862533</v>
      </c>
      <c r="P74" s="187">
        <f t="shared" ca="1" si="9"/>
        <v>0</v>
      </c>
      <c r="Q74" s="187">
        <f t="shared" ca="1" si="10"/>
        <v>0</v>
      </c>
      <c r="R74" s="187">
        <f t="shared" ca="1" si="11"/>
        <v>-44882219.570209175</v>
      </c>
      <c r="S74" s="187">
        <f ca="1">IF(B74="","",IF($B$31=0,"",-'Debt Financing Calculations'!E23))</f>
        <v>-14030893.216149881</v>
      </c>
      <c r="T74" s="187">
        <f t="shared" ca="1" si="12"/>
        <v>84420323.926457286</v>
      </c>
      <c r="U74" s="187">
        <f ca="1">IF(C74="","",IF(C74&lt;-1,0,IF(C74=anal_period,-LOOKUP(C74,depr_yr,depr_cost)-Depreciation!$C$141-Depreciation!$B$166,-LOOKUP(C74,depr_yr,depr_cost))))</f>
        <v>-41279928.671335824</v>
      </c>
      <c r="V74" s="187">
        <f t="shared" ca="1" si="13"/>
        <v>43140395.255121462</v>
      </c>
      <c r="W74" s="188">
        <f t="shared" si="14"/>
        <v>0.25739999999999996</v>
      </c>
      <c r="X74" s="187">
        <f t="shared" ca="1" si="15"/>
        <v>-11104337.738668263</v>
      </c>
      <c r="Y74" s="187">
        <f t="shared" ca="1" si="16"/>
        <v>73315986.187789023</v>
      </c>
      <c r="Z74" s="187">
        <f>IF(C74="","",IF($B$31=0,"",-'Debt Financing Calculations'!F23))</f>
        <v>0</v>
      </c>
      <c r="AA74" s="187">
        <f t="shared" ca="1" si="17"/>
        <v>45354650.982401624</v>
      </c>
      <c r="AB74" s="187">
        <f t="shared" ca="1" si="23"/>
        <v>-74106091.917245433</v>
      </c>
      <c r="AC74" s="1155">
        <f t="shared" ca="1" si="18"/>
        <v>56458988.721069887</v>
      </c>
      <c r="AD74" s="134"/>
      <c r="AE74" s="1159">
        <f t="shared" ca="1" si="19"/>
        <v>124628629.5</v>
      </c>
      <c r="AF74" s="1155">
        <f t="shared" si="20"/>
        <v>0</v>
      </c>
    </row>
    <row r="75" spans="1:32" x14ac:dyDescent="0.25">
      <c r="A75" s="58">
        <f t="shared" si="21"/>
        <v>2047</v>
      </c>
      <c r="B75" s="185">
        <f>IF(MAX($B$65:B74)&lt;(construct+anal_period),B74+1,"")</f>
        <v>11</v>
      </c>
      <c r="C75" s="185">
        <f t="shared" si="22"/>
        <v>8</v>
      </c>
      <c r="D75" s="185">
        <f t="shared" si="1"/>
        <v>8</v>
      </c>
      <c r="E75" s="186">
        <f t="shared" si="2"/>
        <v>1.1408256785632938</v>
      </c>
      <c r="F75" s="59">
        <f t="shared" ca="1" si="3"/>
        <v>388215271.88465679</v>
      </c>
      <c r="G75" s="1168"/>
      <c r="H75" s="1177">
        <f t="shared" si="24"/>
        <v>0</v>
      </c>
      <c r="I75" s="187">
        <f ca="1">IF(OR(C75&lt;0,C75=""),"",-E75*INDEX('Replacement Costs'!$A$16:$H$57,MATCH(C75,'Replacement Costs'!$C$16:$C$57,0),MATCH("Total Yearly Replacement Costs",'Replacement Costs'!$A$16:$H$16,0)))</f>
        <v>-27372421.374521151</v>
      </c>
      <c r="J75" s="187">
        <f ca="1">IF(AND(C75&gt;=1,C75&lt;anal_period),WorkingCap*SUM(N75:R75)-WorkingCap*SUM(N74:R74),IF(C75&lt;0,0,IF(B75="","",-SUM(J$65:J74))))</f>
        <v>-1155986.5202280208</v>
      </c>
      <c r="K75" s="187" t="str">
        <f t="shared" si="4"/>
        <v/>
      </c>
      <c r="L75" s="187" t="str">
        <f t="shared" si="5"/>
        <v/>
      </c>
      <c r="M75" s="187" t="str">
        <f t="shared" si="6"/>
        <v/>
      </c>
      <c r="N75" s="187">
        <f t="shared" ca="1" si="7"/>
        <v>-23639222.334547766</v>
      </c>
      <c r="O75" s="187">
        <f t="shared" ca="1" si="8"/>
        <v>-220819952.98974445</v>
      </c>
      <c r="P75" s="187">
        <f t="shared" ca="1" si="9"/>
        <v>0</v>
      </c>
      <c r="Q75" s="187">
        <f t="shared" ca="1" si="10"/>
        <v>0</v>
      </c>
      <c r="R75" s="187">
        <f t="shared" ca="1" si="11"/>
        <v>-45772898.647335991</v>
      </c>
      <c r="S75" s="187">
        <f ca="1">IF(B75="","",IF($B$31=0,"",-'Debt Financing Calculations'!E24))</f>
        <v>-14030893.216149881</v>
      </c>
      <c r="T75" s="187">
        <f t="shared" ca="1" si="12"/>
        <v>83952304.696878731</v>
      </c>
      <c r="U75" s="187">
        <f ca="1">IF(C75="","",IF(C75&lt;-1,0,IF(C75=anal_period,-LOOKUP(C75,depr_yr,depr_cost)-Depreciation!$C$141-Depreciation!$B$166,-LOOKUP(C75,depr_yr,depr_cost))))</f>
        <v>-40221595.968161933</v>
      </c>
      <c r="V75" s="187">
        <f t="shared" ca="1" si="13"/>
        <v>43730708.728716798</v>
      </c>
      <c r="W75" s="188">
        <f t="shared" si="14"/>
        <v>0.25739999999999996</v>
      </c>
      <c r="X75" s="187">
        <f t="shared" ca="1" si="15"/>
        <v>-11256284.426771702</v>
      </c>
      <c r="Y75" s="187">
        <f t="shared" ca="1" si="16"/>
        <v>72696020.270107031</v>
      </c>
      <c r="Z75" s="187">
        <f>IF(C75="","",IF($B$31=0,"",-'Debt Financing Calculations'!F24))</f>
        <v>0</v>
      </c>
      <c r="AA75" s="187">
        <f t="shared" ca="1" si="17"/>
        <v>44167612.375357859</v>
      </c>
      <c r="AB75" s="187">
        <f t="shared" ca="1" si="23"/>
        <v>-29938479.541887574</v>
      </c>
      <c r="AC75" s="1155">
        <f t="shared" ca="1" si="18"/>
        <v>55423896.802129559</v>
      </c>
      <c r="AD75" s="134"/>
      <c r="AE75" s="1159">
        <f t="shared" ca="1" si="19"/>
        <v>124628629.5</v>
      </c>
      <c r="AF75" s="1155">
        <f t="shared" si="20"/>
        <v>0</v>
      </c>
    </row>
    <row r="76" spans="1:32" x14ac:dyDescent="0.25">
      <c r="A76" s="58">
        <f t="shared" si="21"/>
        <v>2048</v>
      </c>
      <c r="B76" s="185">
        <f>IF(MAX($B$65:B75)&lt;(construct+anal_period),B75+1,"")</f>
        <v>12</v>
      </c>
      <c r="C76" s="185">
        <f t="shared" si="22"/>
        <v>9</v>
      </c>
      <c r="D76" s="185">
        <f t="shared" si="1"/>
        <v>9</v>
      </c>
      <c r="E76" s="186">
        <f t="shared" si="2"/>
        <v>1.1625013664559962</v>
      </c>
      <c r="F76" s="59">
        <f t="shared" ca="1" si="3"/>
        <v>395591362.05046523</v>
      </c>
      <c r="G76" s="1168"/>
      <c r="H76" s="1177">
        <f t="shared" si="24"/>
        <v>0</v>
      </c>
      <c r="I76" s="187">
        <f ca="1">IF(OR(C76&lt;0,C76=""),"",-E76*INDEX('Replacement Costs'!$A$16:$H$57,MATCH(C76,'Replacement Costs'!$C$16:$C$57,0),MATCH("Total Yearly Replacement Costs",'Replacement Costs'!$A$16:$H$16,0)))</f>
        <v>-27892497.38063705</v>
      </c>
      <c r="J76" s="187">
        <f ca="1">IF(AND(C76&gt;=1,C76&lt;anal_period),WorkingCap*SUM(N76:R76)-WorkingCap*SUM(N75:R75),IF(C76&lt;0,0,IF(B76="","",-SUM(J$65:J75))))</f>
        <v>-1452345.7434916645</v>
      </c>
      <c r="K76" s="187" t="str">
        <f t="shared" si="4"/>
        <v/>
      </c>
      <c r="L76" s="187" t="str">
        <f t="shared" si="5"/>
        <v/>
      </c>
      <c r="M76" s="187" t="str">
        <f t="shared" si="6"/>
        <v/>
      </c>
      <c r="N76" s="187">
        <f t="shared" ca="1" si="7"/>
        <v>-24088367.558904171</v>
      </c>
      <c r="O76" s="187">
        <f t="shared" ca="1" si="8"/>
        <v>-229139966.17138976</v>
      </c>
      <c r="P76" s="187">
        <f t="shared" ca="1" si="9"/>
        <v>0</v>
      </c>
      <c r="Q76" s="187">
        <f t="shared" ca="1" si="10"/>
        <v>0</v>
      </c>
      <c r="R76" s="187">
        <f t="shared" ca="1" si="11"/>
        <v>-46686045.197945356</v>
      </c>
      <c r="S76" s="187">
        <f ca="1">IF(B76="","",IF($B$31=0,"",-'Debt Financing Calculations'!E25))</f>
        <v>-14030893.216149881</v>
      </c>
      <c r="T76" s="187">
        <f t="shared" ca="1" si="12"/>
        <v>81646089.906076074</v>
      </c>
      <c r="U76" s="187">
        <f ca="1">IF(C76="","",IF(C76&lt;-1,0,IF(C76=anal_period,-LOOKUP(C76,depr_yr,depr_cost)-Depreciation!$C$141-Depreciation!$B$166,-LOOKUP(C76,depr_yr,depr_cost))))</f>
        <v>-41125429.133613952</v>
      </c>
      <c r="V76" s="187">
        <f t="shared" ca="1" si="13"/>
        <v>40520660.772462122</v>
      </c>
      <c r="W76" s="188">
        <f t="shared" si="14"/>
        <v>0.25739999999999996</v>
      </c>
      <c r="X76" s="187">
        <f t="shared" ca="1" si="15"/>
        <v>-10430018.082831748</v>
      </c>
      <c r="Y76" s="187">
        <f t="shared" ca="1" si="16"/>
        <v>71216071.823244333</v>
      </c>
      <c r="Z76" s="187">
        <f>IF(C76="","",IF($B$31=0,"",-'Debt Financing Calculations'!F25))</f>
        <v>0</v>
      </c>
      <c r="AA76" s="187">
        <f t="shared" ca="1" si="17"/>
        <v>41871228.699115612</v>
      </c>
      <c r="AB76" s="187">
        <f t="shared" ca="1" si="23"/>
        <v>11932749.157228038</v>
      </c>
      <c r="AC76" s="1155">
        <f t="shared" ca="1" si="18"/>
        <v>52301246.781947359</v>
      </c>
      <c r="AD76" s="134"/>
      <c r="AE76" s="1159">
        <f t="shared" ca="1" si="19"/>
        <v>124628629.5</v>
      </c>
      <c r="AF76" s="1155">
        <f t="shared" si="20"/>
        <v>0</v>
      </c>
    </row>
    <row r="77" spans="1:32" x14ac:dyDescent="0.25">
      <c r="A77" s="58">
        <f t="shared" si="21"/>
        <v>2049</v>
      </c>
      <c r="B77" s="185">
        <f>IF(MAX($B$65:B76)&lt;(construct+anal_period),B76+1,"")</f>
        <v>13</v>
      </c>
      <c r="C77" s="185">
        <f t="shared" si="22"/>
        <v>10</v>
      </c>
      <c r="D77" s="185">
        <f t="shared" si="1"/>
        <v>10</v>
      </c>
      <c r="E77" s="186">
        <f t="shared" si="2"/>
        <v>1.1845888924186601</v>
      </c>
      <c r="F77" s="59">
        <f t="shared" ca="1" si="3"/>
        <v>403107597.92942405</v>
      </c>
      <c r="G77" s="1168"/>
      <c r="H77" s="1177">
        <f t="shared" si="24"/>
        <v>0</v>
      </c>
      <c r="I77" s="187">
        <f ca="1">IF(OR(C77&lt;0,C77=""),"",-E77*INDEX('Replacement Costs'!$A$16:$H$57,MATCH(C77,'Replacement Costs'!$C$16:$C$57,0),MATCH("Total Yearly Replacement Costs",'Replacement Costs'!$A$16:$H$16,0)))</f>
        <v>-28422454.830869149</v>
      </c>
      <c r="J77" s="187">
        <f ca="1">IF(AND(C77&gt;=1,C77&lt;anal_period),WorkingCap*SUM(N77:R77)-WorkingCap*SUM(N76:R76),IF(C77&lt;0,0,IF(B77="","",-SUM(J$65:J76))))</f>
        <v>-1065632.4929903075</v>
      </c>
      <c r="K77" s="187" t="str">
        <f t="shared" si="4"/>
        <v/>
      </c>
      <c r="L77" s="187" t="str">
        <f t="shared" si="5"/>
        <v/>
      </c>
      <c r="M77" s="187" t="str">
        <f t="shared" si="6"/>
        <v/>
      </c>
      <c r="N77" s="187">
        <f t="shared" ca="1" si="7"/>
        <v>-24546046.542523347</v>
      </c>
      <c r="O77" s="187">
        <f t="shared" ca="1" si="8"/>
        <v>-234861098.66153765</v>
      </c>
      <c r="P77" s="187">
        <f t="shared" ca="1" si="9"/>
        <v>0</v>
      </c>
      <c r="Q77" s="187">
        <f t="shared" ca="1" si="10"/>
        <v>0</v>
      </c>
      <c r="R77" s="187">
        <f t="shared" ca="1" si="11"/>
        <v>-47611450.3441137</v>
      </c>
      <c r="S77" s="187">
        <f ca="1">IF(B77="","",IF($B$31=0,"",-'Debt Financing Calculations'!E26))</f>
        <v>-14030893.216149881</v>
      </c>
      <c r="T77" s="187">
        <f t="shared" ca="1" si="12"/>
        <v>82058109.165099502</v>
      </c>
      <c r="U77" s="187">
        <f ca="1">IF(C77="","",IF(C77&lt;-1,0,IF(C77=anal_period,-LOOKUP(C77,depr_yr,depr_cost)-Depreciation!$C$141-Depreciation!$B$166,-LOOKUP(C77,depr_yr,depr_cost))))</f>
        <v>-42429892.963947833</v>
      </c>
      <c r="V77" s="187">
        <f t="shared" ca="1" si="13"/>
        <v>39628216.201151669</v>
      </c>
      <c r="W77" s="188">
        <f t="shared" si="14"/>
        <v>0.25739999999999996</v>
      </c>
      <c r="X77" s="187">
        <f t="shared" ca="1" si="15"/>
        <v>-10200302.850176439</v>
      </c>
      <c r="Y77" s="187">
        <f t="shared" ca="1" si="16"/>
        <v>71857806.314923063</v>
      </c>
      <c r="Z77" s="187">
        <f>IF(C77="","",IF($B$31=0,"",-'Debt Financing Calculations'!F26))</f>
        <v>0</v>
      </c>
      <c r="AA77" s="187">
        <f t="shared" ca="1" si="17"/>
        <v>42369718.99106361</v>
      </c>
      <c r="AB77" s="187">
        <f t="shared" ca="1" si="23"/>
        <v>54302468.148291647</v>
      </c>
      <c r="AC77" s="1155">
        <f t="shared" ca="1" si="18"/>
        <v>52570021.841240048</v>
      </c>
      <c r="AD77" s="134"/>
      <c r="AE77" s="1159">
        <f t="shared" ca="1" si="19"/>
        <v>124628629.5</v>
      </c>
      <c r="AF77" s="1155">
        <f t="shared" si="20"/>
        <v>0</v>
      </c>
    </row>
    <row r="78" spans="1:32" x14ac:dyDescent="0.25">
      <c r="A78" s="58">
        <f t="shared" si="21"/>
        <v>2050</v>
      </c>
      <c r="B78" s="185">
        <f>IF(MAX($B$65:B77)&lt;(construct+anal_period),B77+1,"")</f>
        <v>14</v>
      </c>
      <c r="C78" s="185">
        <f t="shared" si="22"/>
        <v>11</v>
      </c>
      <c r="D78" s="185">
        <f t="shared" si="1"/>
        <v>11</v>
      </c>
      <c r="E78" s="186">
        <f t="shared" si="2"/>
        <v>1.2070960813746145</v>
      </c>
      <c r="F78" s="59">
        <f t="shared" ca="1" si="3"/>
        <v>410766642.29008311</v>
      </c>
      <c r="G78" s="1168"/>
      <c r="H78" s="1177">
        <f t="shared" si="24"/>
        <v>0</v>
      </c>
      <c r="I78" s="187">
        <f ca="1">IF(OR(C78&lt;0,C78=""),"",-E78*INDEX('Replacement Costs'!$A$16:$H$57,MATCH(C78,'Replacement Costs'!$C$16:$C$57,0),MATCH("Total Yearly Replacement Costs",'Replacement Costs'!$A$16:$H$16,0)))</f>
        <v>-28962481.472655665</v>
      </c>
      <c r="J78" s="187">
        <f ca="1">IF(AND(C78&gt;=1,C78&lt;anal_period),WorkingCap*SUM(N78:R78)-WorkingCap*SUM(N77:R77),IF(C78&lt;0,0,IF(B78="","",-SUM(J$65:J77))))</f>
        <v>-1335210.4117138609</v>
      </c>
      <c r="K78" s="187" t="str">
        <f t="shared" si="4"/>
        <v/>
      </c>
      <c r="L78" s="187" t="str">
        <f t="shared" si="5"/>
        <v/>
      </c>
      <c r="M78" s="187" t="str">
        <f t="shared" si="6"/>
        <v/>
      </c>
      <c r="N78" s="187">
        <f t="shared" ca="1" si="7"/>
        <v>-25012421.42683129</v>
      </c>
      <c r="O78" s="187">
        <f t="shared" ca="1" si="8"/>
        <v>-242353603.08887172</v>
      </c>
      <c r="P78" s="187">
        <f t="shared" ca="1" si="9"/>
        <v>0</v>
      </c>
      <c r="Q78" s="187">
        <f t="shared" ca="1" si="10"/>
        <v>0</v>
      </c>
      <c r="R78" s="187">
        <f t="shared" ca="1" si="11"/>
        <v>-48553973.777230754</v>
      </c>
      <c r="S78" s="187">
        <f ca="1">IF(B78="","",IF($B$31=0,"",-'Debt Financing Calculations'!E27))</f>
        <v>-14030893.216149881</v>
      </c>
      <c r="T78" s="187">
        <f t="shared" ca="1" si="12"/>
        <v>80815750.780999482</v>
      </c>
      <c r="U78" s="187">
        <f ca="1">IF(C78="","",IF(C78&lt;-1,0,IF(C78=anal_period,-LOOKUP(C78,depr_yr,depr_cost)-Depreciation!$C$141-Depreciation!$B$166,-LOOKUP(C78,depr_yr,depr_cost))))</f>
        <v>-43772262.915657118</v>
      </c>
      <c r="V78" s="187">
        <f t="shared" ca="1" si="13"/>
        <v>37043487.865342364</v>
      </c>
      <c r="W78" s="188">
        <f t="shared" si="14"/>
        <v>0.25739999999999996</v>
      </c>
      <c r="X78" s="187">
        <f t="shared" ca="1" si="15"/>
        <v>-9534993.7765391227</v>
      </c>
      <c r="Y78" s="187">
        <f t="shared" ca="1" si="16"/>
        <v>71280757.004460365</v>
      </c>
      <c r="Z78" s="187">
        <f>IF(C78="","",IF($B$31=0,"",-'Debt Financing Calculations'!F27))</f>
        <v>0</v>
      </c>
      <c r="AA78" s="187">
        <f t="shared" ca="1" si="17"/>
        <v>40983065.120090835</v>
      </c>
      <c r="AB78" s="187">
        <f t="shared" ca="1" si="23"/>
        <v>95285533.26838249</v>
      </c>
      <c r="AC78" s="1155">
        <f t="shared" ca="1" si="18"/>
        <v>50518058.896629959</v>
      </c>
      <c r="AD78" s="134"/>
      <c r="AE78" s="1159">
        <f t="shared" ca="1" si="19"/>
        <v>124628629.5</v>
      </c>
      <c r="AF78" s="1155">
        <f t="shared" si="20"/>
        <v>0</v>
      </c>
    </row>
    <row r="79" spans="1:32" x14ac:dyDescent="0.25">
      <c r="A79" s="58">
        <f t="shared" si="21"/>
        <v>2051</v>
      </c>
      <c r="B79" s="185">
        <f>IF(MAX($B$65:B78)&lt;(construct+anal_period),B78+1,"")</f>
        <v>15</v>
      </c>
      <c r="C79" s="185">
        <f t="shared" si="22"/>
        <v>12</v>
      </c>
      <c r="D79" s="185">
        <f t="shared" si="1"/>
        <v>12</v>
      </c>
      <c r="E79" s="186">
        <f t="shared" si="2"/>
        <v>1.2300309069207322</v>
      </c>
      <c r="F79" s="59">
        <f t="shared" ca="1" si="3"/>
        <v>418571208.49359471</v>
      </c>
      <c r="G79" s="1168"/>
      <c r="H79" s="1177">
        <f t="shared" si="24"/>
        <v>0</v>
      </c>
      <c r="I79" s="187">
        <f ca="1">IF(OR(C79&lt;0,C79=""),"",-E79*INDEX('Replacement Costs'!$A$16:$H$57,MATCH(C79,'Replacement Costs'!$C$16:$C$57,0),MATCH("Total Yearly Replacement Costs",'Replacement Costs'!$A$16:$H$16,0)))</f>
        <v>-29512768.62063612</v>
      </c>
      <c r="J79" s="187">
        <f ca="1">IF(AND(C79&gt;=1,C79&lt;anal_period),WorkingCap*SUM(N79:R79)-WorkingCap*SUM(N78:R78),IF(C79&lt;0,0,IF(B79="","",-SUM(J$65:J78))))</f>
        <v>-1108014.3796725124</v>
      </c>
      <c r="K79" s="187" t="str">
        <f t="shared" si="4"/>
        <v/>
      </c>
      <c r="L79" s="187" t="str">
        <f t="shared" si="5"/>
        <v/>
      </c>
      <c r="M79" s="187" t="str">
        <f t="shared" si="6"/>
        <v/>
      </c>
      <c r="N79" s="187">
        <f t="shared" ca="1" si="7"/>
        <v>-25487657.433941085</v>
      </c>
      <c r="O79" s="187">
        <f t="shared" ca="1" si="8"/>
        <v>-248331247.15363747</v>
      </c>
      <c r="P79" s="187">
        <f t="shared" ca="1" si="9"/>
        <v>0</v>
      </c>
      <c r="Q79" s="187">
        <f t="shared" ca="1" si="10"/>
        <v>0</v>
      </c>
      <c r="R79" s="187">
        <f t="shared" ca="1" si="11"/>
        <v>-49487856.23650533</v>
      </c>
      <c r="S79" s="187">
        <f ca="1">IF(B79="","",IF($B$31=0,"",-'Debt Financing Calculations'!E28))</f>
        <v>-14030893.216149881</v>
      </c>
      <c r="T79" s="187">
        <f t="shared" ca="1" si="12"/>
        <v>81233554.453360975</v>
      </c>
      <c r="U79" s="187">
        <f ca="1">IF(C79="","",IF(C79&lt;-1,0,IF(C79=anal_period,-LOOKUP(C79,depr_yr,depr_cost)-Depreciation!$C$141-Depreciation!$B$166,-LOOKUP(C79,depr_yr,depr_cost))))</f>
        <v>-45127016.587849796</v>
      </c>
      <c r="V79" s="187">
        <f t="shared" ca="1" si="13"/>
        <v>36106537.865511179</v>
      </c>
      <c r="W79" s="188">
        <f t="shared" si="14"/>
        <v>0.25739999999999996</v>
      </c>
      <c r="X79" s="187">
        <f t="shared" ca="1" si="15"/>
        <v>-9293822.8465825766</v>
      </c>
      <c r="Y79" s="187">
        <f t="shared" ca="1" si="16"/>
        <v>71939731.606778398</v>
      </c>
      <c r="Z79" s="187">
        <f>IF(C79="","",IF($B$31=0,"",-'Debt Financing Calculations'!F28))</f>
        <v>0</v>
      </c>
      <c r="AA79" s="187">
        <f t="shared" ca="1" si="17"/>
        <v>41318948.606469765</v>
      </c>
      <c r="AB79" s="187">
        <f t="shared" ca="1" si="23"/>
        <v>136604481.87485224</v>
      </c>
      <c r="AC79" s="1155">
        <f t="shared" ca="1" si="18"/>
        <v>50612771.453052342</v>
      </c>
      <c r="AD79" s="134"/>
      <c r="AE79" s="1159">
        <f t="shared" ca="1" si="19"/>
        <v>124628629.5</v>
      </c>
      <c r="AF79" s="1155">
        <f t="shared" si="20"/>
        <v>0</v>
      </c>
    </row>
    <row r="80" spans="1:32" x14ac:dyDescent="0.25">
      <c r="A80" s="58">
        <f t="shared" si="21"/>
        <v>2052</v>
      </c>
      <c r="B80" s="185">
        <f>IF(MAX($B$65:B79)&lt;(construct+anal_period),B79+1,"")</f>
        <v>16</v>
      </c>
      <c r="C80" s="185">
        <f t="shared" si="22"/>
        <v>13</v>
      </c>
      <c r="D80" s="185">
        <f t="shared" si="1"/>
        <v>13</v>
      </c>
      <c r="E80" s="186">
        <f t="shared" si="2"/>
        <v>1.253401494152226</v>
      </c>
      <c r="F80" s="59">
        <f t="shared" ca="1" si="3"/>
        <v>426524061.45497292</v>
      </c>
      <c r="G80" s="1168"/>
      <c r="H80" s="1177">
        <f t="shared" si="24"/>
        <v>0</v>
      </c>
      <c r="I80" s="187">
        <f ca="1">IF(OR(C80&lt;0,C80=""),"",-E80*INDEX('Replacement Costs'!$A$16:$H$57,MATCH(C80,'Replacement Costs'!$C$16:$C$57,0),MATCH("Total Yearly Replacement Costs",'Replacement Costs'!$A$16:$H$16,0)))</f>
        <v>-30073511.224428207</v>
      </c>
      <c r="J80" s="187">
        <f ca="1">IF(AND(C80&gt;=1,C80&lt;anal_period),WorkingCap*SUM(N80:R80)-WorkingCap*SUM(N79:R79),IF(C80&lt;0,0,IF(B80="","",-SUM(J$65:J79))))</f>
        <v>-1134180.0696999207</v>
      </c>
      <c r="K80" s="187" t="str">
        <f t="shared" si="4"/>
        <v/>
      </c>
      <c r="L80" s="187" t="str">
        <f t="shared" si="5"/>
        <v/>
      </c>
      <c r="M80" s="187" t="str">
        <f t="shared" si="6"/>
        <v/>
      </c>
      <c r="N80" s="187">
        <f t="shared" ca="1" si="7"/>
        <v>-25971922.925185964</v>
      </c>
      <c r="O80" s="187">
        <f t="shared" ca="1" si="8"/>
        <v>-254456329.62290645</v>
      </c>
      <c r="P80" s="187">
        <f t="shared" ca="1" si="9"/>
        <v>0</v>
      </c>
      <c r="Q80" s="187">
        <f t="shared" ca="1" si="10"/>
        <v>0</v>
      </c>
      <c r="R80" s="187">
        <f t="shared" ca="1" si="11"/>
        <v>-50439708.740657553</v>
      </c>
      <c r="S80" s="187">
        <f ca="1">IF(B80="","",IF($B$31=0,"",-'Debt Financing Calculations'!E29))</f>
        <v>-14030893.216149881</v>
      </c>
      <c r="T80" s="187">
        <f t="shared" ca="1" si="12"/>
        <v>81625206.950073063</v>
      </c>
      <c r="U80" s="187">
        <f ca="1">IF(C80="","",IF(C80&lt;-1,0,IF(C80=anal_period,-LOOKUP(C80,depr_yr,depr_cost)-Depreciation!$C$141-Depreciation!$B$166,-LOOKUP(C80,depr_yr,depr_cost))))</f>
        <v>-46520631.888413228</v>
      </c>
      <c r="V80" s="187">
        <f t="shared" ca="1" si="13"/>
        <v>35104575.061659835</v>
      </c>
      <c r="W80" s="188">
        <f t="shared" si="14"/>
        <v>0.25739999999999996</v>
      </c>
      <c r="X80" s="187">
        <f t="shared" ca="1" si="15"/>
        <v>-9035917.6208712403</v>
      </c>
      <c r="Y80" s="187">
        <f t="shared" ca="1" si="16"/>
        <v>72589289.329201818</v>
      </c>
      <c r="Z80" s="187">
        <f>IF(C80="","",IF($B$31=0,"",-'Debt Financing Calculations'!F29))</f>
        <v>0</v>
      </c>
      <c r="AA80" s="187">
        <f t="shared" ca="1" si="17"/>
        <v>41381598.035073698</v>
      </c>
      <c r="AB80" s="187">
        <f t="shared" ca="1" si="23"/>
        <v>177986079.90992594</v>
      </c>
      <c r="AC80" s="1155">
        <f t="shared" ca="1" si="18"/>
        <v>50417515.655944936</v>
      </c>
      <c r="AD80" s="134"/>
      <c r="AE80" s="1159">
        <f t="shared" ca="1" si="19"/>
        <v>124628629.5</v>
      </c>
      <c r="AF80" s="1155">
        <f t="shared" si="20"/>
        <v>0</v>
      </c>
    </row>
    <row r="81" spans="1:32" x14ac:dyDescent="0.25">
      <c r="A81" s="58">
        <f t="shared" si="21"/>
        <v>2053</v>
      </c>
      <c r="B81" s="185">
        <f>IF(MAX($B$65:B80)&lt;(construct+anal_period),B80+1,"")</f>
        <v>17</v>
      </c>
      <c r="C81" s="185">
        <f t="shared" si="22"/>
        <v>14</v>
      </c>
      <c r="D81" s="185">
        <f t="shared" si="1"/>
        <v>14</v>
      </c>
      <c r="E81" s="186">
        <f t="shared" si="2"/>
        <v>1.277216122541118</v>
      </c>
      <c r="F81" s="59">
        <f t="shared" ca="1" si="3"/>
        <v>434628018.6226173</v>
      </c>
      <c r="G81" s="1168"/>
      <c r="H81" s="1177">
        <f t="shared" si="24"/>
        <v>0</v>
      </c>
      <c r="I81" s="187">
        <f ca="1">IF(OR(C81&lt;0,C81=""),"",-E81*INDEX('Replacement Costs'!$A$16:$H$57,MATCH(C81,'Replacement Costs'!$C$16:$C$57,0),MATCH("Total Yearly Replacement Costs",'Replacement Costs'!$A$16:$H$16,0)))</f>
        <v>-30644907.937692333</v>
      </c>
      <c r="J81" s="187">
        <f ca="1">IF(AND(C81&gt;=1,C81&lt;anal_period),WorkingCap*SUM(N81:R81)-WorkingCap*SUM(N80:R80),IF(C81&lt;0,0,IF(B81="","",-SUM(J$65:J80))))</f>
        <v>-1160968.8691938296</v>
      </c>
      <c r="K81" s="187" t="str">
        <f t="shared" si="4"/>
        <v/>
      </c>
      <c r="L81" s="187" t="str">
        <f t="shared" si="5"/>
        <v/>
      </c>
      <c r="M81" s="187" t="str">
        <f t="shared" si="6"/>
        <v/>
      </c>
      <c r="N81" s="187">
        <f t="shared" ca="1" si="7"/>
        <v>-26465389.46076449</v>
      </c>
      <c r="O81" s="187">
        <f t="shared" ca="1" si="8"/>
        <v>-260732487.06032926</v>
      </c>
      <c r="P81" s="187">
        <f t="shared" ca="1" si="9"/>
        <v>0</v>
      </c>
      <c r="Q81" s="187">
        <f t="shared" ca="1" si="10"/>
        <v>0</v>
      </c>
      <c r="R81" s="187">
        <f t="shared" ca="1" si="11"/>
        <v>-51409877.228948459</v>
      </c>
      <c r="S81" s="187">
        <f ca="1">IF(B81="","",IF($B$31=0,"",-'Debt Financing Calculations'!E30))</f>
        <v>-14030893.216149881</v>
      </c>
      <c r="T81" s="187">
        <f t="shared" ca="1" si="12"/>
        <v>81989371.656425238</v>
      </c>
      <c r="U81" s="187">
        <f ca="1">IF(C81="","",IF(C81&lt;-1,0,IF(C81=anal_period,-LOOKUP(C81,depr_yr,depr_cost)-Depreciation!$C$141-Depreciation!$B$166,-LOOKUP(C81,depr_yr,depr_cost))))</f>
        <v>-47927604.571088292</v>
      </c>
      <c r="V81" s="187">
        <f t="shared" ca="1" si="13"/>
        <v>34061767.085336946</v>
      </c>
      <c r="W81" s="188">
        <f t="shared" si="14"/>
        <v>0.25739999999999996</v>
      </c>
      <c r="X81" s="187">
        <f t="shared" ca="1" si="15"/>
        <v>-8767498.8477657288</v>
      </c>
      <c r="Y81" s="187">
        <f t="shared" ca="1" si="16"/>
        <v>73221872.808659509</v>
      </c>
      <c r="Z81" s="187">
        <f>IF(C81="","",IF($B$31=0,"",-'Debt Financing Calculations'!F30))</f>
        <v>0</v>
      </c>
      <c r="AA81" s="187">
        <f t="shared" ca="1" si="17"/>
        <v>41415996.001773342</v>
      </c>
      <c r="AB81" s="187">
        <f t="shared" ca="1" si="23"/>
        <v>219402075.9116993</v>
      </c>
      <c r="AC81" s="1155">
        <f t="shared" ca="1" si="18"/>
        <v>50183494.849539071</v>
      </c>
      <c r="AD81" s="134"/>
      <c r="AE81" s="1159">
        <f t="shared" ca="1" si="19"/>
        <v>124628629.5</v>
      </c>
      <c r="AF81" s="1155">
        <f t="shared" si="20"/>
        <v>0</v>
      </c>
    </row>
    <row r="82" spans="1:32" x14ac:dyDescent="0.25">
      <c r="A82" s="58">
        <f t="shared" si="21"/>
        <v>2054</v>
      </c>
      <c r="B82" s="185">
        <f>IF(MAX($B$65:B81)&lt;(construct+anal_period),B81+1,"")</f>
        <v>18</v>
      </c>
      <c r="C82" s="185">
        <f t="shared" si="22"/>
        <v>15</v>
      </c>
      <c r="D82" s="185">
        <f t="shared" si="1"/>
        <v>15</v>
      </c>
      <c r="E82" s="186">
        <f t="shared" si="2"/>
        <v>1.3014832288693996</v>
      </c>
      <c r="F82" s="59">
        <f t="shared" ca="1" si="3"/>
        <v>442885950.97644717</v>
      </c>
      <c r="G82" s="1168"/>
      <c r="H82" s="1177">
        <f t="shared" si="24"/>
        <v>0</v>
      </c>
      <c r="I82" s="187">
        <f ca="1">IF(OR(C82&lt;0,C82=""),"",-E82*INDEX('Replacement Costs'!$A$16:$H$57,MATCH(C82,'Replacement Costs'!$C$16:$C$57,0),MATCH("Total Yearly Replacement Costs",'Replacement Costs'!$A$16:$H$16,0)))</f>
        <v>-31227161.188508496</v>
      </c>
      <c r="J82" s="187">
        <f ca="1">IF(AND(C82&gt;=1,C82&lt;anal_period),WorkingCap*SUM(N82:R82)-WorkingCap*SUM(N81:R81),IF(C82&lt;0,0,IF(B82="","",-SUM(J$65:J81))))</f>
        <v>-1188395.7208611071</v>
      </c>
      <c r="K82" s="187" t="str">
        <f t="shared" si="4"/>
        <v/>
      </c>
      <c r="L82" s="187" t="str">
        <f t="shared" si="5"/>
        <v/>
      </c>
      <c r="M82" s="187" t="str">
        <f t="shared" si="6"/>
        <v/>
      </c>
      <c r="N82" s="187">
        <f t="shared" ca="1" si="7"/>
        <v>-26968231.860519022</v>
      </c>
      <c r="O82" s="187">
        <f t="shared" ca="1" si="8"/>
        <v>-267163445.72528577</v>
      </c>
      <c r="P82" s="187">
        <f t="shared" ca="1" si="9"/>
        <v>0</v>
      </c>
      <c r="Q82" s="187">
        <f t="shared" ca="1" si="10"/>
        <v>0</v>
      </c>
      <c r="R82" s="187">
        <f t="shared" ca="1" si="11"/>
        <v>-52398714.3033114</v>
      </c>
      <c r="S82" s="187">
        <f ca="1">IF(B82="","",IF($B$31=0,"",-'Debt Financing Calculations'!E31))</f>
        <v>-14030893.216149881</v>
      </c>
      <c r="T82" s="187">
        <f t="shared" ca="1" si="12"/>
        <v>82324665.871181071</v>
      </c>
      <c r="U82" s="187">
        <f ca="1">IF(C82="","",IF(C82&lt;-1,0,IF(C82=anal_period,-LOOKUP(C82,depr_yr,depr_cost)-Depreciation!$C$141-Depreciation!$B$166,-LOOKUP(C82,depr_yr,depr_cost))))</f>
        <v>-49374431.043333232</v>
      </c>
      <c r="V82" s="187">
        <f t="shared" ca="1" si="13"/>
        <v>32950234.827847838</v>
      </c>
      <c r="W82" s="188">
        <f t="shared" si="14"/>
        <v>0.25739999999999996</v>
      </c>
      <c r="X82" s="187">
        <f t="shared" ca="1" si="15"/>
        <v>-8481390.4446880314</v>
      </c>
      <c r="Y82" s="187">
        <f t="shared" ca="1" si="16"/>
        <v>73843275.426493034</v>
      </c>
      <c r="Z82" s="187">
        <f>IF(C82="","",IF($B$31=0,"",-'Debt Financing Calculations'!F31))</f>
        <v>0</v>
      </c>
      <c r="AA82" s="187">
        <f t="shared" ca="1" si="17"/>
        <v>41427718.517123438</v>
      </c>
      <c r="AB82" s="187">
        <f t="shared" ca="1" si="23"/>
        <v>260829794.42882273</v>
      </c>
      <c r="AC82" s="1155">
        <f t="shared" ca="1" si="18"/>
        <v>49909108.961811468</v>
      </c>
      <c r="AD82" s="134"/>
      <c r="AE82" s="1159">
        <f t="shared" ca="1" si="19"/>
        <v>124628629.5</v>
      </c>
      <c r="AF82" s="1155">
        <f t="shared" si="20"/>
        <v>0</v>
      </c>
    </row>
    <row r="83" spans="1:32" x14ac:dyDescent="0.25">
      <c r="A83" s="58">
        <f t="shared" si="21"/>
        <v>2055</v>
      </c>
      <c r="B83" s="185">
        <f>IF(MAX($B$65:B82)&lt;(construct+anal_period),B82+1,"")</f>
        <v>19</v>
      </c>
      <c r="C83" s="185">
        <f t="shared" si="22"/>
        <v>16</v>
      </c>
      <c r="D83" s="185">
        <f t="shared" si="1"/>
        <v>16</v>
      </c>
      <c r="E83" s="186">
        <f t="shared" si="2"/>
        <v>1.3262114102179181</v>
      </c>
      <c r="F83" s="59">
        <f t="shared" ca="1" si="3"/>
        <v>451300784.04499966</v>
      </c>
      <c r="G83" s="1168"/>
      <c r="H83" s="1177">
        <f t="shared" si="24"/>
        <v>0</v>
      </c>
      <c r="I83" s="187">
        <f ca="1">IF(OR(C83&lt;0,C83=""),"",-E83*INDEX('Replacement Costs'!$A$16:$H$57,MATCH(C83,'Replacement Costs'!$C$16:$C$57,0),MATCH("Total Yearly Replacement Costs",'Replacement Costs'!$A$16:$H$16,0)))</f>
        <v>-31820477.251090154</v>
      </c>
      <c r="J83" s="187">
        <f ca="1">IF(AND(C83&gt;=1,C83&lt;anal_period),WorkingCap*SUM(N83:R83)-WorkingCap*SUM(N82:R82),IF(C83&lt;0,0,IF(B83="","",-SUM(J$65:J82))))</f>
        <v>-1216475.927806817</v>
      </c>
      <c r="K83" s="187" t="str">
        <f t="shared" si="4"/>
        <v/>
      </c>
      <c r="L83" s="187" t="str">
        <f t="shared" si="5"/>
        <v/>
      </c>
      <c r="M83" s="187" t="str">
        <f t="shared" si="6"/>
        <v/>
      </c>
      <c r="N83" s="187">
        <f t="shared" ca="1" si="7"/>
        <v>-27480628.265868884</v>
      </c>
      <c r="O83" s="187">
        <f t="shared" ca="1" si="8"/>
        <v>-273753023.78522694</v>
      </c>
      <c r="P83" s="187">
        <f t="shared" ca="1" si="9"/>
        <v>0</v>
      </c>
      <c r="Q83" s="187">
        <f t="shared" ca="1" si="10"/>
        <v>0</v>
      </c>
      <c r="R83" s="187">
        <f t="shared" ca="1" si="11"/>
        <v>-53406579.35673251</v>
      </c>
      <c r="S83" s="187">
        <f ca="1">IF(B83="","",IF($B$31=0,"",-'Debt Financing Calculations'!E32))</f>
        <v>-14030893.216149881</v>
      </c>
      <c r="T83" s="187">
        <f t="shared" ca="1" si="12"/>
        <v>82629659.421021461</v>
      </c>
      <c r="U83" s="187">
        <f ca="1">IF(C83="","",IF(C83&lt;-1,0,IF(C83=anal_period,-LOOKUP(C83,depr_yr,depr_cost)-Depreciation!$C$141-Depreciation!$B$166,-LOOKUP(C83,depr_yr,depr_cost))))</f>
        <v>-50835625.909951769</v>
      </c>
      <c r="V83" s="187">
        <f t="shared" ca="1" si="13"/>
        <v>31794033.511069693</v>
      </c>
      <c r="W83" s="188">
        <f t="shared" si="14"/>
        <v>0.25739999999999996</v>
      </c>
      <c r="X83" s="187">
        <f t="shared" ca="1" si="15"/>
        <v>-8183784.225749338</v>
      </c>
      <c r="Y83" s="187">
        <f t="shared" ca="1" si="16"/>
        <v>74445875.195272118</v>
      </c>
      <c r="Z83" s="187">
        <f>IF(C83="","",IF($B$31=0,"",-'Debt Financing Calculations'!F32))</f>
        <v>0</v>
      </c>
      <c r="AA83" s="187">
        <f t="shared" ca="1" si="17"/>
        <v>41408922.016375154</v>
      </c>
      <c r="AB83" s="187">
        <f t="shared" ca="1" si="23"/>
        <v>302238716.44519788</v>
      </c>
      <c r="AC83" s="1155">
        <f t="shared" ca="1" si="18"/>
        <v>49592706.24212449</v>
      </c>
      <c r="AD83" s="134"/>
      <c r="AE83" s="1159">
        <f t="shared" ca="1" si="19"/>
        <v>124628629.5</v>
      </c>
      <c r="AF83" s="1155">
        <f t="shared" si="20"/>
        <v>0</v>
      </c>
    </row>
    <row r="84" spans="1:32" x14ac:dyDescent="0.25">
      <c r="A84" s="58">
        <f t="shared" si="21"/>
        <v>2056</v>
      </c>
      <c r="B84" s="185">
        <f>IF(MAX($B$65:B83)&lt;(construct+anal_period),B83+1,"")</f>
        <v>20</v>
      </c>
      <c r="C84" s="185">
        <f t="shared" si="22"/>
        <v>17</v>
      </c>
      <c r="D84" s="185">
        <f t="shared" si="1"/>
        <v>17</v>
      </c>
      <c r="E84" s="186">
        <f t="shared" si="2"/>
        <v>1.3514094270120585</v>
      </c>
      <c r="F84" s="59">
        <f t="shared" ca="1" si="3"/>
        <v>459875498.9418546</v>
      </c>
      <c r="G84" s="1168"/>
      <c r="H84" s="1177">
        <f t="shared" si="24"/>
        <v>0</v>
      </c>
      <c r="I84" s="187">
        <f ca="1">IF(OR(C84&lt;0,C84=""),"",-E84*INDEX('Replacement Costs'!$A$16:$H$57,MATCH(C84,'Replacement Costs'!$C$16:$C$57,0),MATCH("Total Yearly Replacement Costs",'Replacement Costs'!$A$16:$H$16,0)))</f>
        <v>-32425066.318860866</v>
      </c>
      <c r="J84" s="187">
        <f ca="1">IF(AND(C84&gt;=1,C84&lt;anal_period),WorkingCap*SUM(N84:R84)-WorkingCap*SUM(N83:R83),IF(C84&lt;0,0,IF(B84="","",-SUM(J$65:J83))))</f>
        <v>-1237380.8834697753</v>
      </c>
      <c r="K84" s="187" t="str">
        <f t="shared" si="4"/>
        <v/>
      </c>
      <c r="L84" s="187" t="str">
        <f t="shared" si="5"/>
        <v/>
      </c>
      <c r="M84" s="187" t="str">
        <f t="shared" si="6"/>
        <v/>
      </c>
      <c r="N84" s="187">
        <f t="shared" ca="1" si="7"/>
        <v>-28002760.202920388</v>
      </c>
      <c r="O84" s="187">
        <f t="shared" ca="1" si="8"/>
        <v>-280451611.81009722</v>
      </c>
      <c r="P84" s="187">
        <f t="shared" ca="1" si="9"/>
        <v>0</v>
      </c>
      <c r="Q84" s="187">
        <f t="shared" ca="1" si="10"/>
        <v>0</v>
      </c>
      <c r="R84" s="187">
        <f t="shared" ca="1" si="11"/>
        <v>-54435065.284609281</v>
      </c>
      <c r="S84" s="187">
        <f ca="1">IF(B84="","",IF($B$31=0,"",-'Debt Financing Calculations'!E33))</f>
        <v>-14030893.216149881</v>
      </c>
      <c r="T84" s="187">
        <f t="shared" ca="1" si="12"/>
        <v>82955168.428077877</v>
      </c>
      <c r="U84" s="187">
        <f ca="1">IF(C84="","",IF(C84&lt;-1,0,IF(C84=anal_period,-LOOKUP(C84,depr_yr,depr_cost)-Depreciation!$C$141-Depreciation!$B$166,-LOOKUP(C84,depr_yr,depr_cost))))</f>
        <v>-52337704.78763514</v>
      </c>
      <c r="V84" s="187">
        <f t="shared" ca="1" si="13"/>
        <v>30617463.640442736</v>
      </c>
      <c r="W84" s="188">
        <f t="shared" si="14"/>
        <v>0.25739999999999996</v>
      </c>
      <c r="X84" s="187">
        <f t="shared" ca="1" si="15"/>
        <v>-7880935.1410499588</v>
      </c>
      <c r="Y84" s="187">
        <f t="shared" ca="1" si="16"/>
        <v>75074233.287027925</v>
      </c>
      <c r="Z84" s="187">
        <f>IF(C84="","",IF($B$31=0,"",-'Debt Financing Calculations'!F33))</f>
        <v>0</v>
      </c>
      <c r="AA84" s="187">
        <f t="shared" ca="1" si="17"/>
        <v>41411786.084697276</v>
      </c>
      <c r="AB84" s="187">
        <f t="shared" ca="1" si="23"/>
        <v>343650502.52989519</v>
      </c>
      <c r="AC84" s="1155">
        <f t="shared" ca="1" si="18"/>
        <v>49292721.225747235</v>
      </c>
      <c r="AD84" s="134"/>
      <c r="AE84" s="1159">
        <f t="shared" ca="1" si="19"/>
        <v>124628629.5</v>
      </c>
      <c r="AF84" s="1155">
        <f t="shared" si="20"/>
        <v>0</v>
      </c>
    </row>
    <row r="85" spans="1:32" x14ac:dyDescent="0.25">
      <c r="A85" s="58">
        <f t="shared" si="21"/>
        <v>2057</v>
      </c>
      <c r="B85" s="185">
        <f>IF(MAX($B$65:B84)&lt;(construct+anal_period),B84+1,"")</f>
        <v>21</v>
      </c>
      <c r="C85" s="185">
        <f t="shared" si="22"/>
        <v>18</v>
      </c>
      <c r="D85" s="185">
        <f t="shared" si="1"/>
        <v>18</v>
      </c>
      <c r="E85" s="186">
        <f t="shared" si="2"/>
        <v>1.3770862061252875</v>
      </c>
      <c r="F85" s="59">
        <f t="shared" ca="1" si="3"/>
        <v>468613133.42174983</v>
      </c>
      <c r="G85" s="1168"/>
      <c r="H85" s="1177">
        <f t="shared" si="24"/>
        <v>0</v>
      </c>
      <c r="I85" s="187">
        <f ca="1">IF(OR(C85&lt;0,C85=""),"",-E85*INDEX('Replacement Costs'!$A$16:$H$57,MATCH(C85,'Replacement Costs'!$C$16:$C$57,0),MATCH("Total Yearly Replacement Costs",'Replacement Costs'!$A$16:$H$16,0)))</f>
        <v>-33041142.578919221</v>
      </c>
      <c r="J85" s="187">
        <f ca="1">IF(AND(C85&gt;=1,C85&lt;anal_period),WorkingCap*SUM(N85:R85)-WorkingCap*SUM(N84:R84),IF(C85&lt;0,0,IF(B85="","",-SUM(J$65:J84))))</f>
        <v>-1266428.0797445923</v>
      </c>
      <c r="K85" s="187" t="str">
        <f t="shared" si="4"/>
        <v/>
      </c>
      <c r="L85" s="187" t="str">
        <f t="shared" si="5"/>
        <v/>
      </c>
      <c r="M85" s="187" t="str">
        <f t="shared" si="6"/>
        <v/>
      </c>
      <c r="N85" s="187">
        <f t="shared" ca="1" si="7"/>
        <v>-28534812.646775875</v>
      </c>
      <c r="O85" s="187">
        <f t="shared" ca="1" si="8"/>
        <v>-287314110.6510253</v>
      </c>
      <c r="P85" s="187">
        <f t="shared" ca="1" si="9"/>
        <v>0</v>
      </c>
      <c r="Q85" s="187">
        <f t="shared" ca="1" si="10"/>
        <v>0</v>
      </c>
      <c r="R85" s="187">
        <f t="shared" ca="1" si="11"/>
        <v>-55483367.864789605</v>
      </c>
      <c r="S85" s="187">
        <f ca="1">IF(B85="","",IF($B$31=0,"",-'Debt Financing Calculations'!E34))</f>
        <v>-14030893.216149881</v>
      </c>
      <c r="T85" s="187">
        <f t="shared" ca="1" si="12"/>
        <v>83249949.043009162</v>
      </c>
      <c r="U85" s="187">
        <f ca="1">IF(C85="","",IF(C85&lt;-1,0,IF(C85=anal_period,-LOOKUP(C85,depr_yr,depr_cost)-Depreciation!$C$141-Depreciation!$B$166,-LOOKUP(C85,depr_yr,depr_cost))))</f>
        <v>-53855201.855395406</v>
      </c>
      <c r="V85" s="187">
        <f t="shared" ca="1" si="13"/>
        <v>29394747.187613755</v>
      </c>
      <c r="W85" s="188">
        <f t="shared" si="14"/>
        <v>0.25739999999999996</v>
      </c>
      <c r="X85" s="187">
        <f t="shared" ca="1" si="15"/>
        <v>-7566207.92609178</v>
      </c>
      <c r="Y85" s="187">
        <f t="shared" ca="1" si="16"/>
        <v>75683741.116917387</v>
      </c>
      <c r="Z85" s="187">
        <f>IF(C85="","",IF($B$31=0,"",-'Debt Financing Calculations'!F34))</f>
        <v>0</v>
      </c>
      <c r="AA85" s="187">
        <f t="shared" ca="1" si="17"/>
        <v>41376170.45825357</v>
      </c>
      <c r="AB85" s="187">
        <f t="shared" ca="1" si="23"/>
        <v>385026672.98814875</v>
      </c>
      <c r="AC85" s="1155">
        <f t="shared" ca="1" si="18"/>
        <v>48942378.384345353</v>
      </c>
      <c r="AD85" s="134"/>
      <c r="AE85" s="1159">
        <f t="shared" ca="1" si="19"/>
        <v>124628629.5</v>
      </c>
      <c r="AF85" s="1155">
        <f t="shared" si="20"/>
        <v>0</v>
      </c>
    </row>
    <row r="86" spans="1:32" x14ac:dyDescent="0.25">
      <c r="A86" s="58">
        <f t="shared" si="21"/>
        <v>2058</v>
      </c>
      <c r="B86" s="185">
        <f>IF(MAX($B$65:B85)&lt;(construct+anal_period),B85+1,"")</f>
        <v>22</v>
      </c>
      <c r="C86" s="185">
        <f t="shared" si="22"/>
        <v>19</v>
      </c>
      <c r="D86" s="185">
        <f t="shared" si="1"/>
        <v>19</v>
      </c>
      <c r="E86" s="186">
        <f t="shared" si="2"/>
        <v>1.4032508440416678</v>
      </c>
      <c r="F86" s="59">
        <f t="shared" ca="1" si="3"/>
        <v>477516782.95676297</v>
      </c>
      <c r="G86" s="1168"/>
      <c r="H86" s="1177">
        <f t="shared" si="24"/>
        <v>0</v>
      </c>
      <c r="I86" s="187">
        <f ca="1">IF(OR(C86&lt;0,C86=""),"",-E86*INDEX('Replacement Costs'!$A$16:$H$57,MATCH(C86,'Replacement Costs'!$C$16:$C$57,0),MATCH("Total Yearly Replacement Costs",'Replacement Costs'!$A$16:$H$16,0)))</f>
        <v>-33668924.287918679</v>
      </c>
      <c r="J86" s="187">
        <f ca="1">IF(AND(C86&gt;=1,C86&lt;anal_period),WorkingCap*SUM(N86:R86)-WorkingCap*SUM(N85:R85),IF(C86&lt;0,0,IF(B86="","",-SUM(J$65:J85))))</f>
        <v>-1296162.475102149</v>
      </c>
      <c r="K86" s="187" t="str">
        <f t="shared" si="4"/>
        <v/>
      </c>
      <c r="L86" s="187" t="str">
        <f t="shared" si="5"/>
        <v/>
      </c>
      <c r="M86" s="187" t="str">
        <f t="shared" si="6"/>
        <v/>
      </c>
      <c r="N86" s="187">
        <f t="shared" ca="1" si="7"/>
        <v>-29076974.087064613</v>
      </c>
      <c r="O86" s="187">
        <f t="shared" ca="1" si="8"/>
        <v>-294344531.11678469</v>
      </c>
      <c r="P86" s="187">
        <f t="shared" ca="1" si="9"/>
        <v>0</v>
      </c>
      <c r="Q86" s="187">
        <f t="shared" ca="1" si="10"/>
        <v>0</v>
      </c>
      <c r="R86" s="187">
        <f t="shared" ca="1" si="11"/>
        <v>-56551869.126089133</v>
      </c>
      <c r="S86" s="187">
        <f ca="1">IF(B86="","",IF($B$31=0,"",-'Debt Financing Calculations'!E35))</f>
        <v>-14030893.216149881</v>
      </c>
      <c r="T86" s="187">
        <f t="shared" ca="1" si="12"/>
        <v>83512515.410674632</v>
      </c>
      <c r="U86" s="187">
        <f ca="1">IF(C86="","",IF(C86&lt;-1,0,IF(C86=anal_period,-LOOKUP(C86,depr_yr,depr_cost)-Depreciation!$C$141-Depreciation!$B$166,-LOOKUP(C86,depr_yr,depr_cost))))</f>
        <v>-55414652.676042184</v>
      </c>
      <c r="V86" s="187">
        <f t="shared" ca="1" si="13"/>
        <v>28097862.734632447</v>
      </c>
      <c r="W86" s="188">
        <f t="shared" si="14"/>
        <v>0.25739999999999996</v>
      </c>
      <c r="X86" s="187">
        <f t="shared" ca="1" si="15"/>
        <v>-7232389.8678943906</v>
      </c>
      <c r="Y86" s="187">
        <f t="shared" ca="1" si="16"/>
        <v>76280125.542780235</v>
      </c>
      <c r="Z86" s="187">
        <f>IF(C86="","",IF($B$31=0,"",-'Debt Financing Calculations'!F35))</f>
        <v>0</v>
      </c>
      <c r="AA86" s="187">
        <f t="shared" ca="1" si="17"/>
        <v>41315038.779759414</v>
      </c>
      <c r="AB86" s="187">
        <f t="shared" ca="1" si="23"/>
        <v>426341711.76790816</v>
      </c>
      <c r="AC86" s="1155">
        <f t="shared" ca="1" si="18"/>
        <v>48547428.647653803</v>
      </c>
      <c r="AD86" s="134"/>
      <c r="AE86" s="1159">
        <f t="shared" ca="1" si="19"/>
        <v>124628629.5</v>
      </c>
      <c r="AF86" s="1155">
        <f t="shared" si="20"/>
        <v>0</v>
      </c>
    </row>
    <row r="87" spans="1:32" x14ac:dyDescent="0.25">
      <c r="A87" s="58">
        <f t="shared" si="21"/>
        <v>2059</v>
      </c>
      <c r="B87" s="185">
        <f>IF(MAX($B$65:B86)&lt;(construct+anal_period),B86+1,"")</f>
        <v>23</v>
      </c>
      <c r="C87" s="185">
        <f t="shared" si="22"/>
        <v>20</v>
      </c>
      <c r="D87" s="185">
        <f t="shared" si="1"/>
        <v>20</v>
      </c>
      <c r="E87" s="186">
        <f t="shared" si="2"/>
        <v>1.4299126100784596</v>
      </c>
      <c r="F87" s="59">
        <f t="shared" ca="1" si="3"/>
        <v>486589601.83294153</v>
      </c>
      <c r="G87" s="1168"/>
      <c r="H87" s="1177">
        <f t="shared" si="24"/>
        <v>0</v>
      </c>
      <c r="I87" s="187">
        <f ca="1">IF(OR(C87&lt;0,C87=""),"",-E87*INDEX('Replacement Costs'!$A$16:$H$57,MATCH(C87,'Replacement Costs'!$C$16:$C$57,0),MATCH("Total Yearly Replacement Costs",'Replacement Costs'!$A$16:$H$16,0)))</f>
        <v>-34308633.849389143</v>
      </c>
      <c r="J87" s="187">
        <f ca="1">IF(AND(C87&gt;=1,C87&lt;anal_period),WorkingCap*SUM(N87:R87)-WorkingCap*SUM(N86:R86),IF(C87&lt;0,0,IF(B87="","",-SUM(J$65:J86))))</f>
        <v>-1326600.4334167838</v>
      </c>
      <c r="K87" s="187" t="str">
        <f t="shared" si="4"/>
        <v/>
      </c>
      <c r="L87" s="187" t="str">
        <f t="shared" si="5"/>
        <v/>
      </c>
      <c r="M87" s="187" t="str">
        <f t="shared" si="6"/>
        <v/>
      </c>
      <c r="N87" s="187">
        <f t="shared" ca="1" si="7"/>
        <v>-29629436.594718844</v>
      </c>
      <c r="O87" s="187">
        <f t="shared" ca="1" si="8"/>
        <v>-301546982.15846473</v>
      </c>
      <c r="P87" s="187">
        <f t="shared" ca="1" si="9"/>
        <v>0</v>
      </c>
      <c r="Q87" s="187">
        <f t="shared" ca="1" si="10"/>
        <v>0</v>
      </c>
      <c r="R87" s="187">
        <f t="shared" ca="1" si="11"/>
        <v>-57640958.466200039</v>
      </c>
      <c r="S87" s="187">
        <f ca="1">IF(B87="","",IF($B$31=0,"",-'Debt Financing Calculations'!E36))</f>
        <v>-14030893.216149881</v>
      </c>
      <c r="T87" s="187">
        <f t="shared" ca="1" si="12"/>
        <v>83741331.397408009</v>
      </c>
      <c r="U87" s="187">
        <f ca="1">IF(C87="","",IF(C87&lt;-1,0,IF(C87=anal_period,-LOOKUP(C87,depr_yr,depr_cost)-Depreciation!$C$141-Depreciation!$B$166,-LOOKUP(C87,depr_yr,depr_cost))))</f>
        <v>-56990611.753682204</v>
      </c>
      <c r="V87" s="187">
        <f t="shared" ca="1" si="13"/>
        <v>26750719.643725805</v>
      </c>
      <c r="W87" s="188">
        <f t="shared" si="14"/>
        <v>0.25739999999999996</v>
      </c>
      <c r="X87" s="187">
        <f t="shared" ca="1" si="15"/>
        <v>-6885635.2362950211</v>
      </c>
      <c r="Y87" s="187">
        <f t="shared" ca="1" si="16"/>
        <v>76855696.161112994</v>
      </c>
      <c r="Z87" s="187">
        <f>IF(C87="","",IF($B$31=0,"",-'Debt Financing Calculations'!F36))</f>
        <v>0</v>
      </c>
      <c r="AA87" s="187">
        <f t="shared" ca="1" si="17"/>
        <v>41220461.878307059</v>
      </c>
      <c r="AB87" s="187">
        <f t="shared" ca="1" si="23"/>
        <v>467562173.6462152</v>
      </c>
      <c r="AC87" s="1155">
        <f t="shared" ca="1" si="18"/>
        <v>48106097.114602081</v>
      </c>
      <c r="AD87" s="134"/>
      <c r="AE87" s="1159">
        <f t="shared" ca="1" si="19"/>
        <v>124628629.5</v>
      </c>
      <c r="AF87" s="1155">
        <f t="shared" si="20"/>
        <v>0</v>
      </c>
    </row>
    <row r="88" spans="1:32" x14ac:dyDescent="0.25">
      <c r="A88" s="58">
        <f t="shared" si="21"/>
        <v>2060</v>
      </c>
      <c r="B88" s="185">
        <f>IF(MAX($B$65:B87)&lt;(construct+anal_period),B87+1,"")</f>
        <v>24</v>
      </c>
      <c r="C88" s="185">
        <f t="shared" si="22"/>
        <v>21</v>
      </c>
      <c r="D88" s="185">
        <f t="shared" si="1"/>
        <v>21</v>
      </c>
      <c r="E88" s="186">
        <f t="shared" si="2"/>
        <v>1.4570809496699502</v>
      </c>
      <c r="F88" s="59">
        <f t="shared" ca="1" si="3"/>
        <v>495834804.26776737</v>
      </c>
      <c r="G88" s="1168"/>
      <c r="H88" s="1177">
        <f t="shared" si="24"/>
        <v>0</v>
      </c>
      <c r="I88" s="187">
        <f ca="1">IF(OR(C88&lt;0,C88=""),"",-E88*INDEX('Replacement Costs'!$A$16:$H$57,MATCH(C88,'Replacement Costs'!$C$16:$C$57,0),MATCH("Total Yearly Replacement Costs",'Replacement Costs'!$A$16:$H$16,0)))</f>
        <v>-34960497.892527528</v>
      </c>
      <c r="J88" s="187">
        <f ca="1">IF(AND(C88&gt;=1,C88&lt;anal_period),WorkingCap*SUM(N88:R88)-WorkingCap*SUM(N87:R87),IF(C88&lt;0,0,IF(B88="","",-SUM(J$65:J87))))</f>
        <v>-1357758.7103252411</v>
      </c>
      <c r="K88" s="187" t="str">
        <f t="shared" si="4"/>
        <v/>
      </c>
      <c r="L88" s="187" t="str">
        <f t="shared" si="5"/>
        <v/>
      </c>
      <c r="M88" s="187" t="str">
        <f t="shared" si="6"/>
        <v/>
      </c>
      <c r="N88" s="187">
        <f t="shared" ca="1" si="7"/>
        <v>-30192395.890018497</v>
      </c>
      <c r="O88" s="187">
        <f t="shared" ca="1" si="8"/>
        <v>-308925673.27095884</v>
      </c>
      <c r="P88" s="187">
        <f t="shared" ca="1" si="9"/>
        <v>0</v>
      </c>
      <c r="Q88" s="187">
        <f t="shared" ca="1" si="10"/>
        <v>0</v>
      </c>
      <c r="R88" s="187">
        <f t="shared" ca="1" si="11"/>
        <v>-58751032.793907925</v>
      </c>
      <c r="S88" s="187">
        <f ca="1">IF(B88="","",IF($B$31=0,"",-'Debt Financing Calculations'!E37))</f>
        <v>-14030893.216149881</v>
      </c>
      <c r="T88" s="187">
        <f t="shared" ca="1" si="12"/>
        <v>83934809.096732199</v>
      </c>
      <c r="U88" s="187">
        <f ca="1">IF(C88="","",IF(C88&lt;-1,0,IF(C88=anal_period,-LOOKUP(C88,depr_yr,depr_cost)-Depreciation!$C$141-Depreciation!$B$166,-LOOKUP(C88,depr_yr,depr_cost))))</f>
        <v>-43840390.448159903</v>
      </c>
      <c r="V88" s="187">
        <f t="shared" ca="1" si="13"/>
        <v>40094418.648572296</v>
      </c>
      <c r="W88" s="188">
        <f t="shared" si="14"/>
        <v>0.25739999999999996</v>
      </c>
      <c r="X88" s="187">
        <f t="shared" ca="1" si="15"/>
        <v>-10320303.360142507</v>
      </c>
      <c r="Y88" s="187">
        <f t="shared" ca="1" si="16"/>
        <v>73614505.7365897</v>
      </c>
      <c r="Z88" s="187">
        <f>IF(C88="","",IF($B$31=0,"",-'Debt Financing Calculations'!F37))</f>
        <v>0</v>
      </c>
      <c r="AA88" s="187">
        <f t="shared" ca="1" si="17"/>
        <v>37296249.133736923</v>
      </c>
      <c r="AB88" s="187">
        <f t="shared" ca="1" si="23"/>
        <v>504858422.77995211</v>
      </c>
      <c r="AC88" s="1155">
        <f t="shared" ca="1" si="18"/>
        <v>47616552.49387943</v>
      </c>
      <c r="AD88" s="134"/>
      <c r="AE88" s="1159">
        <f t="shared" ca="1" si="19"/>
        <v>124628629.5</v>
      </c>
      <c r="AF88" s="1155">
        <f t="shared" si="20"/>
        <v>0</v>
      </c>
    </row>
    <row r="89" spans="1:32" x14ac:dyDescent="0.25">
      <c r="A89" s="58">
        <f t="shared" si="21"/>
        <v>2061</v>
      </c>
      <c r="B89" s="185">
        <f>IF(MAX($B$65:B88)&lt;(construct+anal_period),B88+1,"")</f>
        <v>25</v>
      </c>
      <c r="C89" s="185">
        <f t="shared" si="22"/>
        <v>22</v>
      </c>
      <c r="D89" s="185">
        <f t="shared" si="1"/>
        <v>22</v>
      </c>
      <c r="E89" s="186">
        <f t="shared" si="2"/>
        <v>1.4847654877136791</v>
      </c>
      <c r="F89" s="59">
        <f t="shared" ca="1" si="3"/>
        <v>505255665.54885489</v>
      </c>
      <c r="G89" s="1168"/>
      <c r="H89" s="1177">
        <f t="shared" si="24"/>
        <v>0</v>
      </c>
      <c r="I89" s="187">
        <f ca="1">IF(OR(C89&lt;0,C89=""),"",-E89*INDEX('Replacement Costs'!$A$16:$H$57,MATCH(C89,'Replacement Costs'!$C$16:$C$57,0),MATCH("Total Yearly Replacement Costs",'Replacement Costs'!$A$16:$H$16,0)))</f>
        <v>-35624747.352485552</v>
      </c>
      <c r="J89" s="187">
        <f ca="1">IF(AND(C89&gt;=1,C89&lt;anal_period),WorkingCap*SUM(N89:R89)-WorkingCap*SUM(N88:R88),IF(C89&lt;0,0,IF(B89="","",-SUM(J$65:J88))))</f>
        <v>-1357720.1138207391</v>
      </c>
      <c r="K89" s="187" t="str">
        <f t="shared" si="4"/>
        <v/>
      </c>
      <c r="L89" s="187" t="str">
        <f t="shared" si="5"/>
        <v/>
      </c>
      <c r="M89" s="187" t="str">
        <f t="shared" si="6"/>
        <v/>
      </c>
      <c r="N89" s="187">
        <f t="shared" ca="1" si="7"/>
        <v>-30766051.411928847</v>
      </c>
      <c r="O89" s="187">
        <f t="shared" ca="1" si="8"/>
        <v>-316279891.43407196</v>
      </c>
      <c r="P89" s="187">
        <f t="shared" ca="1" si="9"/>
        <v>0</v>
      </c>
      <c r="Q89" s="187">
        <f t="shared" ca="1" si="10"/>
        <v>0</v>
      </c>
      <c r="R89" s="187">
        <f t="shared" ca="1" si="11"/>
        <v>-59874626.534356125</v>
      </c>
      <c r="S89" s="187">
        <f ca="1">IF(B89="","",IF($B$31=0,"",-'Debt Financing Calculations'!E38))</f>
        <v>-14030893.216149881</v>
      </c>
      <c r="T89" s="187">
        <f t="shared" ca="1" si="12"/>
        <v>84304202.952348113</v>
      </c>
      <c r="U89" s="187">
        <f ca="1">IF(C89="","",IF(C89&lt;-1,0,IF(C89=anal_period,-LOOKUP(C89,depr_yr,depr_cost)-Depreciation!$C$141-Depreciation!$B$166,-LOOKUP(C89,depr_yr,depr_cost))))</f>
        <v>-30168963.29641965</v>
      </c>
      <c r="V89" s="187">
        <f t="shared" ca="1" si="13"/>
        <v>54135239.655928463</v>
      </c>
      <c r="W89" s="188">
        <f t="shared" si="14"/>
        <v>0.25739999999999996</v>
      </c>
      <c r="X89" s="187">
        <f t="shared" ca="1" si="15"/>
        <v>-13934410.687435985</v>
      </c>
      <c r="Y89" s="187">
        <f t="shared" ca="1" si="16"/>
        <v>70369792.264912128</v>
      </c>
      <c r="Z89" s="187">
        <f>IF(C89="","",IF($B$31=0,"",-'Debt Financing Calculations'!F38))</f>
        <v>0</v>
      </c>
      <c r="AA89" s="187">
        <f t="shared" ca="1" si="17"/>
        <v>33387324.798605837</v>
      </c>
      <c r="AB89" s="187">
        <f t="shared" ca="1" si="23"/>
        <v>538245747.57855797</v>
      </c>
      <c r="AC89" s="1155">
        <f t="shared" ca="1" si="18"/>
        <v>47321735.486041822</v>
      </c>
      <c r="AD89" s="134"/>
      <c r="AE89" s="1159">
        <f t="shared" ca="1" si="19"/>
        <v>124628629.5</v>
      </c>
      <c r="AF89" s="1155">
        <f t="shared" si="20"/>
        <v>0</v>
      </c>
    </row>
    <row r="90" spans="1:32" x14ac:dyDescent="0.25">
      <c r="A90" s="58">
        <f t="shared" si="21"/>
        <v>2062</v>
      </c>
      <c r="B90" s="185">
        <f>IF(MAX($B$65:B89)&lt;(construct+anal_period),B89+1,"")</f>
        <v>26</v>
      </c>
      <c r="C90" s="185">
        <f t="shared" si="22"/>
        <v>23</v>
      </c>
      <c r="D90" s="185">
        <f t="shared" si="1"/>
        <v>23</v>
      </c>
      <c r="E90" s="186">
        <f t="shared" si="2"/>
        <v>1.5129760319802392</v>
      </c>
      <c r="F90" s="59">
        <f t="shared" ca="1" si="3"/>
        <v>514855523.19428325</v>
      </c>
      <c r="G90" s="1168"/>
      <c r="H90" s="1177">
        <f t="shared" si="24"/>
        <v>0</v>
      </c>
      <c r="I90" s="187">
        <f ca="1">IF(OR(C90&lt;0,C90=""),"",-E90*INDEX('Replacement Costs'!$A$16:$H$57,MATCH(C90,'Replacement Costs'!$C$16:$C$57,0),MATCH("Total Yearly Replacement Costs",'Replacement Costs'!$A$16:$H$16,0)))</f>
        <v>-36301617.552182779</v>
      </c>
      <c r="J90" s="187">
        <f ca="1">IF(AND(C90&gt;=1,C90&lt;anal_period),WorkingCap*SUM(N90:R90)-WorkingCap*SUM(N89:R89),IF(C90&lt;0,0,IF(B90="","",-SUM(J$65:J89))))</f>
        <v>-1388839.6257476956</v>
      </c>
      <c r="K90" s="187" t="str">
        <f t="shared" si="4"/>
        <v/>
      </c>
      <c r="L90" s="187" t="str">
        <f t="shared" si="5"/>
        <v/>
      </c>
      <c r="M90" s="187" t="str">
        <f t="shared" si="6"/>
        <v/>
      </c>
      <c r="N90" s="187">
        <f t="shared" ca="1" si="7"/>
        <v>-31350606.3887555</v>
      </c>
      <c r="O90" s="187">
        <f t="shared" ca="1" si="8"/>
        <v>-323809182.53372031</v>
      </c>
      <c r="P90" s="187">
        <f t="shared" ca="1" si="9"/>
        <v>0</v>
      </c>
      <c r="Q90" s="187">
        <f t="shared" ca="1" si="10"/>
        <v>0</v>
      </c>
      <c r="R90" s="187">
        <f t="shared" ca="1" si="11"/>
        <v>-61019711.296199024</v>
      </c>
      <c r="S90" s="187">
        <f ca="1">IF(B90="","",IF($B$31=0,"",-'Debt Financing Calculations'!E39))</f>
        <v>-14030893.216149881</v>
      </c>
      <c r="T90" s="187">
        <f t="shared" ca="1" si="12"/>
        <v>84645129.759458542</v>
      </c>
      <c r="U90" s="187">
        <f ca="1">IF(C90="","",IF(C90&lt;-1,0,IF(C90=anal_period,-LOOKUP(C90,depr_yr,depr_cost)-Depreciation!$C$141-Depreciation!$B$166,-LOOKUP(C90,depr_yr,depr_cost))))</f>
        <v>-30742173.599051613</v>
      </c>
      <c r="V90" s="187">
        <f t="shared" ca="1" si="13"/>
        <v>53902956.160406932</v>
      </c>
      <c r="W90" s="188">
        <f t="shared" si="14"/>
        <v>0.25739999999999996</v>
      </c>
      <c r="X90" s="187">
        <f t="shared" ca="1" si="15"/>
        <v>-13874620.915688742</v>
      </c>
      <c r="Y90" s="187">
        <f t="shared" ca="1" si="16"/>
        <v>70770508.843769804</v>
      </c>
      <c r="Z90" s="187">
        <f>IF(C90="","",IF($B$31=0,"",-'Debt Financing Calculations'!F39))</f>
        <v>0</v>
      </c>
      <c r="AA90" s="187">
        <f t="shared" ca="1" si="17"/>
        <v>33080051.665839326</v>
      </c>
      <c r="AB90" s="187">
        <f t="shared" ca="1" si="23"/>
        <v>571325799.24439728</v>
      </c>
      <c r="AC90" s="1155">
        <f t="shared" ca="1" si="18"/>
        <v>46954672.581528068</v>
      </c>
      <c r="AD90" s="134"/>
      <c r="AE90" s="1159">
        <f t="shared" ca="1" si="19"/>
        <v>124628629.5</v>
      </c>
      <c r="AF90" s="1155">
        <f t="shared" si="20"/>
        <v>0</v>
      </c>
    </row>
    <row r="91" spans="1:32" x14ac:dyDescent="0.25">
      <c r="A91" s="58">
        <f t="shared" si="21"/>
        <v>2063</v>
      </c>
      <c r="B91" s="185">
        <f>IF(MAX($B$65:B90)&lt;(construct+anal_period),B90+1,"")</f>
        <v>27</v>
      </c>
      <c r="C91" s="185">
        <f t="shared" si="22"/>
        <v>24</v>
      </c>
      <c r="D91" s="185">
        <f t="shared" si="1"/>
        <v>24</v>
      </c>
      <c r="E91" s="186">
        <f t="shared" si="2"/>
        <v>1.5417225765878635</v>
      </c>
      <c r="F91" s="59">
        <f t="shared" ca="1" si="3"/>
        <v>524637778.13497454</v>
      </c>
      <c r="G91" s="1168"/>
      <c r="H91" s="1177">
        <f t="shared" si="24"/>
        <v>0</v>
      </c>
      <c r="I91" s="187">
        <f ca="1">IF(OR(C91&lt;0,C91=""),"",-E91*INDEX('Replacement Costs'!$A$16:$H$57,MATCH(C91,'Replacement Costs'!$C$16:$C$57,0),MATCH("Total Yearly Replacement Costs",'Replacement Costs'!$A$16:$H$16,0)))</f>
        <v>-36991348.285674244</v>
      </c>
      <c r="J91" s="187">
        <f ca="1">IF(AND(C91&gt;=1,C91&lt;anal_period),WorkingCap*SUM(N91:R91)-WorkingCap*SUM(N90:R90),IF(C91&lt;0,0,IF(B91="","",-SUM(J$65:J90))))</f>
        <v>-1420677.0301171094</v>
      </c>
      <c r="K91" s="187" t="str">
        <f t="shared" si="4"/>
        <v/>
      </c>
      <c r="L91" s="187" t="str">
        <f t="shared" si="5"/>
        <v/>
      </c>
      <c r="M91" s="187" t="str">
        <f t="shared" si="6"/>
        <v/>
      </c>
      <c r="N91" s="187">
        <f t="shared" ca="1" si="7"/>
        <v>-31946267.910141848</v>
      </c>
      <c r="O91" s="187">
        <f t="shared" ca="1" si="8"/>
        <v>-331517714.31859267</v>
      </c>
      <c r="P91" s="187">
        <f t="shared" ca="1" si="9"/>
        <v>0</v>
      </c>
      <c r="Q91" s="187">
        <f t="shared" ca="1" si="10"/>
        <v>0</v>
      </c>
      <c r="R91" s="187">
        <f t="shared" ca="1" si="11"/>
        <v>-62186698.190721087</v>
      </c>
      <c r="S91" s="187">
        <f ca="1">IF(B91="","",IF($B$31=0,"",-'Debt Financing Calculations'!E40))</f>
        <v>-14030893.216149881</v>
      </c>
      <c r="T91" s="187">
        <f t="shared" ca="1" si="12"/>
        <v>84956204.499369085</v>
      </c>
      <c r="U91" s="187">
        <f ca="1">IF(C91="","",IF(C91&lt;-1,0,IF(C91=anal_period,-LOOKUP(C91,depr_yr,depr_cost)-Depreciation!$C$141-Depreciation!$B$166,-LOOKUP(C91,depr_yr,depr_cost))))</f>
        <v>-31326274.897433605</v>
      </c>
      <c r="V91" s="187">
        <f t="shared" ca="1" si="13"/>
        <v>53629929.601935476</v>
      </c>
      <c r="W91" s="188">
        <f t="shared" si="14"/>
        <v>0.25739999999999996</v>
      </c>
      <c r="X91" s="187">
        <f t="shared" ca="1" si="15"/>
        <v>-13804343.87953819</v>
      </c>
      <c r="Y91" s="187">
        <f t="shared" ca="1" si="16"/>
        <v>71151860.619830891</v>
      </c>
      <c r="Z91" s="187">
        <f>IF(C91="","",IF($B$31=0,"",-'Debt Financing Calculations'!F40))</f>
        <v>0</v>
      </c>
      <c r="AA91" s="187">
        <f t="shared" ca="1" si="17"/>
        <v>32739835.304039542</v>
      </c>
      <c r="AB91" s="187">
        <f t="shared" ca="1" si="23"/>
        <v>604065634.54843688</v>
      </c>
      <c r="AC91" s="1155">
        <f t="shared" ca="1" si="18"/>
        <v>46544179.183577731</v>
      </c>
      <c r="AD91" s="134"/>
      <c r="AE91" s="1159">
        <f t="shared" ca="1" si="19"/>
        <v>124628629.5</v>
      </c>
      <c r="AF91" s="1155">
        <f t="shared" si="20"/>
        <v>0</v>
      </c>
    </row>
    <row r="92" spans="1:32" x14ac:dyDescent="0.25">
      <c r="A92" s="58">
        <f t="shared" si="21"/>
        <v>2064</v>
      </c>
      <c r="B92" s="185">
        <f>IF(MAX($B$65:B91)&lt;(construct+anal_period),B91+1,"")</f>
        <v>28</v>
      </c>
      <c r="C92" s="185">
        <f t="shared" si="22"/>
        <v>25</v>
      </c>
      <c r="D92" s="185">
        <f t="shared" si="1"/>
        <v>25</v>
      </c>
      <c r="E92" s="186">
        <f t="shared" si="2"/>
        <v>1.5710153055430329</v>
      </c>
      <c r="F92" s="59">
        <f t="shared" ca="1" si="3"/>
        <v>534605895.91953903</v>
      </c>
      <c r="G92" s="1168"/>
      <c r="H92" s="1177">
        <f t="shared" si="24"/>
        <v>0</v>
      </c>
      <c r="I92" s="187">
        <f ca="1">IF(OR(C92&lt;0,C92=""),"",-E92*INDEX('Replacement Costs'!$A$16:$H$57,MATCH(C92,'Replacement Costs'!$C$16:$C$57,0),MATCH("Total Yearly Replacement Costs",'Replacement Costs'!$A$16:$H$16,0)))</f>
        <v>-37694183.903102055</v>
      </c>
      <c r="J92" s="187">
        <f ca="1">IF(AND(C92&gt;=1,C92&lt;anal_period),WorkingCap*SUM(N92:R92)-WorkingCap*SUM(N91:R91),IF(C92&lt;0,0,IF(B92="","",-SUM(J$65:J91))))</f>
        <v>-1453248.9794135466</v>
      </c>
      <c r="K92" s="187" t="str">
        <f t="shared" si="4"/>
        <v/>
      </c>
      <c r="L92" s="187" t="str">
        <f t="shared" si="5"/>
        <v/>
      </c>
      <c r="M92" s="187" t="str">
        <f t="shared" si="6"/>
        <v/>
      </c>
      <c r="N92" s="187">
        <f t="shared" ca="1" si="7"/>
        <v>-32553247.000434544</v>
      </c>
      <c r="O92" s="187">
        <f t="shared" ca="1" si="8"/>
        <v>-339409753.75390726</v>
      </c>
      <c r="P92" s="187">
        <f t="shared" ca="1" si="9"/>
        <v>0</v>
      </c>
      <c r="Q92" s="187">
        <f t="shared" ca="1" si="10"/>
        <v>0</v>
      </c>
      <c r="R92" s="187">
        <f t="shared" ca="1" si="11"/>
        <v>-63376006.194537446</v>
      </c>
      <c r="S92" s="187">
        <f ca="1">IF(B92="","",IF($B$31=0,"",-'Debt Financing Calculations'!E41))</f>
        <v>-14030893.216149881</v>
      </c>
      <c r="T92" s="187">
        <f t="shared" ca="1" si="12"/>
        <v>85235995.754509926</v>
      </c>
      <c r="U92" s="187">
        <f ca="1">IF(C92="","",IF(C92&lt;-1,0,IF(C92=anal_period,-LOOKUP(C92,depr_yr,depr_cost)-Depreciation!$C$141-Depreciation!$B$166,-LOOKUP(C92,depr_yr,depr_cost))))</f>
        <v>-31921474.120484833</v>
      </c>
      <c r="V92" s="187">
        <f t="shared" ca="1" si="13"/>
        <v>53314521.634025097</v>
      </c>
      <c r="W92" s="188">
        <f t="shared" si="14"/>
        <v>0.25739999999999996</v>
      </c>
      <c r="X92" s="187">
        <f t="shared" ca="1" si="15"/>
        <v>-13723157.868598059</v>
      </c>
      <c r="Y92" s="187">
        <f t="shared" ca="1" si="16"/>
        <v>71512837.885911867</v>
      </c>
      <c r="Z92" s="187">
        <f>IF(C92="","",IF($B$31=0,"",-'Debt Financing Calculations'!F41))</f>
        <v>0</v>
      </c>
      <c r="AA92" s="187">
        <f t="shared" ca="1" si="17"/>
        <v>32365405.003396265</v>
      </c>
      <c r="AB92" s="187">
        <f t="shared" ca="1" si="23"/>
        <v>636431039.55183315</v>
      </c>
      <c r="AC92" s="1155">
        <f t="shared" ca="1" si="18"/>
        <v>46088562.871994324</v>
      </c>
      <c r="AD92" s="134"/>
      <c r="AE92" s="1159">
        <f t="shared" ca="1" si="19"/>
        <v>124628629.5</v>
      </c>
      <c r="AF92" s="1155">
        <f t="shared" si="20"/>
        <v>0</v>
      </c>
    </row>
    <row r="93" spans="1:32" x14ac:dyDescent="0.25">
      <c r="A93" s="58">
        <f t="shared" si="21"/>
        <v>2065</v>
      </c>
      <c r="B93" s="185">
        <f>IF(MAX($B$65:B92)&lt;(construct+anal_period),B92+1,"")</f>
        <v>29</v>
      </c>
      <c r="C93" s="185">
        <f t="shared" si="22"/>
        <v>26</v>
      </c>
      <c r="D93" s="185">
        <f t="shared" si="1"/>
        <v>26</v>
      </c>
      <c r="E93" s="186">
        <f t="shared" si="2"/>
        <v>1.6008645963483503</v>
      </c>
      <c r="F93" s="59">
        <f t="shared" ca="1" si="3"/>
        <v>544763407.94201016</v>
      </c>
      <c r="G93" s="1168"/>
      <c r="H93" s="1177">
        <f t="shared" si="24"/>
        <v>0</v>
      </c>
      <c r="I93" s="187">
        <f ca="1">IF(OR(C93&lt;0,C93=""),"",-E93*INDEX('Replacement Costs'!$A$16:$H$57,MATCH(C93,'Replacement Costs'!$C$16:$C$57,0),MATCH("Total Yearly Replacement Costs",'Replacement Costs'!$A$16:$H$16,0)))</f>
        <v>-38410373.397260994</v>
      </c>
      <c r="J93" s="187">
        <f ca="1">IF(AND(C93&gt;=1,C93&lt;anal_period),WorkingCap*SUM(N93:R93)-WorkingCap*SUM(N92:R92),IF(C93&lt;0,0,IF(B93="","",-SUM(J$65:J92))))</f>
        <v>-1486572.5141991451</v>
      </c>
      <c r="K93" s="187" t="str">
        <f t="shared" si="4"/>
        <v/>
      </c>
      <c r="L93" s="187" t="str">
        <f t="shared" si="5"/>
        <v/>
      </c>
      <c r="M93" s="187" t="str">
        <f t="shared" si="6"/>
        <v/>
      </c>
      <c r="N93" s="187">
        <f t="shared" ca="1" si="7"/>
        <v>-33171758.693442795</v>
      </c>
      <c r="O93" s="187">
        <f t="shared" ca="1" si="8"/>
        <v>-347489669.38333899</v>
      </c>
      <c r="P93" s="187">
        <f t="shared" ca="1" si="9"/>
        <v>0</v>
      </c>
      <c r="Q93" s="187">
        <f t="shared" ca="1" si="10"/>
        <v>0</v>
      </c>
      <c r="R93" s="187">
        <f t="shared" ca="1" si="11"/>
        <v>-64588062.300091766</v>
      </c>
      <c r="S93" s="187">
        <f ca="1">IF(B93="","",IF($B$31=0,"",-'Debt Financing Calculations'!E42))</f>
        <v>-14030893.216149881</v>
      </c>
      <c r="T93" s="187">
        <f t="shared" ca="1" si="12"/>
        <v>85483024.348986745</v>
      </c>
      <c r="U93" s="187">
        <f ca="1">IF(C93="","",IF(C93&lt;-1,0,IF(C93=anal_period,-LOOKUP(C93,depr_yr,depr_cost)-Depreciation!$C$141-Depreciation!$B$166,-LOOKUP(C93,depr_yr,depr_cost))))</f>
        <v>-32527982.128774043</v>
      </c>
      <c r="V93" s="187">
        <f t="shared" ca="1" si="13"/>
        <v>52955042.220212698</v>
      </c>
      <c r="W93" s="188">
        <f t="shared" si="14"/>
        <v>0.25739999999999996</v>
      </c>
      <c r="X93" s="187">
        <f t="shared" ca="1" si="15"/>
        <v>-13630627.867482746</v>
      </c>
      <c r="Y93" s="187">
        <f t="shared" ca="1" si="16"/>
        <v>71852396.481503993</v>
      </c>
      <c r="Z93" s="187">
        <f>IF(C93="","",IF($B$31=0,"",-'Debt Financing Calculations'!F42))</f>
        <v>0</v>
      </c>
      <c r="AA93" s="187">
        <f t="shared" ca="1" si="17"/>
        <v>31955450.570043862</v>
      </c>
      <c r="AB93" s="187">
        <f t="shared" ca="1" si="23"/>
        <v>668386490.12187696</v>
      </c>
      <c r="AC93" s="1155">
        <f t="shared" ca="1" si="18"/>
        <v>45586078.437526606</v>
      </c>
      <c r="AD93" s="134"/>
      <c r="AE93" s="1159">
        <f t="shared" ca="1" si="19"/>
        <v>124628629.5</v>
      </c>
      <c r="AF93" s="1155">
        <f t="shared" si="20"/>
        <v>0</v>
      </c>
    </row>
    <row r="94" spans="1:32" x14ac:dyDescent="0.25">
      <c r="A94" s="58">
        <f t="shared" si="21"/>
        <v>2066</v>
      </c>
      <c r="B94" s="185">
        <f>IF(MAX($B$65:B93)&lt;(construct+anal_period),B93+1,"")</f>
        <v>30</v>
      </c>
      <c r="C94" s="185">
        <f t="shared" si="22"/>
        <v>27</v>
      </c>
      <c r="D94" s="185">
        <f t="shared" si="1"/>
        <v>27</v>
      </c>
      <c r="E94" s="186">
        <f t="shared" si="2"/>
        <v>1.631281023678969</v>
      </c>
      <c r="F94" s="59">
        <f t="shared" ca="1" si="3"/>
        <v>555113912.69290841</v>
      </c>
      <c r="G94" s="1168"/>
      <c r="H94" s="1177">
        <f t="shared" si="24"/>
        <v>0</v>
      </c>
      <c r="I94" s="187">
        <f ca="1">IF(OR(C94&lt;0,C94=""),"",-E94*INDEX('Replacement Costs'!$A$16:$H$57,MATCH(C94,'Replacement Costs'!$C$16:$C$57,0),MATCH("Total Yearly Replacement Costs",'Replacement Costs'!$A$16:$H$16,0)))</f>
        <v>-39140170.491808951</v>
      </c>
      <c r="J94" s="187">
        <f ca="1">IF(AND(C94&gt;=1,C94&lt;anal_period),WorkingCap*SUM(N94:R94)-WorkingCap*SUM(N93:R93),IF(C94&lt;0,0,IF(B94="","",-SUM(J$65:J93))))</f>
        <v>-1483613.3349023759</v>
      </c>
      <c r="K94" s="187" t="str">
        <f t="shared" si="4"/>
        <v/>
      </c>
      <c r="L94" s="187" t="str">
        <f t="shared" si="5"/>
        <v/>
      </c>
      <c r="M94" s="187" t="str">
        <f t="shared" si="6"/>
        <v/>
      </c>
      <c r="N94" s="187">
        <f t="shared" ca="1" si="7"/>
        <v>-33802022.108618207</v>
      </c>
      <c r="O94" s="187">
        <f t="shared" ca="1" si="8"/>
        <v>-355515206.42919075</v>
      </c>
      <c r="P94" s="187">
        <f t="shared" ca="1" si="9"/>
        <v>0</v>
      </c>
      <c r="Q94" s="187">
        <f t="shared" ca="1" si="10"/>
        <v>0</v>
      </c>
      <c r="R94" s="187">
        <f t="shared" ca="1" si="11"/>
        <v>-65823017.40508046</v>
      </c>
      <c r="S94" s="187">
        <f ca="1">IF(B94="","",IF($B$31=0,"",-'Debt Financing Calculations'!E43))</f>
        <v>-14030893.216149881</v>
      </c>
      <c r="T94" s="187">
        <f t="shared" ca="1" si="12"/>
        <v>85942773.533869147</v>
      </c>
      <c r="U94" s="187">
        <f ca="1">IF(C94="","",IF(C94&lt;-1,0,IF(C94=anal_period,-LOOKUP(C94,depr_yr,depr_cost)-Depreciation!$C$141-Depreciation!$B$166,-LOOKUP(C94,depr_yr,depr_cost))))</f>
        <v>-33146013.789220747</v>
      </c>
      <c r="V94" s="187">
        <f t="shared" ca="1" si="13"/>
        <v>52796759.744648397</v>
      </c>
      <c r="W94" s="188">
        <f t="shared" si="14"/>
        <v>0.25739999999999996</v>
      </c>
      <c r="X94" s="187">
        <f t="shared" ca="1" si="15"/>
        <v>-13589885.958272496</v>
      </c>
      <c r="Y94" s="187">
        <f t="shared" ca="1" si="16"/>
        <v>72352887.575596645</v>
      </c>
      <c r="Z94" s="187">
        <f>IF(C94="","",IF($B$31=0,"",-'Debt Financing Calculations'!F43))</f>
        <v>0</v>
      </c>
      <c r="AA94" s="187">
        <f t="shared" ca="1" si="17"/>
        <v>31729103.748885326</v>
      </c>
      <c r="AB94" s="187">
        <f t="shared" ca="1" si="23"/>
        <v>700115593.87076223</v>
      </c>
      <c r="AC94" s="1155">
        <f t="shared" ca="1" si="18"/>
        <v>45318989.70715782</v>
      </c>
      <c r="AD94" s="134"/>
      <c r="AE94" s="1159">
        <f t="shared" ca="1" si="19"/>
        <v>124628629.5</v>
      </c>
      <c r="AF94" s="1155">
        <f t="shared" si="20"/>
        <v>0</v>
      </c>
    </row>
    <row r="95" spans="1:32" x14ac:dyDescent="0.25">
      <c r="A95" s="58">
        <f t="shared" si="21"/>
        <v>2067</v>
      </c>
      <c r="B95" s="185">
        <f>IF(MAX($B$65:B94)&lt;(construct+anal_period),B94+1,"")</f>
        <v>31</v>
      </c>
      <c r="C95" s="185">
        <f t="shared" si="22"/>
        <v>28</v>
      </c>
      <c r="D95" s="185">
        <f t="shared" si="1"/>
        <v>28</v>
      </c>
      <c r="E95" s="186">
        <f t="shared" si="2"/>
        <v>1.6622753631288694</v>
      </c>
      <c r="F95" s="59">
        <f t="shared" ca="1" si="3"/>
        <v>565661077.03407359</v>
      </c>
      <c r="G95" s="1168"/>
      <c r="H95" s="1177">
        <f t="shared" si="24"/>
        <v>0</v>
      </c>
      <c r="I95" s="187">
        <f ca="1">IF(OR(C95&lt;0,C95=""),"",-E95*INDEX('Replacement Costs'!$A$16:$H$57,MATCH(C95,'Replacement Costs'!$C$16:$C$57,0),MATCH("Total Yearly Replacement Costs",'Replacement Costs'!$A$16:$H$16,0)))</f>
        <v>-39883833.731153317</v>
      </c>
      <c r="J95" s="187">
        <f ca="1">IF(AND(C95&gt;=1,C95&lt;anal_period),WorkingCap*SUM(N95:R95)-WorkingCap*SUM(N94:R94),IF(C95&lt;0,0,IF(B95="","",-SUM(J$65:J94))))</f>
        <v>-1516755.315235287</v>
      </c>
      <c r="K95" s="187" t="str">
        <f t="shared" si="4"/>
        <v/>
      </c>
      <c r="L95" s="187" t="str">
        <f t="shared" si="5"/>
        <v/>
      </c>
      <c r="M95" s="187" t="str">
        <f t="shared" si="6"/>
        <v/>
      </c>
      <c r="N95" s="187">
        <f t="shared" ca="1" si="7"/>
        <v>-34444260.528681956</v>
      </c>
      <c r="O95" s="187">
        <f t="shared" ca="1" si="8"/>
        <v>-363726099.33033645</v>
      </c>
      <c r="P95" s="187">
        <f t="shared" ca="1" si="9"/>
        <v>0</v>
      </c>
      <c r="Q95" s="187">
        <f t="shared" ca="1" si="10"/>
        <v>0</v>
      </c>
      <c r="R95" s="187">
        <f t="shared" ca="1" si="11"/>
        <v>-67081588.185439549</v>
      </c>
      <c r="S95" s="187">
        <f ca="1">IF(B95="","",IF($B$31=0,"",-'Debt Financing Calculations'!E44))</f>
        <v>-14030893.216149881</v>
      </c>
      <c r="T95" s="187">
        <f t="shared" ca="1" si="12"/>
        <v>86378235.773465812</v>
      </c>
      <c r="U95" s="187">
        <f ca="1">IF(C95="","",IF(C95&lt;-1,0,IF(C95=anal_period,-LOOKUP(C95,depr_yr,depr_cost)-Depreciation!$C$141-Depreciation!$B$166,-LOOKUP(C95,depr_yr,depr_cost))))</f>
        <v>-33775788.051215939</v>
      </c>
      <c r="V95" s="187">
        <f t="shared" ca="1" si="13"/>
        <v>52602447.722249873</v>
      </c>
      <c r="W95" s="188">
        <f t="shared" si="14"/>
        <v>0.25739999999999996</v>
      </c>
      <c r="X95" s="187">
        <f t="shared" ca="1" si="15"/>
        <v>-13539870.043707116</v>
      </c>
      <c r="Y95" s="187">
        <f t="shared" ca="1" si="16"/>
        <v>72838365.729758695</v>
      </c>
      <c r="Z95" s="187">
        <f>IF(C95="","",IF($B$31=0,"",-'Debt Financing Calculations'!F44))</f>
        <v>0</v>
      </c>
      <c r="AA95" s="187">
        <f t="shared" ca="1" si="17"/>
        <v>31437776.683370091</v>
      </c>
      <c r="AB95" s="187">
        <f t="shared" ca="1" si="23"/>
        <v>731553370.55413234</v>
      </c>
      <c r="AC95" s="1155">
        <f t="shared" ca="1" si="18"/>
        <v>44977646.727077208</v>
      </c>
      <c r="AD95" s="134"/>
      <c r="AE95" s="1159">
        <f t="shared" ca="1" si="19"/>
        <v>124628629.5</v>
      </c>
      <c r="AF95" s="1155">
        <f t="shared" si="20"/>
        <v>0</v>
      </c>
    </row>
    <row r="96" spans="1:32" x14ac:dyDescent="0.25">
      <c r="A96" s="58">
        <f t="shared" si="21"/>
        <v>2068</v>
      </c>
      <c r="B96" s="185">
        <f>IF(MAX($B$65:B95)&lt;(construct+anal_period),B95+1,"")</f>
        <v>32</v>
      </c>
      <c r="C96" s="185">
        <f t="shared" si="22"/>
        <v>29</v>
      </c>
      <c r="D96" s="185">
        <f t="shared" si="1"/>
        <v>29</v>
      </c>
      <c r="E96" s="186">
        <f t="shared" si="2"/>
        <v>1.6938585950283176</v>
      </c>
      <c r="F96" s="59">
        <f t="shared" ca="1" si="3"/>
        <v>576408637.49772096</v>
      </c>
      <c r="G96" s="1168"/>
      <c r="H96" s="1177">
        <f t="shared" si="24"/>
        <v>0</v>
      </c>
      <c r="I96" s="187">
        <f ca="1">IF(OR(C96&lt;0,C96=""),"",-E96*INDEX('Replacement Costs'!$A$16:$H$57,MATCH(C96,'Replacement Costs'!$C$16:$C$57,0),MATCH("Total Yearly Replacement Costs",'Replacement Costs'!$A$16:$H$16,0)))</f>
        <v>-40641626.572045229</v>
      </c>
      <c r="J96" s="187">
        <f ca="1">IF(AND(C96&gt;=1,C96&lt;anal_period),WorkingCap*SUM(N96:R96)-WorkingCap*SUM(N95:R95),IF(C96&lt;0,0,IF(B96="","",-SUM(J$65:J95))))</f>
        <v>-1550641.3116628826</v>
      </c>
      <c r="K96" s="187" t="str">
        <f t="shared" si="4"/>
        <v/>
      </c>
      <c r="L96" s="187" t="str">
        <f t="shared" si="5"/>
        <v/>
      </c>
      <c r="M96" s="187" t="str">
        <f t="shared" si="6"/>
        <v/>
      </c>
      <c r="N96" s="187">
        <f t="shared" ca="1" si="7"/>
        <v>-35098701.478726901</v>
      </c>
      <c r="O96" s="187">
        <f t="shared" ca="1" si="8"/>
        <v>-372126629.02061188</v>
      </c>
      <c r="P96" s="187">
        <f t="shared" ca="1" si="9"/>
        <v>0</v>
      </c>
      <c r="Q96" s="187">
        <f t="shared" ca="1" si="10"/>
        <v>0</v>
      </c>
      <c r="R96" s="187">
        <f t="shared" ca="1" si="11"/>
        <v>-68364226.289538309</v>
      </c>
      <c r="S96" s="187">
        <f ca="1">IF(B96="","",IF($B$31=0,"",-'Debt Financing Calculations'!E45))</f>
        <v>-14030893.216149881</v>
      </c>
      <c r="T96" s="187">
        <f t="shared" ca="1" si="12"/>
        <v>86788187.492693961</v>
      </c>
      <c r="U96" s="187">
        <f ca="1">IF(C96="","",IF(C96&lt;-1,0,IF(C96=anal_period,-LOOKUP(C96,depr_yr,depr_cost)-Depreciation!$C$141-Depreciation!$B$166,-LOOKUP(C96,depr_yr,depr_cost))))</f>
        <v>-34417528.02418904</v>
      </c>
      <c r="V96" s="187">
        <f t="shared" ca="1" si="13"/>
        <v>52370659.468504921</v>
      </c>
      <c r="W96" s="188">
        <f t="shared" si="14"/>
        <v>0.25739999999999996</v>
      </c>
      <c r="X96" s="187">
        <f t="shared" ca="1" si="15"/>
        <v>-13480207.747193165</v>
      </c>
      <c r="Y96" s="187">
        <f t="shared" ca="1" si="16"/>
        <v>73307979.745500803</v>
      </c>
      <c r="Z96" s="187">
        <f>IF(C96="","",IF($B$31=0,"",-'Debt Financing Calculations'!F45))</f>
        <v>0</v>
      </c>
      <c r="AA96" s="187">
        <f t="shared" ca="1" si="17"/>
        <v>31115711.861792684</v>
      </c>
      <c r="AB96" s="187">
        <f t="shared" ca="1" si="23"/>
        <v>762669082.41592503</v>
      </c>
      <c r="AC96" s="1155">
        <f t="shared" ca="1" si="18"/>
        <v>44595919.608985849</v>
      </c>
      <c r="AD96" s="134"/>
      <c r="AE96" s="1159">
        <f t="shared" ca="1" si="19"/>
        <v>124628629.5</v>
      </c>
      <c r="AF96" s="1155">
        <f t="shared" si="20"/>
        <v>0</v>
      </c>
    </row>
    <row r="97" spans="1:32" x14ac:dyDescent="0.25">
      <c r="A97" s="58">
        <f t="shared" si="21"/>
        <v>2069</v>
      </c>
      <c r="B97" s="185">
        <f>IF(MAX($B$65:B96)&lt;(construct+anal_period),B96+1,"")</f>
        <v>33</v>
      </c>
      <c r="C97" s="185">
        <f t="shared" si="22"/>
        <v>30</v>
      </c>
      <c r="D97" s="185">
        <f t="shared" ref="D97:D113" si="25">IF(C97="","",IF(C97&lt;=plant_life,C97,IF(D96=plant_life,1,D96+1)))</f>
        <v>30</v>
      </c>
      <c r="E97" s="186">
        <f t="shared" ref="E97:E113" si="26">IF(C97="","",(1+inflation_rate)^(A97-$B$25))</f>
        <v>1.7260419083338554</v>
      </c>
      <c r="F97" s="59">
        <f t="shared" ref="F97:F113" ca="1" si="27">IF(C97="","",IF(C97&lt;0,0,IF(AND(C97=1,start_time&lt;1),E97*(H2_price_nominal*output_kgyear*start_time*percnt_revs+H2_price_nominal*output_kgyear*(1-start_time)),IF(C97&lt;=start_time,H2_price_nominal*E97*output_kgyear*percnt_revs,H2_price_nominal*output_kgyear*E97))))</f>
        <v>587360401.61017752</v>
      </c>
      <c r="G97" s="1168"/>
      <c r="H97" s="1177">
        <f t="shared" si="24"/>
        <v>0</v>
      </c>
      <c r="I97" s="187">
        <f ca="1">IF(OR(C97&lt;0,C97=""),"",-E97*INDEX('Replacement Costs'!$A$16:$H$57,MATCH(C97,'Replacement Costs'!$C$16:$C$57,0),MATCH("Total Yearly Replacement Costs",'Replacement Costs'!$A$16:$H$16,0)))</f>
        <v>-41413817.476914078</v>
      </c>
      <c r="J97" s="187">
        <f ca="1">IF(AND(C97&gt;=1,C97&lt;anal_period),WorkingCap*SUM(N97:R97)-WorkingCap*SUM(N96:R96),IF(C97&lt;0,0,IF(B97="","",-SUM(J$65:J96))))</f>
        <v>-1585288.0991587341</v>
      </c>
      <c r="K97" s="187" t="str">
        <f t="shared" ref="K97:K113" si="28">IF(C97=-construct,-E97*non_dep_infl,"")</f>
        <v/>
      </c>
      <c r="L97" s="187" t="str">
        <f t="shared" ref="L97:L113" si="29">IF(C97=anal_period,salvage*E97,"")</f>
        <v/>
      </c>
      <c r="M97" s="187" t="str">
        <f t="shared" ref="M97:M113" si="30">IF(D97=plant_life,-E97*decom,"")</f>
        <v/>
      </c>
      <c r="N97" s="187">
        <f t="shared" ref="N97:N113" ca="1" si="31">IF(C97="","",IF(C97&lt;0,0,IF(AND(C97=1,start_time&lt;1),-(inflated_fixed*percnt_fixed*start_time+(inflated_fixed*(1-start_time))),IF(C97&lt;=start_time,-inflated_fixed*percnt_fixed*E97,-inflated_fixed*E97))))</f>
        <v>-35765576.80682271</v>
      </c>
      <c r="O97" s="187">
        <f t="shared" ref="O97:O109" ca="1" si="32">IF(C97="","",IF(C97&lt;0,0,IF(AND(C97=1,start_time&lt;1),-(SUM(B171:E171)*output_kgyear*E97*percnt_var*start_time+SUM(B171:E171)*output_kgyear*E97*(1-start_time)),IF(C97&lt;=start_time,-SUM(B171:E171)*output_kgyear*E97*percnt_var,-SUM(B171:E171)*output_kgyear*E97))))</f>
        <v>-380721175.30526185</v>
      </c>
      <c r="P97" s="187">
        <f t="shared" ref="P97:P113" ca="1" si="33">IF(C97="","",IF(C97&lt;0,0,IF(AND(C97=1,start_time&lt;1),-(inflated_otherraw*E97*percnt_var*start_time+inflated_otherraw*E97*(1-start_time)),IF(C97&lt;=start_time,-inflated_otherraw*E97*percnt_var,-(inflated_otherraw*E97)))))</f>
        <v>0</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-69671392.004517481</v>
      </c>
      <c r="S97" s="187">
        <f ca="1">IF(B97="","",IF($B$31=0,"",-'Debt Financing Calculations'!E46))</f>
        <v>-14030893.216149881</v>
      </c>
      <c r="T97" s="187">
        <f t="shared" ref="T97:T113" ca="1" si="35">IF(C97="","",F97+SUM(L97:S97))</f>
        <v>87171364.277425587</v>
      </c>
      <c r="U97" s="187">
        <f ca="1">IF(C97="","",IF(C97&lt;-1,0,IF(C97=anal_period,-LOOKUP(C97,depr_yr,depr_cost)-Depreciation!$C$141-Depreciation!$B$166,-LOOKUP(C97,depr_yr,depr_cost))))</f>
        <v>-35071461.056648634</v>
      </c>
      <c r="V97" s="187">
        <f t="shared" ref="V97:V113" ca="1" si="36">IF(C97="","",SUM(T97:U97))</f>
        <v>52099903.220776953</v>
      </c>
      <c r="W97" s="188">
        <f t="shared" ref="W97:W113" si="37">IF(C97="","",$B$33)</f>
        <v>0.25739999999999996</v>
      </c>
      <c r="X97" s="187">
        <f t="shared" ref="X97:X113" ca="1" si="38">IF(C97="","",tax_credit-(V97*W97 +Upstream_CO2_taxpYear + Proc_CO2_taxpYear))</f>
        <v>-13410515.089027986</v>
      </c>
      <c r="Y97" s="187">
        <f t="shared" ref="Y97:Y113" ca="1" si="39">IF(C97="","",SUM(T97,X97))</f>
        <v>73760849.188397601</v>
      </c>
      <c r="Z97" s="187">
        <f>IF(C97="","",IF($B$31=0,"",-'Debt Financing Calculations'!F46))</f>
        <v>0</v>
      </c>
      <c r="AA97" s="187">
        <f t="shared" ref="AA97:AA113" ca="1" si="40">IF(C97="","",SUM(H97,I97,J97,K97,T97,X97,Z97))</f>
        <v>30761743.612324789</v>
      </c>
      <c r="AB97" s="187">
        <f t="shared" ca="1" si="23"/>
        <v>793430826.02824986</v>
      </c>
      <c r="AC97" s="1155">
        <f t="shared" ref="AC97:AC113" ca="1" si="41">IF(C97="","",SUM(H97,I97,J97,K97,T97,Z97))</f>
        <v>44172258.701352775</v>
      </c>
      <c r="AD97" s="134"/>
      <c r="AE97" s="1159">
        <f t="shared" ref="AE97:AE113" ca="1" si="42">IF(C97="","",IF(C97&lt;0,0,IF(AND(C97=1,start_time&lt;1),(output_kgyear*start_time*percnt_revs+output_kgyear*(1-start_time)),IF(C97&lt;=start_time,output_kgyear*percnt_revs,output_kgyear))))</f>
        <v>124628629.5</v>
      </c>
      <c r="AF97" s="1155">
        <f t="shared" ref="AF97:AF113" si="43">IF(C97="","",tax_credit)</f>
        <v>0</v>
      </c>
    </row>
    <row r="98" spans="1:32" x14ac:dyDescent="0.25">
      <c r="A98" s="58">
        <f t="shared" si="21"/>
        <v>2070</v>
      </c>
      <c r="B98" s="185">
        <f>IF(MAX($B$65:B97)&lt;(construct+anal_period),B97+1,"")</f>
        <v>34</v>
      </c>
      <c r="C98" s="185">
        <f t="shared" si="22"/>
        <v>31</v>
      </c>
      <c r="D98" s="185">
        <f t="shared" si="25"/>
        <v>31</v>
      </c>
      <c r="E98" s="186">
        <f t="shared" si="26"/>
        <v>1.7588367045921991</v>
      </c>
      <c r="F98" s="59">
        <f t="shared" ca="1" si="27"/>
        <v>598520249.24077106</v>
      </c>
      <c r="G98" s="1168"/>
      <c r="H98" s="1177">
        <f t="shared" si="24"/>
        <v>0</v>
      </c>
      <c r="I98" s="187">
        <f ca="1">IF(OR(C98&lt;0,C98=""),"",-E98*INDEX('Replacement Costs'!$A$16:$H$57,MATCH(C98,'Replacement Costs'!$C$16:$C$57,0),MATCH("Total Yearly Replacement Costs",'Replacement Costs'!$A$16:$H$16,0)))</f>
        <v>-42200680.008975461</v>
      </c>
      <c r="J98" s="187">
        <f ca="1">IF(AND(C98&gt;=1,C98&lt;anal_period),WorkingCap*SUM(N98:R98)-WorkingCap*SUM(N97:R97),IF(C98&lt;0,0,IF(B98="","",-SUM(J$65:J97))))</f>
        <v>-1620712.8323317021</v>
      </c>
      <c r="K98" s="187" t="str">
        <f t="shared" si="28"/>
        <v/>
      </c>
      <c r="L98" s="187" t="str">
        <f t="shared" si="29"/>
        <v/>
      </c>
      <c r="M98" s="187" t="str">
        <f t="shared" si="30"/>
        <v/>
      </c>
      <c r="N98" s="187">
        <f t="shared" ca="1" si="31"/>
        <v>-36445122.766152352</v>
      </c>
      <c r="O98" s="187">
        <f t="shared" ca="1" si="32"/>
        <v>-389514219.14444989</v>
      </c>
      <c r="P98" s="187">
        <f t="shared" ca="1" si="33"/>
        <v>0</v>
      </c>
      <c r="Q98" s="187">
        <f t="shared" ca="1" si="10"/>
        <v>0</v>
      </c>
      <c r="R98" s="187">
        <f t="shared" ca="1" si="34"/>
        <v>-71003554.421544567</v>
      </c>
      <c r="S98" s="187">
        <f ca="1">IF(B98="","",IF($B$31=0,"",-'Debt Financing Calculations'!E47))</f>
        <v>-14030893.216149881</v>
      </c>
      <c r="T98" s="187">
        <f t="shared" ca="1" si="35"/>
        <v>87526459.692474425</v>
      </c>
      <c r="U98" s="187">
        <f ca="1">IF(C98="","",IF(C98&lt;-1,0,IF(C98=anal_period,-LOOKUP(C98,depr_yr,depr_cost)-Depreciation!$C$141-Depreciation!$B$166,-LOOKUP(C98,depr_yr,depr_cost))))</f>
        <v>-35737818.816724956</v>
      </c>
      <c r="V98" s="187">
        <f t="shared" ca="1" si="36"/>
        <v>51788640.875749469</v>
      </c>
      <c r="W98" s="188">
        <f t="shared" si="37"/>
        <v>0.25739999999999996</v>
      </c>
      <c r="X98" s="187">
        <f t="shared" ca="1" si="38"/>
        <v>-13330396.161417911</v>
      </c>
      <c r="Y98" s="187">
        <f t="shared" ca="1" si="39"/>
        <v>74196063.531056508</v>
      </c>
      <c r="Z98" s="187">
        <f>IF(C98="","",IF($B$31=0,"",-'Debt Financing Calculations'!F47))</f>
        <v>0</v>
      </c>
      <c r="AA98" s="187">
        <f t="shared" ca="1" si="40"/>
        <v>30374670.689749353</v>
      </c>
      <c r="AB98" s="187">
        <f t="shared" ca="1" si="23"/>
        <v>823805496.71799922</v>
      </c>
      <c r="AC98" s="1155">
        <f t="shared" ca="1" si="41"/>
        <v>43705066.851167262</v>
      </c>
      <c r="AD98" s="134"/>
      <c r="AE98" s="1159">
        <f t="shared" ca="1" si="42"/>
        <v>124628629.5</v>
      </c>
      <c r="AF98" s="1155">
        <f t="shared" si="43"/>
        <v>0</v>
      </c>
    </row>
    <row r="99" spans="1:32" x14ac:dyDescent="0.25">
      <c r="A99" s="58">
        <f t="shared" si="21"/>
        <v>2071</v>
      </c>
      <c r="B99" s="185">
        <f>IF(MAX($B$65:B98)&lt;(construct+anal_period),B98+1,"")</f>
        <v>35</v>
      </c>
      <c r="C99" s="185">
        <f t="shared" si="22"/>
        <v>32</v>
      </c>
      <c r="D99" s="185">
        <f t="shared" si="25"/>
        <v>32</v>
      </c>
      <c r="E99" s="186">
        <f t="shared" si="26"/>
        <v>1.7922546019794507</v>
      </c>
      <c r="F99" s="59">
        <f t="shared" ca="1" si="27"/>
        <v>609892133.97634566</v>
      </c>
      <c r="G99" s="1168"/>
      <c r="H99" s="1177">
        <f t="shared" si="24"/>
        <v>0</v>
      </c>
      <c r="I99" s="187">
        <f ca="1">IF(OR(C99&lt;0,C99=""),"",-E99*INDEX('Replacement Costs'!$A$16:$H$57,MATCH(C99,'Replacement Costs'!$C$16:$C$57,0),MATCH("Total Yearly Replacement Costs",'Replacement Costs'!$A$16:$H$16,0)))</f>
        <v>-43002492.929145992</v>
      </c>
      <c r="J99" s="187">
        <f ca="1">IF(AND(C99&gt;=1,C99&lt;anal_period),WorkingCap*SUM(N99:R99)-WorkingCap*SUM(N98:R98),IF(C99&lt;0,0,IF(B99="","",-SUM(J$65:J98))))</f>
        <v>-1614864.2369935066</v>
      </c>
      <c r="K99" s="187" t="str">
        <f t="shared" si="28"/>
        <v/>
      </c>
      <c r="L99" s="187" t="str">
        <f t="shared" si="29"/>
        <v/>
      </c>
      <c r="M99" s="187" t="str">
        <f t="shared" si="30"/>
        <v/>
      </c>
      <c r="N99" s="187">
        <f t="shared" ca="1" si="31"/>
        <v>-37137580.098709241</v>
      </c>
      <c r="O99" s="187">
        <f t="shared" ca="1" si="32"/>
        <v>-398232863.78173494</v>
      </c>
      <c r="P99" s="187">
        <f t="shared" ca="1" si="33"/>
        <v>0</v>
      </c>
      <c r="Q99" s="187">
        <f t="shared" ca="1" si="10"/>
        <v>0</v>
      </c>
      <c r="R99" s="187">
        <f t="shared" ca="1" si="34"/>
        <v>-72358214.03165926</v>
      </c>
      <c r="S99" s="187">
        <f ca="1">IF(B99="","",IF($B$31=0,"",-'Debt Financing Calculations'!E48))</f>
        <v>-14030893.216149881</v>
      </c>
      <c r="T99" s="187">
        <f t="shared" ca="1" si="35"/>
        <v>88132582.848092377</v>
      </c>
      <c r="U99" s="187">
        <f ca="1">IF(C99="","",IF(C99&lt;-1,0,IF(C99=anal_period,-LOOKUP(C99,depr_yr,depr_cost)-Depreciation!$C$141-Depreciation!$B$166,-LOOKUP(C99,depr_yr,depr_cost))))</f>
        <v>-36416837.374242738</v>
      </c>
      <c r="V99" s="187">
        <f t="shared" ca="1" si="36"/>
        <v>51715745.473849639</v>
      </c>
      <c r="W99" s="188">
        <f t="shared" si="37"/>
        <v>0.25739999999999996</v>
      </c>
      <c r="X99" s="187">
        <f t="shared" ca="1" si="38"/>
        <v>-13311632.884968895</v>
      </c>
      <c r="Y99" s="187">
        <f t="shared" ca="1" si="39"/>
        <v>74820949.963123485</v>
      </c>
      <c r="Z99" s="187">
        <f>IF(C99="","",IF($B$31=0,"",-'Debt Financing Calculations'!F48))</f>
        <v>0</v>
      </c>
      <c r="AA99" s="187">
        <f t="shared" ca="1" si="40"/>
        <v>30203592.796983983</v>
      </c>
      <c r="AB99" s="187">
        <f t="shared" ca="1" si="23"/>
        <v>854009089.51498318</v>
      </c>
      <c r="AC99" s="1155">
        <f t="shared" ca="1" si="41"/>
        <v>43515225.681952879</v>
      </c>
      <c r="AD99" s="134"/>
      <c r="AE99" s="1159">
        <f t="shared" ca="1" si="42"/>
        <v>124628629.5</v>
      </c>
      <c r="AF99" s="1155">
        <f t="shared" si="43"/>
        <v>0</v>
      </c>
    </row>
    <row r="100" spans="1:32" x14ac:dyDescent="0.25">
      <c r="A100" s="58">
        <f t="shared" si="21"/>
        <v>2072</v>
      </c>
      <c r="B100" s="185">
        <f>IF(MAX($B$65:B99)&lt;(construct+anal_period),B99+1,"")</f>
        <v>36</v>
      </c>
      <c r="C100" s="185">
        <f t="shared" si="22"/>
        <v>33</v>
      </c>
      <c r="D100" s="185">
        <f t="shared" si="25"/>
        <v>33</v>
      </c>
      <c r="E100" s="186">
        <f t="shared" si="26"/>
        <v>1.8263074394170602</v>
      </c>
      <c r="F100" s="59">
        <f t="shared" ca="1" si="27"/>
        <v>621480084.52189624</v>
      </c>
      <c r="G100" s="1168"/>
      <c r="H100" s="1177">
        <f t="shared" si="24"/>
        <v>0</v>
      </c>
      <c r="I100" s="187">
        <f ca="1">IF(OR(C100&lt;0,C100=""),"",-E100*INDEX('Replacement Costs'!$A$16:$H$57,MATCH(C100,'Replacement Costs'!$C$16:$C$57,0),MATCH("Total Yearly Replacement Costs",'Replacement Costs'!$A$16:$H$16,0)))</f>
        <v>-43819540.29479976</v>
      </c>
      <c r="J100" s="187">
        <f ca="1">IF(AND(C100&gt;=1,C100&lt;anal_period),WorkingCap*SUM(N100:R100)-WorkingCap*SUM(N99:R99),IF(C100&lt;0,0,IF(B100="","",-SUM(J$65:J99))))</f>
        <v>-1649987.6258802116</v>
      </c>
      <c r="K100" s="187" t="str">
        <f t="shared" si="28"/>
        <v/>
      </c>
      <c r="L100" s="187" t="str">
        <f t="shared" si="29"/>
        <v/>
      </c>
      <c r="M100" s="187" t="str">
        <f t="shared" si="30"/>
        <v/>
      </c>
      <c r="N100" s="187">
        <f t="shared" ca="1" si="31"/>
        <v>-37843194.120584719</v>
      </c>
      <c r="O100" s="187">
        <f t="shared" ca="1" si="32"/>
        <v>-407146661.15177059</v>
      </c>
      <c r="P100" s="187">
        <f t="shared" ca="1" si="33"/>
        <v>0</v>
      </c>
      <c r="Q100" s="187">
        <f t="shared" ca="1" si="10"/>
        <v>0</v>
      </c>
      <c r="R100" s="187">
        <f t="shared" ca="1" si="34"/>
        <v>-73738720.145616189</v>
      </c>
      <c r="S100" s="187">
        <f ca="1">IF(B100="","",IF($B$31=0,"",-'Debt Financing Calculations'!E49))</f>
        <v>-14030893.216149881</v>
      </c>
      <c r="T100" s="187">
        <f t="shared" ca="1" si="35"/>
        <v>88720615.887774885</v>
      </c>
      <c r="U100" s="187">
        <f ca="1">IF(C100="","",IF(C100&lt;-1,0,IF(C100=anal_period,-LOOKUP(C100,depr_yr,depr_cost)-Depreciation!$C$141-Depreciation!$B$166,-LOOKUP(C100,depr_yr,depr_cost))))</f>
        <v>-37108757.284353331</v>
      </c>
      <c r="V100" s="187">
        <f t="shared" ca="1" si="36"/>
        <v>51611858.603421554</v>
      </c>
      <c r="W100" s="188">
        <f t="shared" si="37"/>
        <v>0.25739999999999996</v>
      </c>
      <c r="X100" s="187">
        <f t="shared" ca="1" si="38"/>
        <v>-13284892.404520705</v>
      </c>
      <c r="Y100" s="187">
        <f t="shared" ca="1" si="39"/>
        <v>75435723.483254179</v>
      </c>
      <c r="Z100" s="187">
        <f>IF(C100="","",IF($B$31=0,"",-'Debt Financing Calculations'!F49))</f>
        <v>0</v>
      </c>
      <c r="AA100" s="187">
        <f t="shared" ca="1" si="40"/>
        <v>29966195.562574208</v>
      </c>
      <c r="AB100" s="187">
        <f t="shared" ca="1" si="23"/>
        <v>883975285.07755733</v>
      </c>
      <c r="AC100" s="1155">
        <f t="shared" ca="1" si="41"/>
        <v>43251087.967094913</v>
      </c>
      <c r="AD100" s="134"/>
      <c r="AE100" s="1159">
        <f t="shared" ca="1" si="42"/>
        <v>124628629.5</v>
      </c>
      <c r="AF100" s="1155">
        <f t="shared" si="43"/>
        <v>0</v>
      </c>
    </row>
    <row r="101" spans="1:32" x14ac:dyDescent="0.25">
      <c r="A101" s="58">
        <f t="shared" si="21"/>
        <v>2073</v>
      </c>
      <c r="B101" s="185">
        <f>IF(MAX($B$65:B100)&lt;(construct+anal_period),B100+1,"")</f>
        <v>37</v>
      </c>
      <c r="C101" s="185">
        <f t="shared" si="22"/>
        <v>34</v>
      </c>
      <c r="D101" s="185">
        <f t="shared" si="25"/>
        <v>34</v>
      </c>
      <c r="E101" s="186">
        <f t="shared" si="26"/>
        <v>1.8610072807659841</v>
      </c>
      <c r="F101" s="59">
        <f t="shared" ca="1" si="27"/>
        <v>633288206.12781215</v>
      </c>
      <c r="G101" s="1168"/>
      <c r="H101" s="1177">
        <f t="shared" si="24"/>
        <v>0</v>
      </c>
      <c r="I101" s="187">
        <f ca="1">IF(OR(C101&lt;0,C101=""),"",-E101*INDEX('Replacement Costs'!$A$16:$H$57,MATCH(C101,'Replacement Costs'!$C$16:$C$57,0),MATCH("Total Yearly Replacement Costs",'Replacement Costs'!$A$16:$H$16,0)))</f>
        <v>-44652111.560400948</v>
      </c>
      <c r="J101" s="187">
        <f ca="1">IF(AND(C101&gt;=1,C101&lt;anal_period),WorkingCap*SUM(N101:R101)-WorkingCap*SUM(N100:R100),IF(C101&lt;0,0,IF(B101="","",-SUM(J$65:J100))))</f>
        <v>-1685877.7132275105</v>
      </c>
      <c r="K101" s="187" t="str">
        <f t="shared" si="28"/>
        <v/>
      </c>
      <c r="L101" s="187" t="str">
        <f t="shared" si="29"/>
        <v/>
      </c>
      <c r="M101" s="187" t="str">
        <f t="shared" si="30"/>
        <v/>
      </c>
      <c r="N101" s="187">
        <f t="shared" ca="1" si="31"/>
        <v>-38562214.808875822</v>
      </c>
      <c r="O101" s="187">
        <f t="shared" ca="1" si="32"/>
        <v>-416259979.43225926</v>
      </c>
      <c r="P101" s="187">
        <f t="shared" ca="1" si="33"/>
        <v>0</v>
      </c>
      <c r="Q101" s="187">
        <f t="shared" ca="1" si="10"/>
        <v>0</v>
      </c>
      <c r="R101" s="187">
        <f t="shared" ca="1" si="34"/>
        <v>-75145565.931686565</v>
      </c>
      <c r="S101" s="187">
        <f ca="1">IF(B101="","",IF($B$31=0,"",-'Debt Financing Calculations'!E50))</f>
        <v>-14030893.216149881</v>
      </c>
      <c r="T101" s="187">
        <f t="shared" ca="1" si="35"/>
        <v>89289552.73884058</v>
      </c>
      <c r="U101" s="187">
        <f ca="1">IF(C101="","",IF(C101&lt;-1,0,IF(C101=anal_period,-LOOKUP(C101,depr_yr,depr_cost)-Depreciation!$C$141-Depreciation!$B$166,-LOOKUP(C101,depr_yr,depr_cost))))</f>
        <v>-37813823.672756054</v>
      </c>
      <c r="V101" s="187">
        <f t="shared" ca="1" si="36"/>
        <v>51475729.066084526</v>
      </c>
      <c r="W101" s="188">
        <f t="shared" si="37"/>
        <v>0.25739999999999996</v>
      </c>
      <c r="X101" s="187">
        <f t="shared" ca="1" si="38"/>
        <v>-13249852.661610154</v>
      </c>
      <c r="Y101" s="187">
        <f t="shared" ca="1" si="39"/>
        <v>76039700.077230424</v>
      </c>
      <c r="Z101" s="187">
        <f>IF(C101="","",IF($B$31=0,"",-'Debt Financing Calculations'!F50))</f>
        <v>0</v>
      </c>
      <c r="AA101" s="187">
        <f t="shared" ca="1" si="40"/>
        <v>29701710.803601965</v>
      </c>
      <c r="AB101" s="187">
        <f t="shared" ca="1" si="23"/>
        <v>913676995.88115931</v>
      </c>
      <c r="AC101" s="1155">
        <f t="shared" ca="1" si="41"/>
        <v>42951563.465212122</v>
      </c>
      <c r="AD101" s="134"/>
      <c r="AE101" s="1159">
        <f t="shared" ca="1" si="42"/>
        <v>124628629.5</v>
      </c>
      <c r="AF101" s="1155">
        <f t="shared" si="43"/>
        <v>0</v>
      </c>
    </row>
    <row r="102" spans="1:32" x14ac:dyDescent="0.25">
      <c r="A102" s="58">
        <f t="shared" si="21"/>
        <v>2074</v>
      </c>
      <c r="B102" s="185">
        <f>IF(MAX($B$65:B101)&lt;(construct+anal_period),B101+1,"")</f>
        <v>38</v>
      </c>
      <c r="C102" s="185">
        <f t="shared" si="22"/>
        <v>35</v>
      </c>
      <c r="D102" s="185">
        <f t="shared" si="25"/>
        <v>35</v>
      </c>
      <c r="E102" s="186">
        <f t="shared" si="26"/>
        <v>1.8963664191005378</v>
      </c>
      <c r="F102" s="59">
        <f t="shared" ca="1" si="27"/>
        <v>645320682.04424059</v>
      </c>
      <c r="G102" s="1168"/>
      <c r="H102" s="1177">
        <f t="shared" si="24"/>
        <v>0</v>
      </c>
      <c r="I102" s="187">
        <f ca="1">IF(OR(C102&lt;0,C102=""),"",-E102*INDEX('Replacement Costs'!$A$16:$H$57,MATCH(C102,'Replacement Costs'!$C$16:$C$57,0),MATCH("Total Yearly Replacement Costs",'Replacement Costs'!$A$16:$H$16,0)))</f>
        <v>-45500501.68004857</v>
      </c>
      <c r="J102" s="187">
        <f ca="1">IF(AND(C102&gt;=1,C102&lt;anal_period),WorkingCap*SUM(N102:R102)-WorkingCap*SUM(N101:R101),IF(C102&lt;0,0,IF(B102="","",-SUM(J$65:J101))))</f>
        <v>-1722551.2892243862</v>
      </c>
      <c r="K102" s="187" t="str">
        <f t="shared" si="28"/>
        <v/>
      </c>
      <c r="L102" s="187" t="str">
        <f t="shared" si="29"/>
        <v/>
      </c>
      <c r="M102" s="187" t="str">
        <f t="shared" si="30"/>
        <v/>
      </c>
      <c r="N102" s="187">
        <f t="shared" ca="1" si="31"/>
        <v>-39294896.890244462</v>
      </c>
      <c r="O102" s="187">
        <f t="shared" ca="1" si="32"/>
        <v>-425577284.5754832</v>
      </c>
      <c r="P102" s="187">
        <f t="shared" ca="1" si="33"/>
        <v>0</v>
      </c>
      <c r="Q102" s="187">
        <f t="shared" ca="1" si="10"/>
        <v>0</v>
      </c>
      <c r="R102" s="187">
        <f t="shared" ca="1" si="34"/>
        <v>-76579253.968589827</v>
      </c>
      <c r="S102" s="187">
        <f ca="1">IF(B102="","",IF($B$31=0,"",-'Debt Financing Calculations'!E51))</f>
        <v>-14030893.216149881</v>
      </c>
      <c r="T102" s="187">
        <f t="shared" ca="1" si="35"/>
        <v>89838353.393773198</v>
      </c>
      <c r="U102" s="187">
        <f ca="1">IF(C102="","",IF(C102&lt;-1,0,IF(C102=anal_period,-LOOKUP(C102,depr_yr,depr_cost)-Depreciation!$C$141-Depreciation!$B$166,-LOOKUP(C102,depr_yr,depr_cost))))</f>
        <v>-38532286.322538413</v>
      </c>
      <c r="V102" s="187">
        <f t="shared" ca="1" si="36"/>
        <v>51306067.071234785</v>
      </c>
      <c r="W102" s="188">
        <f t="shared" si="37"/>
        <v>0.25739999999999996</v>
      </c>
      <c r="X102" s="187">
        <f t="shared" ca="1" si="38"/>
        <v>-13206181.664135832</v>
      </c>
      <c r="Y102" s="187">
        <f t="shared" ca="1" si="39"/>
        <v>76632171.72963737</v>
      </c>
      <c r="Z102" s="187">
        <f>IF(C102="","",IF($B$31=0,"",-'Debt Financing Calculations'!F51))</f>
        <v>0</v>
      </c>
      <c r="AA102" s="187">
        <f t="shared" ca="1" si="40"/>
        <v>29409118.76036441</v>
      </c>
      <c r="AB102" s="187">
        <f t="shared" ca="1" si="23"/>
        <v>943086114.64152372</v>
      </c>
      <c r="AC102" s="1155">
        <f t="shared" ca="1" si="41"/>
        <v>42615300.424500242</v>
      </c>
      <c r="AD102" s="134"/>
      <c r="AE102" s="1159">
        <f t="shared" ca="1" si="42"/>
        <v>124628629.5</v>
      </c>
      <c r="AF102" s="1155">
        <f t="shared" si="43"/>
        <v>0</v>
      </c>
    </row>
    <row r="103" spans="1:32" x14ac:dyDescent="0.25">
      <c r="A103" s="58">
        <f t="shared" si="21"/>
        <v>2075</v>
      </c>
      <c r="B103" s="185">
        <f>IF(MAX($B$65:B102)&lt;(construct+anal_period),B102+1,"")</f>
        <v>39</v>
      </c>
      <c r="C103" s="185">
        <f t="shared" si="22"/>
        <v>36</v>
      </c>
      <c r="D103" s="185">
        <f t="shared" si="25"/>
        <v>36</v>
      </c>
      <c r="E103" s="186">
        <f t="shared" si="26"/>
        <v>1.932397381063448</v>
      </c>
      <c r="F103" s="59">
        <f t="shared" ca="1" si="27"/>
        <v>657581775.0030812</v>
      </c>
      <c r="G103" s="1168"/>
      <c r="H103" s="1177">
        <f t="shared" si="24"/>
        <v>0</v>
      </c>
      <c r="I103" s="187">
        <f ca="1">IF(OR(C103&lt;0,C103=""),"",-E103*INDEX('Replacement Costs'!$A$16:$H$57,MATCH(C103,'Replacement Costs'!$C$16:$C$57,0),MATCH("Total Yearly Replacement Costs",'Replacement Costs'!$A$16:$H$16,0)))</f>
        <v>-46365011.211969495</v>
      </c>
      <c r="J103" s="187">
        <f ca="1">IF(AND(C103&gt;=1,C103&lt;anal_period),WorkingCap*SUM(N103:R103)-WorkingCap*SUM(N102:R102),IF(C103&lt;0,0,IF(B103="","",-SUM(J$65:J102))))</f>
        <v>-1760025.5128111541</v>
      </c>
      <c r="K103" s="187" t="str">
        <f t="shared" si="28"/>
        <v/>
      </c>
      <c r="L103" s="187" t="str">
        <f t="shared" si="29"/>
        <v/>
      </c>
      <c r="M103" s="187" t="str">
        <f t="shared" si="30"/>
        <v/>
      </c>
      <c r="N103" s="187">
        <f t="shared" ca="1" si="31"/>
        <v>-40041499.931159109</v>
      </c>
      <c r="O103" s="187">
        <f t="shared" ca="1" si="32"/>
        <v>-435103142.49683005</v>
      </c>
      <c r="P103" s="187">
        <f t="shared" ca="1" si="33"/>
        <v>0</v>
      </c>
      <c r="Q103" s="187">
        <f t="shared" ca="1" si="10"/>
        <v>0</v>
      </c>
      <c r="R103" s="187">
        <f t="shared" ca="1" si="34"/>
        <v>-78040296.425069466</v>
      </c>
      <c r="S103" s="187">
        <f ca="1">IF(B103="","",IF($B$31=0,"",-'Debt Financing Calculations'!E52))</f>
        <v>-14030893.216149881</v>
      </c>
      <c r="T103" s="187">
        <f t="shared" ca="1" si="35"/>
        <v>90365942.9338727</v>
      </c>
      <c r="U103" s="187">
        <f ca="1">IF(C103="","",IF(C103&lt;-1,0,IF(C103=anal_period,-LOOKUP(C103,depr_yr,depr_cost)-Depreciation!$C$141-Depreciation!$B$166,-LOOKUP(C103,depr_yr,depr_cost))))</f>
        <v>-39264399.762666635</v>
      </c>
      <c r="V103" s="187">
        <f t="shared" ca="1" si="36"/>
        <v>51101543.171206065</v>
      </c>
      <c r="W103" s="188">
        <f t="shared" si="37"/>
        <v>0.25739999999999996</v>
      </c>
      <c r="X103" s="187">
        <f t="shared" ca="1" si="38"/>
        <v>-13153537.212268438</v>
      </c>
      <c r="Y103" s="187">
        <f t="shared" ca="1" si="39"/>
        <v>77212405.721604258</v>
      </c>
      <c r="Z103" s="187">
        <f>IF(C103="","",IF($B$31=0,"",-'Debt Financing Calculations'!F52))</f>
        <v>0</v>
      </c>
      <c r="AA103" s="187">
        <f t="shared" ca="1" si="40"/>
        <v>29087368.996823613</v>
      </c>
      <c r="AB103" s="187">
        <f t="shared" ca="1" si="23"/>
        <v>972173483.63834739</v>
      </c>
      <c r="AC103" s="1155">
        <f t="shared" ca="1" si="41"/>
        <v>42240906.209092051</v>
      </c>
      <c r="AD103" s="134"/>
      <c r="AE103" s="1159">
        <f t="shared" ca="1" si="42"/>
        <v>124628629.5</v>
      </c>
      <c r="AF103" s="1155">
        <f t="shared" si="43"/>
        <v>0</v>
      </c>
    </row>
    <row r="104" spans="1:32" x14ac:dyDescent="0.25">
      <c r="A104" s="58">
        <f t="shared" si="21"/>
        <v>2076</v>
      </c>
      <c r="B104" s="185">
        <f>IF(MAX($B$65:B103)&lt;(construct+anal_period),B103+1,"")</f>
        <v>40</v>
      </c>
      <c r="C104" s="185">
        <f t="shared" si="22"/>
        <v>37</v>
      </c>
      <c r="D104" s="185">
        <f t="shared" si="25"/>
        <v>37</v>
      </c>
      <c r="E104" s="186">
        <f t="shared" si="26"/>
        <v>1.9691129313036535</v>
      </c>
      <c r="F104" s="59">
        <f t="shared" ca="1" si="27"/>
        <v>670075828.72813976</v>
      </c>
      <c r="G104" s="1168"/>
      <c r="H104" s="1177">
        <f t="shared" si="24"/>
        <v>0</v>
      </c>
      <c r="I104" s="187">
        <f ca="1">IF(OR(C104&lt;0,C104=""),"",-E104*INDEX('Replacement Costs'!$A$16:$H$57,MATCH(C104,'Replacement Costs'!$C$16:$C$57,0),MATCH("Total Yearly Replacement Costs",'Replacement Costs'!$A$16:$H$16,0)))</f>
        <v>-47245946.424996912</v>
      </c>
      <c r="J104" s="187">
        <f ca="1">IF(AND(C104&gt;=1,C104&lt;anal_period),WorkingCap*SUM(N104:R104)-WorkingCap*SUM(N103:R103),IF(C104&lt;0,0,IF(B104="","",-SUM(J$65:J103))))</f>
        <v>-1718149.620908916</v>
      </c>
      <c r="K104" s="187" t="str">
        <f t="shared" si="28"/>
        <v/>
      </c>
      <c r="L104" s="187" t="str">
        <f t="shared" si="29"/>
        <v/>
      </c>
      <c r="M104" s="187" t="str">
        <f t="shared" si="30"/>
        <v/>
      </c>
      <c r="N104" s="187">
        <f t="shared" ca="1" si="31"/>
        <v>-40802288.42985113</v>
      </c>
      <c r="O104" s="187">
        <f t="shared" ca="1" si="32"/>
        <v>-444316222.18649733</v>
      </c>
      <c r="P104" s="187">
        <f t="shared" ca="1" si="33"/>
        <v>0</v>
      </c>
      <c r="Q104" s="187">
        <f t="shared" ca="1" si="10"/>
        <v>0</v>
      </c>
      <c r="R104" s="187">
        <f t="shared" ca="1" si="34"/>
        <v>-79520759.042769507</v>
      </c>
      <c r="S104" s="187">
        <f ca="1">IF(B104="","",IF($B$31=0,"",-'Debt Financing Calculations'!E53))</f>
        <v>-14030893.216149881</v>
      </c>
      <c r="T104" s="187">
        <f t="shared" ca="1" si="35"/>
        <v>91405665.852871895</v>
      </c>
      <c r="U104" s="187">
        <f ca="1">IF(C104="","",IF(C104&lt;-1,0,IF(C104=anal_period,-LOOKUP(C104,depr_yr,depr_cost)-Depreciation!$C$141-Depreciation!$B$166,-LOOKUP(C104,depr_yr,depr_cost))))</f>
        <v>-40010423.358157314</v>
      </c>
      <c r="V104" s="187">
        <f t="shared" ca="1" si="36"/>
        <v>51395242.49471458</v>
      </c>
      <c r="W104" s="188">
        <f t="shared" si="37"/>
        <v>0.25739999999999996</v>
      </c>
      <c r="X104" s="187">
        <f t="shared" ca="1" si="38"/>
        <v>-13229135.41813953</v>
      </c>
      <c r="Y104" s="187">
        <f t="shared" ca="1" si="39"/>
        <v>78176530.434732363</v>
      </c>
      <c r="Z104" s="187">
        <f>IF(C104="","",IF($B$31=0,"",-'Debt Financing Calculations'!F53))</f>
        <v>0</v>
      </c>
      <c r="AA104" s="187">
        <f t="shared" ca="1" si="40"/>
        <v>29212434.388826534</v>
      </c>
      <c r="AB104" s="187">
        <f t="shared" ca="1" si="23"/>
        <v>1001385918.0271739</v>
      </c>
      <c r="AC104" s="1155">
        <f t="shared" ca="1" si="41"/>
        <v>42441569.806966066</v>
      </c>
      <c r="AD104" s="134"/>
      <c r="AE104" s="1159">
        <f t="shared" ca="1" si="42"/>
        <v>124628629.5</v>
      </c>
      <c r="AF104" s="1155">
        <f t="shared" si="43"/>
        <v>0</v>
      </c>
    </row>
    <row r="105" spans="1:32" x14ac:dyDescent="0.25">
      <c r="A105" s="58">
        <f t="shared" si="21"/>
        <v>2077</v>
      </c>
      <c r="B105" s="185">
        <f>IF(MAX($B$65:B104)&lt;(construct+anal_period),B104+1,"")</f>
        <v>41</v>
      </c>
      <c r="C105" s="185">
        <f t="shared" si="22"/>
        <v>38</v>
      </c>
      <c r="D105" s="185">
        <f t="shared" si="25"/>
        <v>38</v>
      </c>
      <c r="E105" s="186">
        <f t="shared" si="26"/>
        <v>2.0065260769984223</v>
      </c>
      <c r="F105" s="59">
        <f t="shared" ca="1" si="27"/>
        <v>682807269.47397423</v>
      </c>
      <c r="G105" s="1168"/>
      <c r="H105" s="1177">
        <f t="shared" si="24"/>
        <v>0</v>
      </c>
      <c r="I105" s="187">
        <f ca="1">IF(OR(C105&lt;0,C105=""),"",-E105*INDEX('Replacement Costs'!$A$16:$H$57,MATCH(C105,'Replacement Costs'!$C$16:$C$57,0),MATCH("Total Yearly Replacement Costs",'Replacement Costs'!$A$16:$H$16,0)))</f>
        <v>-48143619.407071836</v>
      </c>
      <c r="J105" s="187">
        <f ca="1">IF(AND(C105&gt;=1,C105&lt;anal_period),WorkingCap*SUM(N105:R105)-WorkingCap*SUM(N104:R104),IF(C105&lt;0,0,IF(B105="","",-SUM(J$65:J104))))</f>
        <v>-1753792.9787108302</v>
      </c>
      <c r="K105" s="187" t="str">
        <f t="shared" si="28"/>
        <v/>
      </c>
      <c r="L105" s="187" t="str">
        <f t="shared" si="29"/>
        <v/>
      </c>
      <c r="M105" s="187" t="str">
        <f t="shared" si="30"/>
        <v/>
      </c>
      <c r="N105" s="187">
        <f t="shared" ca="1" si="31"/>
        <v>-41577531.910018288</v>
      </c>
      <c r="O105" s="187">
        <f t="shared" ca="1" si="32"/>
        <v>-453724383.9821707</v>
      </c>
      <c r="P105" s="187">
        <f t="shared" ca="1" si="33"/>
        <v>0</v>
      </c>
      <c r="Q105" s="187">
        <f t="shared" ca="1" si="10"/>
        <v>0</v>
      </c>
      <c r="R105" s="187">
        <f t="shared" ca="1" si="34"/>
        <v>-81029306.95833452</v>
      </c>
      <c r="S105" s="187">
        <f ca="1">IF(B105="","",IF($B$31=0,"",-'Debt Financing Calculations'!E54))</f>
        <v>-14030893.216149881</v>
      </c>
      <c r="T105" s="187">
        <f t="shared" ca="1" si="35"/>
        <v>92445153.40730083</v>
      </c>
      <c r="U105" s="187">
        <f ca="1">IF(C105="","",IF(C105&lt;-1,0,IF(C105=anal_period,-LOOKUP(C105,depr_yr,depr_cost)-Depreciation!$C$141-Depreciation!$B$166,-LOOKUP(C105,depr_yr,depr_cost))))</f>
        <v>-40770621.401962295</v>
      </c>
      <c r="V105" s="187">
        <f t="shared" ca="1" si="36"/>
        <v>51674532.005338535</v>
      </c>
      <c r="W105" s="188">
        <f t="shared" si="37"/>
        <v>0.25739999999999996</v>
      </c>
      <c r="X105" s="187">
        <f t="shared" ca="1" si="38"/>
        <v>-13301024.538174137</v>
      </c>
      <c r="Y105" s="187">
        <f t="shared" ca="1" si="39"/>
        <v>79144128.869126692</v>
      </c>
      <c r="Z105" s="187">
        <f>IF(C105="","",IF($B$31=0,"",-'Debt Financing Calculations'!F54))</f>
        <v>0</v>
      </c>
      <c r="AA105" s="187">
        <f t="shared" ca="1" si="40"/>
        <v>29246716.483344026</v>
      </c>
      <c r="AB105" s="187">
        <f t="shared" ca="1" si="23"/>
        <v>1030632634.510518</v>
      </c>
      <c r="AC105" s="1155">
        <f t="shared" ca="1" si="41"/>
        <v>42547741.021518163</v>
      </c>
      <c r="AD105" s="134"/>
      <c r="AE105" s="1159">
        <f t="shared" ca="1" si="42"/>
        <v>124628629.5</v>
      </c>
      <c r="AF105" s="1155">
        <f t="shared" si="43"/>
        <v>0</v>
      </c>
    </row>
    <row r="106" spans="1:32" x14ac:dyDescent="0.25">
      <c r="A106" s="58">
        <f t="shared" si="21"/>
        <v>2078</v>
      </c>
      <c r="B106" s="185">
        <f>IF(MAX($B$65:B105)&lt;(construct+anal_period),B105+1,"")</f>
        <v>42</v>
      </c>
      <c r="C106" s="185">
        <f t="shared" si="22"/>
        <v>39</v>
      </c>
      <c r="D106" s="185">
        <f t="shared" si="25"/>
        <v>39</v>
      </c>
      <c r="E106" s="186">
        <f t="shared" si="26"/>
        <v>2.0446500724613927</v>
      </c>
      <c r="F106" s="59">
        <f t="shared" ca="1" si="27"/>
        <v>695780607.59397984</v>
      </c>
      <c r="G106" s="1168"/>
      <c r="H106" s="1177">
        <f t="shared" si="24"/>
        <v>0</v>
      </c>
      <c r="I106" s="187">
        <f ca="1">IF(OR(C106&lt;0,C106=""),"",-E106*INDEX('Replacement Costs'!$A$16:$H$57,MATCH(C106,'Replacement Costs'!$C$16:$C$57,0),MATCH("Total Yearly Replacement Costs",'Replacement Costs'!$A$16:$H$16,0)))</f>
        <v>-49058348.175806209</v>
      </c>
      <c r="J106" s="187">
        <f ca="1">IF(AND(C106&gt;=1,C106&lt;anal_period),WorkingCap*SUM(N106:R106)-WorkingCap*SUM(N105:R105),IF(C106&lt;0,0,IF(B106="","",-SUM(J$65:J105))))</f>
        <v>-1790177.0672232956</v>
      </c>
      <c r="K106" s="187" t="str">
        <f t="shared" si="28"/>
        <v/>
      </c>
      <c r="L106" s="187" t="str">
        <f t="shared" si="29"/>
        <v/>
      </c>
      <c r="M106" s="187" t="str">
        <f t="shared" si="30"/>
        <v/>
      </c>
      <c r="N106" s="187">
        <f t="shared" ca="1" si="31"/>
        <v>-42367505.016308643</v>
      </c>
      <c r="O106" s="187">
        <f t="shared" ca="1" si="32"/>
        <v>-463331758.64461291</v>
      </c>
      <c r="P106" s="187">
        <f t="shared" ca="1" si="33"/>
        <v>0</v>
      </c>
      <c r="Q106" s="187">
        <f t="shared" ca="1" si="10"/>
        <v>0</v>
      </c>
      <c r="R106" s="187">
        <f t="shared" ca="1" si="34"/>
        <v>-82566472.97109051</v>
      </c>
      <c r="S106" s="187">
        <f ca="1">IF(B106="","",IF($B$31=0,"",-'Debt Financing Calculations'!E55))</f>
        <v>-14030893.216149881</v>
      </c>
      <c r="T106" s="187">
        <f ca="1">IF(C106="","",F106+SUM(L106:S106))</f>
        <v>93483977.74581778</v>
      </c>
      <c r="U106" s="187">
        <f ca="1">IF(C106="","",IF(C106&lt;-1,0,IF(C106=anal_period,-LOOKUP(C106,depr_yr,depr_cost)-Depreciation!$C$141-Depreciation!$B$166,-LOOKUP(C106,depr_yr,depr_cost))))</f>
        <v>-41545263.208599575</v>
      </c>
      <c r="V106" s="187">
        <f t="shared" ca="1" si="36"/>
        <v>51938714.537218206</v>
      </c>
      <c r="W106" s="188">
        <f t="shared" si="37"/>
        <v>0.25739999999999996</v>
      </c>
      <c r="X106" s="187">
        <f t="shared" ca="1" si="38"/>
        <v>-13369025.121879965</v>
      </c>
      <c r="Y106" s="187">
        <f t="shared" ca="1" si="39"/>
        <v>80114952.623937815</v>
      </c>
      <c r="Z106" s="187">
        <f>IF(C106="","",IF($B$31=0,"",-'Debt Financing Calculations'!F55))</f>
        <v>0</v>
      </c>
      <c r="AA106" s="187">
        <f t="shared" ca="1" si="40"/>
        <v>29266427.38090831</v>
      </c>
      <c r="AB106" s="187">
        <f t="shared" ca="1" si="23"/>
        <v>1059899061.8914263</v>
      </c>
      <c r="AC106" s="1155">
        <f ca="1">IF(C106="","",SUM(H106,I106,J106,K106,T106,Z106))</f>
        <v>42635452.502788275</v>
      </c>
      <c r="AD106" s="134"/>
      <c r="AE106" s="1159">
        <f t="shared" ca="1" si="42"/>
        <v>124628629.5</v>
      </c>
      <c r="AF106" s="1155">
        <f t="shared" si="43"/>
        <v>0</v>
      </c>
    </row>
    <row r="107" spans="1:32" x14ac:dyDescent="0.25">
      <c r="A107" s="58">
        <f t="shared" si="21"/>
        <v>2079</v>
      </c>
      <c r="B107" s="185">
        <f>IF(MAX($B$65:B106)&lt;(construct+anal_period),B106+1,"")</f>
        <v>43</v>
      </c>
      <c r="C107" s="185">
        <f t="shared" si="22"/>
        <v>40</v>
      </c>
      <c r="D107" s="185">
        <f t="shared" si="25"/>
        <v>40</v>
      </c>
      <c r="E107" s="186">
        <f t="shared" si="26"/>
        <v>2.0834984238381593</v>
      </c>
      <c r="F107" s="59">
        <f t="shared" ca="1" si="27"/>
        <v>709000439.13826549</v>
      </c>
      <c r="G107" s="1168"/>
      <c r="H107" s="1177">
        <f t="shared" si="24"/>
        <v>0</v>
      </c>
      <c r="I107" s="187">
        <f ca="1">IF(OR(C107&lt;0,C107=""),"",-E107*INDEX('Replacement Costs'!$A$16:$H$57,MATCH(C107,'Replacement Costs'!$C$16:$C$57,0),MATCH("Total Yearly Replacement Costs",'Replacement Costs'!$A$16:$H$16,0)))</f>
        <v>-49990456.791146532</v>
      </c>
      <c r="J107" s="187">
        <f ca="1">IF(AND(C107&gt;=1,C107&lt;anal_period),WorkingCap*SUM(N107:R107)-WorkingCap*SUM(N106:R106),IF(C107&lt;0,0,IF(B107="","",-SUM(J$65:J106))))</f>
        <v>88239860.494801819</v>
      </c>
      <c r="K107" s="187" t="str">
        <f t="shared" si="28"/>
        <v/>
      </c>
      <c r="L107" s="187">
        <f t="shared" ca="1" si="29"/>
        <v>139691392.28199822</v>
      </c>
      <c r="M107" s="187">
        <f t="shared" ca="1" si="30"/>
        <v>-139331102.37022972</v>
      </c>
      <c r="N107" s="187">
        <f t="shared" ca="1" si="31"/>
        <v>-43172487.611618511</v>
      </c>
      <c r="O107" s="187">
        <f t="shared" ca="1" si="32"/>
        <v>-473142564.40126789</v>
      </c>
      <c r="P107" s="187">
        <f t="shared" ca="1" si="33"/>
        <v>0</v>
      </c>
      <c r="Q107" s="187">
        <f t="shared" ca="1" si="10"/>
        <v>0</v>
      </c>
      <c r="R107" s="187">
        <f t="shared" ca="1" si="34"/>
        <v>-84132799.988039836</v>
      </c>
      <c r="S107" s="187">
        <f ca="1">IF(B107="","",IF($B$31=0,"",-'Debt Financing Calculations'!E56))</f>
        <v>-14030893.216149881</v>
      </c>
      <c r="T107" s="187">
        <f t="shared" ca="1" si="35"/>
        <v>94881983.832957864</v>
      </c>
      <c r="U107" s="187">
        <f ca="1">IF(C107="","",IF(C107&lt;-1,0,IF(C107=anal_period,-LOOKUP(C107,depr_yr,depr_cost)-Depreciation!$C$141-Depreciation!$B$166,-LOOKUP(C107,depr_yr,depr_cost))))</f>
        <v>-452929066.34817666</v>
      </c>
      <c r="V107" s="187">
        <f t="shared" ca="1" si="36"/>
        <v>-358047082.51521879</v>
      </c>
      <c r="W107" s="188">
        <f t="shared" si="37"/>
        <v>0.25739999999999996</v>
      </c>
      <c r="X107" s="187">
        <f t="shared" ca="1" si="38"/>
        <v>92161319.039417312</v>
      </c>
      <c r="Y107" s="187">
        <f t="shared" ca="1" si="39"/>
        <v>187043302.87237519</v>
      </c>
      <c r="Z107" s="187">
        <f ca="1">IF(C107="","",IF($B$31=0,"",-'Debt Financing Calculations'!F56))</f>
        <v>-379213330.16621304</v>
      </c>
      <c r="AA107" s="187">
        <f t="shared" ca="1" si="40"/>
        <v>-153920623.59018257</v>
      </c>
      <c r="AB107" s="187">
        <f t="shared" ca="1" si="23"/>
        <v>905978438.30124378</v>
      </c>
      <c r="AC107" s="1155">
        <f t="shared" ca="1" si="41"/>
        <v>-246081942.62959987</v>
      </c>
      <c r="AD107" s="134"/>
      <c r="AE107" s="1159">
        <f t="shared" ca="1" si="42"/>
        <v>124628629.5</v>
      </c>
      <c r="AF107" s="1155">
        <f t="shared" si="43"/>
        <v>0</v>
      </c>
    </row>
    <row r="108" spans="1:32" x14ac:dyDescent="0.25">
      <c r="A108" s="58" t="str">
        <f t="shared" si="21"/>
        <v/>
      </c>
      <c r="B108" s="185" t="str">
        <f>IF(MAX($B$65:B107)&lt;(construct+anal_period),B107+1,"")</f>
        <v/>
      </c>
      <c r="C108" s="185" t="str">
        <f t="shared" si="22"/>
        <v/>
      </c>
      <c r="D108" s="185" t="str">
        <f t="shared" si="25"/>
        <v/>
      </c>
      <c r="E108" s="186" t="str">
        <f t="shared" si="26"/>
        <v/>
      </c>
      <c r="F108" s="59" t="str">
        <f t="shared" si="27"/>
        <v/>
      </c>
      <c r="G108" s="1168"/>
      <c r="H108" s="1177" t="str">
        <f t="shared" si="24"/>
        <v/>
      </c>
      <c r="I108" s="187" t="str">
        <f>IF(OR(C108&lt;0,C108=""),"",-E108*INDEX('Replacement Costs'!$A$16:$H$57,MATCH(C108,'Replacement Costs'!$C$16:$C$57,0),MATCH("Total Yearly Replacement Costs",'Replacement Costs'!$A$16:$H$16,0)))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55" t="str">
        <f t="shared" si="41"/>
        <v/>
      </c>
      <c r="AD108" s="134"/>
      <c r="AE108" s="1159" t="str">
        <f t="shared" si="42"/>
        <v/>
      </c>
      <c r="AF108" s="1155" t="str">
        <f t="shared" si="43"/>
        <v/>
      </c>
    </row>
    <row r="109" spans="1:32" x14ac:dyDescent="0.25">
      <c r="A109" s="58" t="str">
        <f t="shared" si="21"/>
        <v/>
      </c>
      <c r="B109" s="185" t="str">
        <f>IF(MAX($B$65:B108)&lt;(construct+anal_period),B108+1,"")</f>
        <v/>
      </c>
      <c r="C109" s="185" t="str">
        <f t="shared" si="22"/>
        <v/>
      </c>
      <c r="D109" s="185" t="str">
        <f t="shared" si="25"/>
        <v/>
      </c>
      <c r="E109" s="186" t="str">
        <f t="shared" si="26"/>
        <v/>
      </c>
      <c r="F109" s="59" t="str">
        <f t="shared" si="27"/>
        <v/>
      </c>
      <c r="G109" s="1168"/>
      <c r="H109" s="1177" t="str">
        <f t="shared" si="24"/>
        <v/>
      </c>
      <c r="I109" s="187" t="str">
        <f>IF(OR(C109&lt;0,C109=""),"",-E109*INDEX('Replacement Costs'!$A$16:$H$57,MATCH(C109,'Replacement Costs'!$C$16:$C$57,0),MATCH("Total Yearly Replacement Costs",'Replacement Costs'!$A$16:$H$16,0)))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55" t="str">
        <f t="shared" si="41"/>
        <v/>
      </c>
      <c r="AD109" s="134"/>
      <c r="AE109" s="1159" t="str">
        <f t="shared" si="42"/>
        <v/>
      </c>
      <c r="AF109" s="1155" t="str">
        <f t="shared" si="43"/>
        <v/>
      </c>
    </row>
    <row r="110" spans="1:32" x14ac:dyDescent="0.25">
      <c r="A110" s="58" t="str">
        <f t="shared" si="21"/>
        <v/>
      </c>
      <c r="B110" s="185" t="str">
        <f>IF(MAX($B$65:B109)&lt;(construct+anal_period),B109+1,"")</f>
        <v/>
      </c>
      <c r="C110" s="185" t="str">
        <f t="shared" si="22"/>
        <v/>
      </c>
      <c r="D110" s="185" t="str">
        <f t="shared" si="25"/>
        <v/>
      </c>
      <c r="E110" s="186" t="str">
        <f t="shared" si="26"/>
        <v/>
      </c>
      <c r="F110" s="59" t="str">
        <f t="shared" si="27"/>
        <v/>
      </c>
      <c r="G110" s="1168"/>
      <c r="H110" s="1177" t="str">
        <f t="shared" si="24"/>
        <v/>
      </c>
      <c r="I110" s="187" t="str">
        <f>IF(OR(C110&lt;0,C110=""),"",-E110*INDEX('Replacement Costs'!$A$16:$H$57,MATCH(C110,'Replacement Costs'!$C$16:$C$57,0),MATCH("Total Yearly Replacement Costs",'Replacement Costs'!$A$16:$H$16,0)))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55" t="str">
        <f t="shared" si="41"/>
        <v/>
      </c>
      <c r="AD110" s="134"/>
      <c r="AE110" s="1159" t="str">
        <f t="shared" si="42"/>
        <v/>
      </c>
      <c r="AF110" s="1155" t="str">
        <f t="shared" si="43"/>
        <v/>
      </c>
    </row>
    <row r="111" spans="1:32" x14ac:dyDescent="0.25">
      <c r="A111" s="58" t="str">
        <f t="shared" si="21"/>
        <v/>
      </c>
      <c r="B111" s="185" t="str">
        <f>IF(MAX($B$65:B110)&lt;(construct+anal_period),B110+1,"")</f>
        <v/>
      </c>
      <c r="C111" s="185" t="str">
        <f t="shared" si="22"/>
        <v/>
      </c>
      <c r="D111" s="185" t="str">
        <f t="shared" si="25"/>
        <v/>
      </c>
      <c r="E111" s="186" t="str">
        <f t="shared" si="26"/>
        <v/>
      </c>
      <c r="F111" s="59" t="str">
        <f t="shared" si="27"/>
        <v/>
      </c>
      <c r="G111" s="1168"/>
      <c r="H111" s="1177" t="str">
        <f t="shared" si="24"/>
        <v/>
      </c>
      <c r="I111" s="187" t="str">
        <f>IF(OR(C111&lt;0,C111=""),"",-E111*INDEX('Replacement Costs'!$A$16:$H$57,MATCH(C111,'Replacement Costs'!$C$16:$C$57,0),MATCH("Total Yearly Replacement Costs",'Replacement Costs'!$A$16:$H$16,0)))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55" t="str">
        <f t="shared" si="41"/>
        <v/>
      </c>
      <c r="AD111" s="134"/>
      <c r="AE111" s="1159" t="str">
        <f t="shared" si="42"/>
        <v/>
      </c>
      <c r="AF111" s="1155" t="str">
        <f t="shared" si="43"/>
        <v/>
      </c>
    </row>
    <row r="112" spans="1:32" x14ac:dyDescent="0.25">
      <c r="A112" s="58" t="str">
        <f t="shared" si="21"/>
        <v/>
      </c>
      <c r="B112" s="185" t="str">
        <f>IF(MAX($B$65:B111)&lt;(construct+anal_period),B111+1,"")</f>
        <v/>
      </c>
      <c r="C112" s="185" t="str">
        <f t="shared" si="22"/>
        <v/>
      </c>
      <c r="D112" s="185" t="str">
        <f t="shared" si="25"/>
        <v/>
      </c>
      <c r="E112" s="186" t="str">
        <f t="shared" si="26"/>
        <v/>
      </c>
      <c r="F112" s="59" t="str">
        <f t="shared" si="27"/>
        <v/>
      </c>
      <c r="G112" s="1168"/>
      <c r="H112" s="1177" t="str">
        <f t="shared" si="24"/>
        <v/>
      </c>
      <c r="I112" s="187" t="str">
        <f>IF(OR(C112&lt;0,C112=""),"",-E112*INDEX('Replacement Costs'!$A$16:$H$57,MATCH(C112,'Replacement Costs'!$C$16:$C$57,0),MATCH("Total Yearly Replacement Costs",'Replacement Costs'!$A$16:$H$16,0)))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55" t="str">
        <f t="shared" si="41"/>
        <v/>
      </c>
      <c r="AD112" s="134"/>
      <c r="AE112" s="1159" t="str">
        <f t="shared" si="42"/>
        <v/>
      </c>
      <c r="AF112" s="1155" t="str">
        <f t="shared" si="43"/>
        <v/>
      </c>
    </row>
    <row r="113" spans="1:33" ht="13" thickBot="1" x14ac:dyDescent="0.3">
      <c r="A113" s="61" t="str">
        <f t="shared" si="21"/>
        <v/>
      </c>
      <c r="B113" s="189" t="str">
        <f>IF(MAX($B$65:B112)&lt;(construct+anal_period),B112+1,"")</f>
        <v/>
      </c>
      <c r="C113" s="189" t="str">
        <f t="shared" si="22"/>
        <v/>
      </c>
      <c r="D113" s="189" t="str">
        <f t="shared" si="25"/>
        <v/>
      </c>
      <c r="E113" s="1162" t="str">
        <f t="shared" si="26"/>
        <v/>
      </c>
      <c r="F113" s="1163" t="str">
        <f t="shared" si="27"/>
        <v/>
      </c>
      <c r="G113" s="1170"/>
      <c r="H113" s="1179" t="str">
        <f t="shared" si="24"/>
        <v/>
      </c>
      <c r="I113" s="1164" t="str">
        <f>IF(OR(C113&lt;0,C113=""),"",-E113*INDEX('Replacement Costs'!$A$16:$H$57,MATCH(C113,'Replacement Costs'!$C$16:$C$57,0),MATCH("Total Yearly Replacement Costs",'Replacement Costs'!$A$16:$H$16,0)))</f>
        <v/>
      </c>
      <c r="J113" s="1164" t="str">
        <f>IF(AND(C113&gt;=1,C113&lt;anal_period),WorkingCap*SUM(N113:R113)-WorkingCap*SUM(N112:R112),IF(C113&lt;0,0,IF(B113="","",-SUM(J$65:J112))))</f>
        <v/>
      </c>
      <c r="K113" s="1164" t="str">
        <f t="shared" si="28"/>
        <v/>
      </c>
      <c r="L113" s="1164" t="str">
        <f t="shared" si="29"/>
        <v/>
      </c>
      <c r="M113" s="1164" t="str">
        <f t="shared" si="30"/>
        <v/>
      </c>
      <c r="N113" s="1164" t="str">
        <f t="shared" si="31"/>
        <v/>
      </c>
      <c r="O113" s="1164" t="str">
        <f>IF(C113="","",IF(C113&lt;0,0,IF(AND(C113=1,start_time&lt;1),-(SUM(B280:E280)*output_kgyear*E113*percnt_var*start_time+SUM(B280:E280)*output_kgyear*E113*(1-start_time)),IF(C113&lt;=start_time,-SUM(B280:E280)*output_kgyear*E113*percnt_var,-SUM(B280:E280)*output_kgyear*E113))))</f>
        <v/>
      </c>
      <c r="P113" s="1164" t="str">
        <f t="shared" si="33"/>
        <v/>
      </c>
      <c r="Q113" s="1164" t="str">
        <f>IF(C113="","",IF(C113&lt;0,0,IF(AND(C113=1,start_time&lt;1),SUM(K280:N280,T280:V280)*output_kgyear*E113*percnt_revs*start_time+SUM(K280:N280,T280:V280)*output_kgyear*E113*(1-start_time),IF(C113&lt;=start_time,SUM(K280:N280,T280:V280)*output_kgyear*E113*percnt_revs,SUM(K280:N280,T280:V280)*output_kgyear*E113))))</f>
        <v/>
      </c>
      <c r="R113" s="1164"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64" t="str">
        <f>IF(B113="","",IF($B$31=0,"",-'Debt Financing Calculations'!E62))</f>
        <v/>
      </c>
      <c r="T113" s="1164" t="str">
        <f t="shared" si="35"/>
        <v/>
      </c>
      <c r="U113" s="1164" t="str">
        <f>IF(C113="","",IF(C113&lt;-1,0,IF(C113=anal_period,-LOOKUP(C113,depr_yr,depr_cost)-Depreciation!$C$141-Depreciation!$B$166,-LOOKUP(C113,depr_yr,depr_cost))))</f>
        <v/>
      </c>
      <c r="V113" s="1164" t="str">
        <f t="shared" si="36"/>
        <v/>
      </c>
      <c r="W113" s="1165" t="str">
        <f t="shared" si="37"/>
        <v/>
      </c>
      <c r="X113" s="1164" t="str">
        <f t="shared" si="38"/>
        <v/>
      </c>
      <c r="Y113" s="1164" t="str">
        <f t="shared" si="39"/>
        <v/>
      </c>
      <c r="Z113" s="1164" t="str">
        <f>IF(C113="","",IF($B$31=0,"",-'Debt Financing Calculations'!F62))</f>
        <v/>
      </c>
      <c r="AA113" s="1164" t="str">
        <f t="shared" si="40"/>
        <v/>
      </c>
      <c r="AB113" s="1164" t="str">
        <f t="shared" si="23"/>
        <v/>
      </c>
      <c r="AC113" s="1166" t="str">
        <f t="shared" si="41"/>
        <v/>
      </c>
      <c r="AD113" s="134"/>
      <c r="AE113" s="1161" t="str">
        <f t="shared" si="42"/>
        <v/>
      </c>
      <c r="AF113" s="1157" t="str">
        <f t="shared" si="43"/>
        <v/>
      </c>
    </row>
    <row r="114" spans="1:33" ht="13" thickTop="1" x14ac:dyDescent="0.25">
      <c r="A114" s="134"/>
      <c r="B114" s="134"/>
      <c r="C114" s="134"/>
      <c r="D114" s="134"/>
      <c r="E114" s="1180" t="s">
        <v>149</v>
      </c>
      <c r="F114" s="1181">
        <f t="shared" ref="F114:AC114" ca="1" si="44">SUM(F65:F113)</f>
        <v>19944495625.170818</v>
      </c>
      <c r="G114" s="1181">
        <f t="shared" ca="1" si="44"/>
        <v>-379213330.16621304</v>
      </c>
      <c r="H114" s="1181">
        <f t="shared" ca="1" si="44"/>
        <v>-258794268.63255322</v>
      </c>
      <c r="I114" s="1181">
        <f t="shared" ca="1" si="44"/>
        <v>-1418250396.8095868</v>
      </c>
      <c r="J114" s="1181">
        <f t="shared" ca="1" si="44"/>
        <v>0</v>
      </c>
      <c r="K114" s="1181">
        <f t="shared" ca="1" si="44"/>
        <v>-1634317.2838273852</v>
      </c>
      <c r="L114" s="1181">
        <f t="shared" ca="1" si="44"/>
        <v>139691392.28199822</v>
      </c>
      <c r="M114" s="1181">
        <f t="shared" ca="1" si="44"/>
        <v>-139331102.37022972</v>
      </c>
      <c r="N114" s="1181">
        <f t="shared" ca="1" si="44"/>
        <v>-1219641440.3103907</v>
      </c>
      <c r="O114" s="1181">
        <f t="shared" ca="1" si="44"/>
        <v>-12472205617.185905</v>
      </c>
      <c r="P114" s="1181">
        <f t="shared" ca="1" si="44"/>
        <v>0</v>
      </c>
      <c r="Q114" s="1181">
        <f t="shared" ca="1" si="44"/>
        <v>0</v>
      </c>
      <c r="R114" s="1181">
        <f t="shared" ca="1" si="44"/>
        <v>-2371212979.4240417</v>
      </c>
      <c r="S114" s="1181">
        <f t="shared" ca="1" si="44"/>
        <v>-603328408.29444468</v>
      </c>
      <c r="T114" s="1181">
        <f t="shared" ca="1" si="44"/>
        <v>3278467469.8678079</v>
      </c>
      <c r="U114" s="1181">
        <f t="shared" ca="1" si="44"/>
        <v>-2056257995.6083531</v>
      </c>
      <c r="V114" s="1181">
        <f t="shared" ca="1" si="44"/>
        <v>1222209474.259454</v>
      </c>
      <c r="W114" s="1181">
        <f t="shared" si="44"/>
        <v>11.068200000000001</v>
      </c>
      <c r="X114" s="1181">
        <f t="shared" ca="1" si="44"/>
        <v>-314596718.67438346</v>
      </c>
      <c r="Y114" s="1181">
        <f t="shared" ca="1" si="44"/>
        <v>2963870751.1934233</v>
      </c>
      <c r="Z114" s="1181">
        <f t="shared" ca="1" si="44"/>
        <v>-379213330.16621304</v>
      </c>
      <c r="AA114" s="1181">
        <f t="shared" ca="1" si="44"/>
        <v>905978438.30124378</v>
      </c>
      <c r="AB114" s="1181">
        <f t="shared" ca="1" si="44"/>
        <v>16726988951.19997</v>
      </c>
      <c r="AC114" s="1182">
        <f t="shared" ca="1" si="44"/>
        <v>1220575156.9756277</v>
      </c>
      <c r="AD114" s="134"/>
    </row>
    <row r="115" spans="1:33" ht="13" thickBot="1" x14ac:dyDescent="0.3">
      <c r="E115" s="1183" t="s">
        <v>150</v>
      </c>
      <c r="F115" s="1164">
        <f t="shared" ref="F115:AC115" ca="1" si="45">NPV(nominal_irr,F65:F113)</f>
        <v>2871656449.844552</v>
      </c>
      <c r="G115" s="1164">
        <f t="shared" ca="1" si="45"/>
        <v>-344576500.35093689</v>
      </c>
      <c r="H115" s="1164">
        <f t="shared" ca="1" si="45"/>
        <v>-209021018.94173157</v>
      </c>
      <c r="I115" s="1164">
        <f t="shared" ca="1" si="45"/>
        <v>-210654253.12144524</v>
      </c>
      <c r="J115" s="1164">
        <f t="shared" ca="1" si="45"/>
        <v>-30386276.652715832</v>
      </c>
      <c r="K115" s="1164">
        <f t="shared" ca="1" si="45"/>
        <v>-1485040.9659319096</v>
      </c>
      <c r="L115" s="1164">
        <f t="shared" ca="1" si="45"/>
        <v>2272261.1736244536</v>
      </c>
      <c r="M115" s="1164">
        <f t="shared" ca="1" si="45"/>
        <v>-2266400.5922071859</v>
      </c>
      <c r="N115" s="1164">
        <f t="shared" ca="1" si="45"/>
        <v>-178392561.56935784</v>
      </c>
      <c r="O115" s="1164">
        <f t="shared" ca="1" si="45"/>
        <v>-1703567400.7761779</v>
      </c>
      <c r="P115" s="1164">
        <f t="shared" ca="1" si="45"/>
        <v>0</v>
      </c>
      <c r="Q115" s="1164">
        <f t="shared" ca="1" si="45"/>
        <v>0</v>
      </c>
      <c r="R115" s="1164">
        <f t="shared" ca="1" si="45"/>
        <v>-345654636.84966362</v>
      </c>
      <c r="S115" s="1164">
        <f t="shared" ca="1" si="45"/>
        <v>-137312600.3810212</v>
      </c>
      <c r="T115" s="1164">
        <f t="shared" ca="1" si="45"/>
        <v>506735110.84974957</v>
      </c>
      <c r="U115" s="1164">
        <f t="shared" ca="1" si="45"/>
        <v>-316291731.38320416</v>
      </c>
      <c r="V115" s="1164">
        <f t="shared" ca="1" si="45"/>
        <v>190443379.46654522</v>
      </c>
      <c r="W115" s="1164">
        <f t="shared" ca="1" si="45"/>
        <v>2.5190315964626389</v>
      </c>
      <c r="X115" s="1164">
        <f t="shared" ca="1" si="45"/>
        <v>-49020125.874688715</v>
      </c>
      <c r="Y115" s="1164">
        <f t="shared" ca="1" si="45"/>
        <v>457714984.9750607</v>
      </c>
      <c r="Z115" s="1164">
        <f t="shared" ca="1" si="45"/>
        <v>-6168395.2932335315</v>
      </c>
      <c r="AA115" s="1164">
        <f t="shared" ca="1" si="45"/>
        <v>2.6479376439972309E-6</v>
      </c>
      <c r="AB115" s="1164">
        <f t="shared" ca="1" si="45"/>
        <v>-146606755.86929318</v>
      </c>
      <c r="AC115" s="1166">
        <f t="shared" ca="1" si="45"/>
        <v>49020125.87469136</v>
      </c>
      <c r="AD115" s="134"/>
    </row>
    <row r="116" spans="1:33" ht="13" thickBot="1" x14ac:dyDescent="0.3">
      <c r="D116" s="191"/>
      <c r="E116" s="1184" t="s">
        <v>1118</v>
      </c>
      <c r="F116" s="1185">
        <f t="shared" ref="F116:AC116" ca="1" si="46">+F65+NPV($X$59,F66:F113)</f>
        <v>3160315356.1829271</v>
      </c>
      <c r="G116" s="1185">
        <f t="shared" ca="1" si="46"/>
        <v>-379213330.16621304</v>
      </c>
      <c r="H116" s="1185">
        <f ca="1">+H65+NPV($X$59,H66:H113)</f>
        <v>-230031811.7657544</v>
      </c>
      <c r="I116" s="1185">
        <f t="shared" ca="1" si="46"/>
        <v>-231829218.64521292</v>
      </c>
      <c r="J116" s="1185">
        <f t="shared" ca="1" si="46"/>
        <v>-33440705.181846842</v>
      </c>
      <c r="K116" s="1185">
        <f t="shared" ca="1" si="46"/>
        <v>-1634317.2838273852</v>
      </c>
      <c r="L116" s="1185">
        <f t="shared" ca="1" si="46"/>
        <v>2500668.8667971836</v>
      </c>
      <c r="M116" s="1185">
        <f t="shared" ca="1" si="46"/>
        <v>-2494219.1797358519</v>
      </c>
      <c r="N116" s="1185">
        <f t="shared" ca="1" si="46"/>
        <v>-196324581.85830966</v>
      </c>
      <c r="O116" s="1185">
        <f t="shared" ca="1" si="46"/>
        <v>-1874809995.9021988</v>
      </c>
      <c r="P116" s="1185">
        <f t="shared" ca="1" si="46"/>
        <v>0</v>
      </c>
      <c r="Q116" s="1185">
        <f t="shared" ca="1" si="46"/>
        <v>0</v>
      </c>
      <c r="R116" s="1185">
        <f t="shared" ca="1" si="46"/>
        <v>-380399840.9457916</v>
      </c>
      <c r="S116" s="1185">
        <f t="shared" ca="1" si="46"/>
        <v>-151115262.97132146</v>
      </c>
      <c r="T116" s="1185">
        <f t="shared" ca="1" si="46"/>
        <v>557672124.192366</v>
      </c>
      <c r="U116" s="1185">
        <f t="shared" ca="1" si="46"/>
        <v>-348085376.22184378</v>
      </c>
      <c r="V116" s="1185">
        <f t="shared" ca="1" si="46"/>
        <v>209586747.97052228</v>
      </c>
      <c r="W116" s="1185">
        <f t="shared" ca="1" si="46"/>
        <v>2.7722446525390634</v>
      </c>
      <c r="X116" s="1185">
        <f t="shared" ca="1" si="46"/>
        <v>-53947628.927612439</v>
      </c>
      <c r="Y116" s="1185">
        <f t="shared" ca="1" si="46"/>
        <v>503724495.264754</v>
      </c>
      <c r="Z116" s="1185">
        <f t="shared" ca="1" si="46"/>
        <v>-6788442.3881093655</v>
      </c>
      <c r="AA116" s="1185">
        <f t="shared" ca="1" si="46"/>
        <v>2.8796494007110596E-6</v>
      </c>
      <c r="AB116" s="1185">
        <f t="shared" ca="1" si="46"/>
        <v>-161343666.96927381</v>
      </c>
      <c r="AC116" s="1186">
        <f t="shared" ca="1" si="46"/>
        <v>53947628.927615255</v>
      </c>
      <c r="AD116" s="1187"/>
      <c r="AE116" s="1188">
        <f ca="1">+AE65+NPV(real_irr,AE66:AE113)</f>
        <v>1224665447.1183949</v>
      </c>
      <c r="AF116" s="1189">
        <f ca="1">+AF65+NPV($X$59,AF66:AF113)</f>
        <v>0</v>
      </c>
      <c r="AG116" s="1190"/>
    </row>
    <row r="117" spans="1:33" ht="16.5" thickTop="1" thickBot="1" x14ac:dyDescent="0.4">
      <c r="A117" s="49" t="s">
        <v>79</v>
      </c>
      <c r="B117" s="149"/>
      <c r="C117" s="149"/>
      <c r="D117" s="149"/>
      <c r="E117" s="1191" t="s">
        <v>1174</v>
      </c>
      <c r="F117" s="1205"/>
      <c r="G117" s="1205"/>
      <c r="H117" s="1205">
        <f ca="1">-H116/$AE$116*(1+inflation_rate)^construct/INFLATION_FACTOR</f>
        <v>0.12650642153831423</v>
      </c>
      <c r="I117" s="1205">
        <f ca="1">-I116/$AE$116*(1+inflation_rate)^construct/INFLATION_FACTOR</f>
        <v>0.12749490878546157</v>
      </c>
      <c r="J117" s="1205">
        <f ca="1">-J116/$AE$116*(1+inflation_rate)^construct/INFLATION_FACTOR</f>
        <v>1.8390777839810975E-2</v>
      </c>
      <c r="K117" s="1205">
        <f ca="1">-K116/$AE$116*(1+inflation_rate)^construct/INFLATION_FACTOR</f>
        <v>8.987958215351487E-4</v>
      </c>
      <c r="L117" s="1205"/>
      <c r="M117" s="1205">
        <f ca="1">-M116/$AE$116*(1+inflation_rate)^construct/INFLATION_FACTOR</f>
        <v>1.371700464116358E-3</v>
      </c>
      <c r="N117" s="1205">
        <f ca="1">-N116/$AE$116*(1+inflation_rate)^construct/INFLATION_FACTOR</f>
        <v>0.10796906793131673</v>
      </c>
      <c r="O117" s="1205">
        <f ca="1">-O116/$AE$116*(1+inflation_rate)^construct/INFLATION_FACTOR</f>
        <v>1.0310552346010684</v>
      </c>
      <c r="P117" s="1205">
        <f ca="1">-P116/$AE$116*(1+inflation_rate)^construct/INFLATION_FACTOR</f>
        <v>0</v>
      </c>
      <c r="Q117" s="1205"/>
      <c r="R117" s="1205">
        <f ca="1">-R116/$AE$116*(1+inflation_rate)^construct/INFLATION_FACTOR</f>
        <v>0.20920159808505334</v>
      </c>
      <c r="S117" s="1205">
        <f ca="1">-S116/$AE$116*(1+inflation_rate)^construct/INFLATION_FACTOR</f>
        <v>8.3106119156208025E-2</v>
      </c>
      <c r="T117" s="1205"/>
      <c r="U117" s="1205"/>
      <c r="V117" s="1205"/>
      <c r="W117" s="1205"/>
      <c r="X117" s="1205">
        <f ca="1">-X116/$AE$116*(1+inflation_rate)^construct/INFLATION_FACTOR</f>
        <v>2.9668598589567396E-2</v>
      </c>
      <c r="Y117" s="1205"/>
      <c r="Z117" s="1205">
        <f ca="1">-Z116/$AE$116*(1+inflation_rate)^construct/INFLATION_FACTOR</f>
        <v>3.7333164823882565E-3</v>
      </c>
      <c r="AA117" s="1205"/>
      <c r="AB117" s="1205"/>
      <c r="AC117" s="1206"/>
      <c r="AD117" s="1207"/>
      <c r="AE117" s="1208"/>
      <c r="AF117" s="1208"/>
      <c r="AG117" s="1206">
        <f ca="1">+SUM(F117:AC117)</f>
        <v>1.7393965392948403</v>
      </c>
    </row>
    <row r="118" spans="1:33" ht="15" customHeight="1" thickTop="1" thickBot="1" x14ac:dyDescent="0.35">
      <c r="A118" s="54" t="s">
        <v>80</v>
      </c>
      <c r="B118" s="56" t="s">
        <v>151</v>
      </c>
      <c r="C118" s="56" t="s">
        <v>152</v>
      </c>
      <c r="D118" s="1088" t="s">
        <v>153</v>
      </c>
      <c r="E118" s="1192" t="s">
        <v>1175</v>
      </c>
      <c r="F118" s="1209">
        <f ca="1">F116/$AE$116*(1+inflation_rate)^construct/INFLATION_FACTOR</f>
        <v>1.738021291813364</v>
      </c>
      <c r="G118" s="1209"/>
      <c r="H118" s="1209"/>
      <c r="I118" s="1209"/>
      <c r="J118" s="1209"/>
      <c r="K118" s="1209"/>
      <c r="L118" s="1209">
        <f ca="1">L116/$AE$116*(1+inflation_rate)^construct/INFLATION_FACTOR</f>
        <v>1.3752474814784693E-3</v>
      </c>
      <c r="M118" s="1209"/>
      <c r="N118" s="1209"/>
      <c r="O118" s="1209"/>
      <c r="P118" s="1209"/>
      <c r="Q118" s="1209">
        <f ca="1">Q116/$AE$116*(1+inflation_rate)^construct/INFLATION_FACTOR</f>
        <v>0</v>
      </c>
      <c r="R118" s="1209"/>
      <c r="S118" s="1209"/>
      <c r="T118" s="1209"/>
      <c r="U118" s="1209"/>
      <c r="V118" s="1209"/>
      <c r="W118" s="1209"/>
      <c r="X118" s="1209"/>
      <c r="Y118" s="1209"/>
      <c r="Z118" s="1209"/>
      <c r="AA118" s="1209"/>
      <c r="AB118" s="1209"/>
      <c r="AC118" s="1210"/>
      <c r="AD118" s="1211"/>
      <c r="AE118" s="1212"/>
      <c r="AF118" s="1212"/>
      <c r="AG118" s="1210">
        <f ca="1">+SUM(F118:AC118)</f>
        <v>1.7393965392948425</v>
      </c>
    </row>
    <row r="119" spans="1:33" ht="15" customHeight="1" x14ac:dyDescent="0.25">
      <c r="A119" s="194" t="s">
        <v>154</v>
      </c>
      <c r="B119" s="187">
        <f ca="1">(SUM(H115:K115)+L115*(1-total_tax_rate)+S115*(1-total_tax_rate)+U115*(-total_tax_rate)+Z115)/(1-total_tax_rate)</f>
        <v>-641775450.05714262</v>
      </c>
      <c r="C119" s="195">
        <f t="shared" ref="C119:C125" ca="1" si="47">B119/SUM($B$118:$B$125)</f>
        <v>0.22348615207501013</v>
      </c>
      <c r="D119" s="196">
        <f t="shared" ref="D119:D125" ca="1" si="48">H2_price_real*C119</f>
        <v>0.38842369073180655</v>
      </c>
      <c r="E119" s="192"/>
    </row>
    <row r="120" spans="1:33" ht="15" customHeight="1" x14ac:dyDescent="0.25">
      <c r="A120" s="194" t="s">
        <v>84</v>
      </c>
      <c r="B120" s="187">
        <f ca="1">M115</f>
        <v>-2266400.5922071859</v>
      </c>
      <c r="C120" s="195">
        <f t="shared" ca="1" si="47"/>
        <v>7.892311046921621E-4</v>
      </c>
      <c r="D120" s="196">
        <f t="shared" ca="1" si="48"/>
        <v>1.3717004641163582E-3</v>
      </c>
      <c r="E120" s="192"/>
      <c r="V120" s="151"/>
      <c r="W120" s="134"/>
      <c r="X120" s="134"/>
      <c r="Y120" s="134"/>
    </row>
    <row r="121" spans="1:33" ht="15" customHeight="1" x14ac:dyDescent="0.25">
      <c r="A121" s="194" t="s">
        <v>85</v>
      </c>
      <c r="B121" s="187">
        <f ca="1">N115</f>
        <v>-178392561.56935784</v>
      </c>
      <c r="C121" s="195">
        <f t="shared" ca="1" si="47"/>
        <v>6.2121832707047783E-2</v>
      </c>
      <c r="D121" s="196">
        <f t="shared" ca="1" si="48"/>
        <v>0.10796906793131675</v>
      </c>
      <c r="E121" s="192"/>
      <c r="V121" s="151"/>
      <c r="W121" s="134"/>
      <c r="X121" s="134"/>
      <c r="Y121" s="134"/>
    </row>
    <row r="122" spans="1:33" ht="15" customHeight="1" x14ac:dyDescent="0.25">
      <c r="A122" s="194" t="s">
        <v>1004</v>
      </c>
      <c r="B122" s="187">
        <f ca="1">O115</f>
        <v>-1703567400.7761779</v>
      </c>
      <c r="C122" s="195">
        <f t="shared" ca="1" si="47"/>
        <v>0.59323509985618117</v>
      </c>
      <c r="D122" s="196">
        <f t="shared" ca="1" si="48"/>
        <v>1.0310552346010688</v>
      </c>
      <c r="E122" s="192"/>
      <c r="V122" s="151"/>
      <c r="W122" s="134"/>
      <c r="X122" s="134"/>
      <c r="Y122" s="134"/>
    </row>
    <row r="123" spans="1:33" ht="15" customHeight="1" x14ac:dyDescent="0.25">
      <c r="A123" s="194" t="s">
        <v>86</v>
      </c>
      <c r="B123" s="187">
        <f ca="1">P115</f>
        <v>0</v>
      </c>
      <c r="C123" s="195">
        <f t="shared" ca="1" si="47"/>
        <v>0</v>
      </c>
      <c r="D123" s="196">
        <f t="shared" ca="1" si="48"/>
        <v>0</v>
      </c>
      <c r="E123" s="192"/>
      <c r="V123" s="151"/>
      <c r="W123" s="134"/>
      <c r="X123" s="134"/>
      <c r="Y123" s="134"/>
    </row>
    <row r="124" spans="1:33" ht="15" customHeight="1" x14ac:dyDescent="0.25">
      <c r="A124" s="194" t="s">
        <v>87</v>
      </c>
      <c r="B124" s="187">
        <f ca="1">Q115</f>
        <v>0</v>
      </c>
      <c r="C124" s="195">
        <f t="shared" ca="1" si="47"/>
        <v>0</v>
      </c>
      <c r="D124" s="196">
        <f t="shared" ca="1" si="48"/>
        <v>0</v>
      </c>
      <c r="E124" s="192"/>
      <c r="V124" s="151"/>
      <c r="W124" s="134"/>
      <c r="X124" s="134"/>
      <c r="Y124" s="134"/>
    </row>
    <row r="125" spans="1:33" ht="29.25" customHeight="1" thickBot="1" x14ac:dyDescent="0.3">
      <c r="A125" s="197" t="s">
        <v>88</v>
      </c>
      <c r="B125" s="190">
        <f ca="1">R115</f>
        <v>-345654636.84966362</v>
      </c>
      <c r="C125" s="198">
        <f t="shared" ca="1" si="47"/>
        <v>0.12036768425706873</v>
      </c>
      <c r="D125" s="199">
        <f t="shared" ca="1" si="48"/>
        <v>0.20920159808505345</v>
      </c>
      <c r="E125" s="192"/>
      <c r="V125" s="151"/>
      <c r="W125" s="134"/>
      <c r="X125" s="134"/>
      <c r="Y125" s="134"/>
    </row>
    <row r="126" spans="1:33" ht="15" customHeight="1" thickTop="1" x14ac:dyDescent="0.25">
      <c r="D126" s="191"/>
      <c r="E126" s="192"/>
      <c r="K126"/>
      <c r="L126"/>
      <c r="M126"/>
      <c r="V126" s="151"/>
      <c r="W126" s="134"/>
      <c r="X126" s="134"/>
      <c r="Y126" s="134"/>
    </row>
    <row r="127" spans="1:33" ht="15" customHeight="1" x14ac:dyDescent="0.25">
      <c r="D127" s="191"/>
      <c r="E127" s="192"/>
      <c r="K127"/>
      <c r="L127"/>
      <c r="M127"/>
      <c r="V127" s="151"/>
      <c r="W127" s="134"/>
      <c r="X127" s="134"/>
      <c r="Y127" s="134"/>
    </row>
    <row r="128" spans="1:33" ht="42.75" customHeight="1" thickBot="1" x14ac:dyDescent="0.3">
      <c r="A128" s="228" t="s">
        <v>261</v>
      </c>
      <c r="B128" s="417">
        <f>(1+inflation_rate)^(startup_year-ref_year)</f>
        <v>1.5710153055430329</v>
      </c>
      <c r="P128" s="841"/>
    </row>
    <row r="129" spans="1:22" ht="51.75" customHeight="1" thickBot="1" x14ac:dyDescent="0.4">
      <c r="A129" s="200" t="s">
        <v>155</v>
      </c>
      <c r="B129" s="201"/>
      <c r="C129" s="201"/>
      <c r="D129" s="201"/>
      <c r="E129" s="201"/>
      <c r="F129" s="201"/>
      <c r="G129" s="201"/>
      <c r="H129" s="201"/>
      <c r="I129" s="201"/>
      <c r="J129" s="201"/>
      <c r="K129" s="201"/>
      <c r="L129" s="201"/>
      <c r="M129" s="201"/>
      <c r="N129" s="201"/>
      <c r="O129" s="201"/>
      <c r="P129" s="840"/>
      <c r="Q129" s="201"/>
      <c r="R129" s="201"/>
      <c r="S129" s="201"/>
      <c r="T129" s="201"/>
      <c r="U129" s="201"/>
      <c r="V129" s="236"/>
    </row>
    <row r="130" spans="1:22" ht="31.9" customHeight="1" thickTop="1" thickBot="1" x14ac:dyDescent="0.4">
      <c r="A130" s="374"/>
      <c r="B130" s="202" t="s">
        <v>67</v>
      </c>
      <c r="C130" s="230"/>
      <c r="D130" s="230"/>
      <c r="E130" s="149"/>
      <c r="F130" s="203" t="s">
        <v>68</v>
      </c>
      <c r="G130" s="230"/>
      <c r="H130" s="230"/>
      <c r="I130" s="231"/>
      <c r="J130" s="595" t="s">
        <v>1002</v>
      </c>
      <c r="K130" s="233" t="s">
        <v>69</v>
      </c>
      <c r="L130" s="149"/>
      <c r="M130" s="149"/>
      <c r="N130" s="193"/>
      <c r="O130" s="395" t="s">
        <v>70</v>
      </c>
      <c r="P130" s="400"/>
      <c r="Q130" s="400"/>
      <c r="R130" s="401"/>
      <c r="S130" s="202" t="s">
        <v>73</v>
      </c>
      <c r="T130" s="411"/>
      <c r="U130" s="411"/>
      <c r="V130" s="412"/>
    </row>
    <row r="131" spans="1:22" ht="30.75" customHeight="1" thickTop="1" thickBot="1" x14ac:dyDescent="0.4">
      <c r="A131" s="375" t="s">
        <v>263</v>
      </c>
      <c r="B131" s="377" t="str">
        <f>Input_Sheet_Template!$B$75</f>
        <v>Industrial Natural Gas</v>
      </c>
      <c r="C131" s="378"/>
      <c r="D131" s="378"/>
      <c r="E131" s="378"/>
      <c r="F131" s="379" t="str">
        <f>Input_Sheet_Template!$B$78</f>
        <v>Industrial Electricity</v>
      </c>
      <c r="G131" s="378"/>
      <c r="H131" s="378"/>
      <c r="I131" s="380"/>
      <c r="J131" s="603" t="str">
        <f ca="1">IF(CO2_CashFlow_eUse&gt;0,'HyARC Physical Property Data'!A77,"")</f>
        <v>Industrial Electricity</v>
      </c>
      <c r="K131" s="597"/>
      <c r="L131" s="381"/>
      <c r="M131" s="381"/>
      <c r="N131" s="382"/>
      <c r="O131" s="396" t="s">
        <v>71</v>
      </c>
      <c r="P131" s="402" t="str">
        <f>Input_Sheet_Template!$B$138</f>
        <v>Demineralized Water</v>
      </c>
      <c r="Q131" s="402" t="str">
        <f>Input_Sheet_Template!$B$140</f>
        <v>Cooling Water</v>
      </c>
      <c r="R131" s="403"/>
      <c r="S131" s="396" t="s">
        <v>71</v>
      </c>
      <c r="T131" s="402"/>
      <c r="U131" s="402"/>
      <c r="V131" s="403"/>
    </row>
    <row r="132" spans="1:22" ht="31.5" customHeight="1" thickBot="1" x14ac:dyDescent="0.4">
      <c r="A132" s="376" t="s">
        <v>933</v>
      </c>
      <c r="B132" s="383">
        <f>Input_Sheet_Template!$C$75</f>
        <v>1.0549999999999999</v>
      </c>
      <c r="C132" s="384"/>
      <c r="D132" s="384"/>
      <c r="E132" s="384"/>
      <c r="F132" s="385">
        <f>Input_Sheet_Template!$C$78</f>
        <v>3.5999999999999995E-3</v>
      </c>
      <c r="G132" s="384"/>
      <c r="H132" s="384"/>
      <c r="I132" s="386"/>
      <c r="J132" s="604">
        <f ca="1">IF(J131="",0,VLOOKUP(J131,MASTER_PROPERTY_TABLE,9,FALSE))</f>
        <v>3.5999999999999995E-3</v>
      </c>
      <c r="K132" s="598"/>
      <c r="L132" s="387"/>
      <c r="M132" s="387"/>
      <c r="N132" s="388"/>
      <c r="O132" s="397" t="s">
        <v>264</v>
      </c>
      <c r="P132" s="842">
        <f>Input_Sheet_Template!$D$138</f>
        <v>3.355</v>
      </c>
      <c r="Q132" s="842">
        <f>Input_Sheet_Template!$D$140</f>
        <v>1.4950000000000001</v>
      </c>
      <c r="R132" s="843"/>
      <c r="S132" s="397" t="s">
        <v>264</v>
      </c>
      <c r="T132" s="404"/>
      <c r="U132" s="404"/>
      <c r="V132" s="405"/>
    </row>
    <row r="133" spans="1:22" ht="16.5" customHeight="1" thickBot="1" x14ac:dyDescent="0.4">
      <c r="A133" s="376" t="s">
        <v>264</v>
      </c>
      <c r="B133" s="383">
        <f ca="1">feedstockIndustrial_Natural_Gas_Usage</f>
        <v>0.15579999999999999</v>
      </c>
      <c r="C133" s="384"/>
      <c r="D133" s="384"/>
      <c r="E133" s="384"/>
      <c r="F133" s="385">
        <f ca="1">utilityIndustrial_Electricity_Usage</f>
        <v>0.6</v>
      </c>
      <c r="G133" s="384"/>
      <c r="H133" s="384"/>
      <c r="I133" s="386"/>
      <c r="J133" s="604">
        <f ca="1" xml:space="preserve"> CO2_eUse_kWhpkg</f>
        <v>5.3094322433205741E-2</v>
      </c>
      <c r="K133" s="598"/>
      <c r="L133" s="387"/>
      <c r="M133" s="387"/>
      <c r="N133" s="388"/>
      <c r="O133" s="397" t="s">
        <v>72</v>
      </c>
      <c r="P133" s="404">
        <f>Input_Sheet_Template!$C$138</f>
        <v>7.1248532835024025E-3</v>
      </c>
      <c r="Q133" s="404">
        <f>Input_Sheet_Template!$C$140</f>
        <v>1.1334993860117458E-4</v>
      </c>
      <c r="R133" s="405"/>
      <c r="S133" s="397" t="s">
        <v>74</v>
      </c>
      <c r="T133" s="404"/>
      <c r="U133" s="404"/>
      <c r="V133" s="405"/>
    </row>
    <row r="134" spans="1:22" ht="16.5" customHeight="1" thickBot="1" x14ac:dyDescent="0.4">
      <c r="A134" s="376" t="s">
        <v>265</v>
      </c>
      <c r="B134" s="383">
        <f>feedstockIndustrial_Natural_Gas_Price</f>
        <v>5.9307141943176465</v>
      </c>
      <c r="C134" s="384"/>
      <c r="D134" s="384"/>
      <c r="E134" s="384"/>
      <c r="F134" s="385">
        <f>utilityIndustrial_Electricity_Price</f>
        <v>7.7596976084681746E-2</v>
      </c>
      <c r="G134" s="384"/>
      <c r="H134" s="384"/>
      <c r="I134" s="386"/>
      <c r="J134" s="604">
        <f ca="1">IF(J131="",0,CO2_eCost)</f>
        <v>7.7596976084681746E-2</v>
      </c>
      <c r="K134" s="598"/>
      <c r="L134" s="387"/>
      <c r="M134" s="387"/>
      <c r="N134" s="388"/>
      <c r="O134" s="398" t="s">
        <v>266</v>
      </c>
      <c r="P134" s="406" t="str">
        <f>Input_Sheet_Template!$F$138</f>
        <v>Yes</v>
      </c>
      <c r="Q134" s="406" t="str">
        <f>Input_Sheet_Template!$F$140</f>
        <v>Yes</v>
      </c>
      <c r="R134" s="407"/>
      <c r="S134" s="398" t="s">
        <v>266</v>
      </c>
      <c r="T134" s="413"/>
      <c r="U134" s="413"/>
      <c r="V134" s="414"/>
    </row>
    <row r="135" spans="1:22" ht="16.5" customHeight="1" thickBot="1" x14ac:dyDescent="0.4">
      <c r="A135" s="418" t="s">
        <v>266</v>
      </c>
      <c r="B135" s="389" t="str">
        <f>Input_Sheet_Template!$G$75</f>
        <v>yes</v>
      </c>
      <c r="C135" s="390"/>
      <c r="D135" s="390"/>
      <c r="E135" s="390"/>
      <c r="F135" s="391" t="str">
        <f>Input_Sheet_Template!$G$78</f>
        <v>yes</v>
      </c>
      <c r="G135" s="390"/>
      <c r="H135" s="390"/>
      <c r="I135" s="392"/>
      <c r="J135" s="605" t="str">
        <f ca="1">IF(J131="","","yes")</f>
        <v>yes</v>
      </c>
      <c r="K135" s="599"/>
      <c r="L135" s="393"/>
      <c r="M135" s="393"/>
      <c r="N135" s="394"/>
      <c r="O135" s="399"/>
      <c r="P135" s="408"/>
      <c r="Q135" s="408"/>
      <c r="R135" s="409"/>
      <c r="S135" s="410"/>
      <c r="T135" s="415"/>
      <c r="U135" s="415"/>
      <c r="V135" s="416"/>
    </row>
    <row r="136" spans="1:22" ht="30" customHeight="1" thickBot="1" x14ac:dyDescent="0.4">
      <c r="A136" s="376" t="s">
        <v>530</v>
      </c>
      <c r="B136" s="534">
        <f ca="1">IF(B131="",0,VLOOKUP(B131,MASTER_PROPERTY_TABLE,11,FALSE)*B132*B133)</f>
        <v>9.2564958969142097</v>
      </c>
      <c r="C136" s="535">
        <f>IF(C131="",0,VLOOKUP(C131,MASTER_PROPERTY_TABLE,11,FALSE)*C132*C133)</f>
        <v>0</v>
      </c>
      <c r="D136" s="535">
        <f>IF(D131="",0,VLOOKUP(D131,MASTER_PROPERTY_TABLE,11,FALSE)*D132*D133)</f>
        <v>0</v>
      </c>
      <c r="E136" s="536">
        <f>IF(E131="",0,VLOOKUP(E131,MASTER_PROPERTY_TABLE,11,FALSE)*E132*E133)</f>
        <v>0</v>
      </c>
      <c r="F136" s="534">
        <f ca="1">IF(F131="",,VLOOKUP(F131,MASTER_PROPERTY_TABLE,11,FALSE)*F132*F133)</f>
        <v>0</v>
      </c>
      <c r="G136" s="535">
        <f>IF(G131="",,VLOOKUP(G131,MASTER_PROPERTY_TABLE,11,FALSE)*G132*G133)</f>
        <v>0</v>
      </c>
      <c r="H136" s="535">
        <f>IF(H131="",,VLOOKUP(H131,MASTER_PROPERTY_TABLE,11,FALSE)*H132*H133)</f>
        <v>0</v>
      </c>
      <c r="I136" s="535">
        <f>IF(I131="",,VLOOKUP(I131,MASTER_PROPERTY_TABLE,11,FALSE)*I132*I133)</f>
        <v>0</v>
      </c>
      <c r="J136" s="536">
        <f ca="1">IF($J$131="",0,VLOOKUP($J$131,MASTER_PROPERTY_TABLE,12,FALSE)*$J$132*$J$133)</f>
        <v>0</v>
      </c>
      <c r="K136" s="384"/>
      <c r="L136" s="387"/>
      <c r="M136" s="387"/>
      <c r="N136" s="388"/>
      <c r="O136" s="421"/>
      <c r="P136" s="419"/>
      <c r="Q136" s="419"/>
      <c r="R136" s="420"/>
      <c r="S136" s="422"/>
      <c r="T136" s="423"/>
      <c r="U136" s="423"/>
      <c r="V136" s="424"/>
    </row>
    <row r="137" spans="1:22" ht="30" customHeight="1" thickBot="1" x14ac:dyDescent="0.4">
      <c r="A137" s="533" t="s">
        <v>934</v>
      </c>
      <c r="B137" s="425">
        <f ca="1">IF(B131="",0,IF(VLOOKUP(B131,MASTER_PROPERTY_TABLE,12,FALSE)="English",mmBTU_to_GJ,1))</f>
        <v>1</v>
      </c>
      <c r="C137" s="426">
        <f>IF(C131="",0,IF(VLOOKUP(C131,MASTER_PROPERTY_TABLE,12,FALSE)="English",mmBTU_to_GJ,1))</f>
        <v>0</v>
      </c>
      <c r="D137" s="426">
        <f>IF(D131="",0,IF(VLOOKUP(D131,MASTER_PROPERTY_TABLE,12,FALSE)="English",mmBTU_to_GJ,1))</f>
        <v>0</v>
      </c>
      <c r="E137" s="427">
        <f>IF(E131="",,IF(VLOOKUP(E131,MASTER_PROPERTY_TABLE,12,FALSE)="English",mmBTU_to_GJ,1))</f>
        <v>0</v>
      </c>
      <c r="F137" s="425">
        <f ca="1">IF(F131="",,IF(VLOOKUP(F131,MASTER_PROPERTY_TABLE,12,FALSE)="English",mmBTU_to_GJ,1))</f>
        <v>1</v>
      </c>
      <c r="G137" s="426">
        <f>IF(G131="",,IF(VLOOKUP(G131,MASTER_PROPERTY_TABLE,12,FALSE)="English",mmBTU_to_GJ,1))</f>
        <v>0</v>
      </c>
      <c r="H137" s="426">
        <f>IF(H131="",,IF(VLOOKUP(H131,MASTER_PROPERTY_TABLE,12,FALSE)="English",mmBTU_to_GJ,1))</f>
        <v>0</v>
      </c>
      <c r="I137" s="426">
        <f>IF(I131="",,IF(VLOOKUP(I131,MASTER_PROPERTY_TABLE,12,FALSE)="English",mmBTU_to_GJ,1))</f>
        <v>0</v>
      </c>
      <c r="J137" s="427">
        <f ca="1">IF($J$131="",0,IF(VLOOKUP($J$131,MASTER_PROPERTY_TABLE,12,FALSE)="English",mmBTU_to_GJ,1))</f>
        <v>1</v>
      </c>
      <c r="K137" s="426">
        <f>IF(K131="",,IF(VLOOKUP(K131,MASTER_PROPERTY_TABLE,12,FALSE)="English",mmBTU_to_GJ,1))</f>
        <v>0</v>
      </c>
      <c r="L137" s="426">
        <f>IF(L131="",,IF(VLOOKUP(L131,MASTER_PROPERTY_TABLE,12,FALSE)="English",mmBTU_to_GJ,1))</f>
        <v>0</v>
      </c>
      <c r="M137" s="426">
        <f>IF(M131="",,IF(VLOOKUP(M131,MASTER_PROPERTY_TABLE,12,FALSE)="English",mmBTU_to_GJ,1))</f>
        <v>0</v>
      </c>
      <c r="N137" s="426">
        <f>IF(N131="",,IF(VLOOKUP(N131,MASTER_PROPERTY_TABLE,12,FALSE)="English",mmBTU_to_GJ,1))</f>
        <v>0</v>
      </c>
      <c r="O137" s="532"/>
      <c r="P137" s="530"/>
      <c r="Q137" s="530"/>
      <c r="R137" s="531"/>
      <c r="S137" s="410"/>
      <c r="T137" s="415"/>
      <c r="U137" s="415"/>
      <c r="V137" s="416"/>
    </row>
    <row r="138" spans="1:22" ht="38.25" customHeight="1" thickTop="1" x14ac:dyDescent="0.3">
      <c r="A138" s="204" t="s">
        <v>1034</v>
      </c>
      <c r="B138" s="237" t="str">
        <f t="shared" ref="B138:N138" si="49">IF(B$131="","",B$131&amp;" ($/kg of H2)")</f>
        <v>Industrial Natural Gas ($/kg of H2)</v>
      </c>
      <c r="C138" s="237" t="str">
        <f t="shared" si="49"/>
        <v/>
      </c>
      <c r="D138" s="237" t="str">
        <f t="shared" si="49"/>
        <v/>
      </c>
      <c r="E138" s="237" t="str">
        <f t="shared" si="49"/>
        <v/>
      </c>
      <c r="F138" s="237" t="str">
        <f t="shared" si="49"/>
        <v>Industrial Electricity ($/kg of H2)</v>
      </c>
      <c r="G138" s="237" t="str">
        <f t="shared" si="49"/>
        <v/>
      </c>
      <c r="H138" s="237" t="str">
        <f t="shared" si="49"/>
        <v/>
      </c>
      <c r="I138" s="596" t="str">
        <f t="shared" si="49"/>
        <v/>
      </c>
      <c r="J138" s="602"/>
      <c r="K138" s="600" t="str">
        <f t="shared" si="49"/>
        <v/>
      </c>
      <c r="L138" s="237" t="str">
        <f t="shared" si="49"/>
        <v/>
      </c>
      <c r="M138" s="237" t="str">
        <f t="shared" si="49"/>
        <v/>
      </c>
      <c r="N138" s="237" t="str">
        <f t="shared" si="49"/>
        <v/>
      </c>
      <c r="O138" s="237"/>
      <c r="P138" s="237" t="str">
        <f>IF(P$131="","",P$131&amp;" ($/kg of H2)")</f>
        <v>Demineralized Water ($/kg of H2)</v>
      </c>
      <c r="Q138" s="237" t="str">
        <f>IF(Q$131="","",Q$131&amp;" ($/kg of H2)")</f>
        <v>Cooling Water ($/kg of H2)</v>
      </c>
      <c r="R138" s="237" t="str">
        <f>IF(R$131="","",R$131&amp;" ($/kg of H2)")</f>
        <v/>
      </c>
      <c r="S138" s="238"/>
      <c r="T138" s="237" t="str">
        <f>IF(T$131="","",T$131&amp;" ($/kg of H2)")</f>
        <v/>
      </c>
      <c r="U138" s="237" t="str">
        <f>IF(U$131="","",U$131&amp;" ($/kg of H2)")</f>
        <v/>
      </c>
      <c r="V138" s="237" t="str">
        <f>IF(V$131="","",V$131&amp;" ($/kg of H2)")</f>
        <v/>
      </c>
    </row>
    <row r="139" spans="1:22" ht="15" customHeight="1" x14ac:dyDescent="0.25">
      <c r="A139" s="205">
        <f t="shared" ref="A139:A182" si="50">IF(A65="","",A65)</f>
        <v>2037</v>
      </c>
      <c r="B139" s="207">
        <f ca="1">IF($A139="","",IF($B$131="","",IF($B$135="no",INFLATION_FACTOR*$B$133*$B$134,INFLATION_FACTOR*$B$133*$B$132*INDEX(FEEDPRICETABLE,MATCH($B$131,List_Energy_Feedstocks,0),MATCH($A139,Feedstock_Year,0)))))</f>
        <v>1.4585949798583022</v>
      </c>
      <c r="C139" s="207" t="str">
        <f t="shared" ref="C139:C182" si="51">IF($A139="","",IF($C$131="","",IF($C$135="no",INFLATION_FACTOR*$C$133*$C$134,INFLATION_FACTOR*$C$133*$C$132*INDEX(FEEDPRICETABLE,MATCH($C$131,List_Energy_Feedstocks,0),MATCH($A139,Feedstock_Year,0)))))</f>
        <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f ca="1">IF($A139="","",IF($F$131="","",IF($F$135="no",INFLATION_FACTOR*$F$133*$F$134,INFLATION_FACTOR*$F$133*$F$132*INDEX(FEEDPRICETABLE,MATCH($F$131,List_Energy_Feedstocks,0),MATCH($A139,Feedstock_Year,0)))))</f>
        <v>7.3242562555881061E-2</v>
      </c>
      <c r="G139" s="207" t="str">
        <f t="shared" ref="G139:G182" si="54">IF($A139="","",IF($G$131="","",IF($G$135="no",INFLATION_FACTOR*$G$133*$G$134,INFLATION_FACTOR*$G$133*$G$132*INDEX(FEEDPRICETABLE,MATCH($G$131,List_Energy_Feedstocks,0),MATCH($A139,Feedstock_Year,0)))))</f>
        <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601">
        <f t="shared" ref="J139:J182" ca="1" si="57">IF($A139="","",IF($J$131="","",IF($J$135="no",INFLATION_FACTOR*$J$133*$J$134,INFLATION_FACTOR*$J$133*$J$132*INDEX(FEEDPRICETABLE,MATCH($J$131,List_Energy_Feedstocks,0),MATCH($A139,Feedstock_Year,0)))))</f>
        <v>6.481273720293652E-3</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3.7553365687528865E-2</v>
      </c>
      <c r="Q139" s="229">
        <f ca="1">IF(OR($A139="",$Q$131=""),"",IF($Q$134="No",INFLATION_FACTOR*$Q$132*$Q$133,INFLATION_FACTOR*$Q$132*INDEX(Tbl_Other_Inputs_and_Byproducts,MATCH($Q$131,Other_Inputs_List,0),MATCH($A139,Other_Inputs_years,0))))</f>
        <v>2.6622136019508846E-4</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5">
      <c r="A140" s="205">
        <f t="shared" si="50"/>
        <v>2038</v>
      </c>
      <c r="B140" s="207">
        <f t="shared" ref="B140:B182" ca="1" si="66">IF($A140="","",IF($B$131="","",IF($B$135="no",INFLATION_FACTOR*$B$133*$B$134,INFLATION_FACTOR*$B$133*$B$132*INDEX(FEEDPRICETABLE,MATCH($B$131,List_Energy_Feedstocks,0),MATCH($A140,Feedstock_Year,0)))))</f>
        <v>1.4571737096801383</v>
      </c>
      <c r="C140" s="207" t="str">
        <f t="shared" si="51"/>
        <v/>
      </c>
      <c r="D140" s="207" t="str">
        <f t="shared" si="52"/>
        <v/>
      </c>
      <c r="E140" s="234" t="str">
        <f t="shared" si="53"/>
        <v/>
      </c>
      <c r="F140" s="206">
        <f t="shared" ref="F140:F182" ca="1" si="67">IF($A140="","",IF($F$131="","",IF($F$135="no",INFLATION_FACTOR*$F$133*$F$134,INFLATION_FACTOR*$F$133*$F$132*INDEX(FEEDPRICETABLE,MATCH($F$131,List_Energy_Feedstocks,0),MATCH($A140,Feedstock_Year,0)))))</f>
        <v>7.3258830680129783E-2</v>
      </c>
      <c r="G140" s="207" t="str">
        <f t="shared" si="54"/>
        <v/>
      </c>
      <c r="H140" s="207" t="str">
        <f t="shared" si="55"/>
        <v/>
      </c>
      <c r="I140" s="234" t="str">
        <f t="shared" si="56"/>
        <v/>
      </c>
      <c r="J140" s="601">
        <f t="shared" ca="1" si="57"/>
        <v>6.4827132953507267E-3</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3.7553365687528865E-2</v>
      </c>
      <c r="Q140" s="229">
        <f t="shared" ref="Q140:Q182" ca="1" si="69">IF(OR($A140="",$Q$131=""),"",IF($Q$134="No",INFLATION_FACTOR*$Q$132*$Q$133,INFLATION_FACTOR*$Q$132*INDEX(Tbl_Other_Inputs_and_Byproducts,MATCH($Q$131,Other_Inputs_List,0),MATCH($A140,Other_Inputs_years,0))))</f>
        <v>2.6622136019508846E-4</v>
      </c>
      <c r="R140" s="229" t="str">
        <f t="shared" si="62"/>
        <v/>
      </c>
      <c r="S140" s="239"/>
      <c r="T140" s="229" t="str">
        <f t="shared" si="63"/>
        <v/>
      </c>
      <c r="U140" s="229" t="str">
        <f t="shared" si="64"/>
        <v/>
      </c>
      <c r="V140" s="229" t="str">
        <f t="shared" si="65"/>
        <v/>
      </c>
    </row>
    <row r="141" spans="1:22" ht="15" customHeight="1" x14ac:dyDescent="0.25">
      <c r="A141" s="205">
        <f t="shared" si="50"/>
        <v>2039</v>
      </c>
      <c r="B141" s="207">
        <f t="shared" ca="1" si="66"/>
        <v>1.4627065551507032</v>
      </c>
      <c r="C141" s="207" t="str">
        <f t="shared" si="51"/>
        <v/>
      </c>
      <c r="D141" s="207" t="str">
        <f t="shared" si="52"/>
        <v/>
      </c>
      <c r="E141" s="234" t="str">
        <f t="shared" si="53"/>
        <v/>
      </c>
      <c r="F141" s="206">
        <f t="shared" ca="1" si="67"/>
        <v>7.3315527891331084E-2</v>
      </c>
      <c r="G141" s="207" t="str">
        <f t="shared" si="54"/>
        <v/>
      </c>
      <c r="H141" s="207" t="str">
        <f t="shared" si="55"/>
        <v/>
      </c>
      <c r="I141" s="234" t="str">
        <f t="shared" si="56"/>
        <v/>
      </c>
      <c r="J141" s="601">
        <f t="shared" ca="1" si="57"/>
        <v>6.4877304620383691E-3</v>
      </c>
      <c r="K141" s="232" t="str">
        <f t="shared" si="58"/>
        <v/>
      </c>
      <c r="L141" s="232" t="str">
        <f t="shared" si="59"/>
        <v/>
      </c>
      <c r="M141" s="207" t="str">
        <f t="shared" si="60"/>
        <v/>
      </c>
      <c r="N141" s="235" t="str">
        <f t="shared" si="61"/>
        <v/>
      </c>
      <c r="O141" s="240"/>
      <c r="P141" s="229">
        <f t="shared" ca="1" si="68"/>
        <v>3.7553365687528865E-2</v>
      </c>
      <c r="Q141" s="229">
        <f t="shared" ca="1" si="69"/>
        <v>2.6622136019508846E-4</v>
      </c>
      <c r="R141" s="229" t="str">
        <f t="shared" si="62"/>
        <v/>
      </c>
      <c r="S141" s="239"/>
      <c r="T141" s="229" t="str">
        <f t="shared" si="63"/>
        <v/>
      </c>
      <c r="U141" s="229" t="str">
        <f t="shared" si="64"/>
        <v/>
      </c>
      <c r="V141" s="229" t="str">
        <f t="shared" si="65"/>
        <v/>
      </c>
    </row>
    <row r="142" spans="1:22" ht="15" customHeight="1" x14ac:dyDescent="0.25">
      <c r="A142" s="205">
        <f t="shared" si="50"/>
        <v>2040</v>
      </c>
      <c r="B142" s="207">
        <f t="shared" ca="1" si="66"/>
        <v>1.4516264238891821</v>
      </c>
      <c r="C142" s="207" t="str">
        <f t="shared" si="51"/>
        <v/>
      </c>
      <c r="D142" s="207" t="str">
        <f t="shared" si="52"/>
        <v/>
      </c>
      <c r="E142" s="234" t="str">
        <f t="shared" si="53"/>
        <v/>
      </c>
      <c r="F142" s="206">
        <f t="shared" ca="1" si="67"/>
        <v>7.3143622255735022E-2</v>
      </c>
      <c r="G142" s="207" t="str">
        <f t="shared" si="54"/>
        <v/>
      </c>
      <c r="H142" s="207" t="str">
        <f t="shared" si="55"/>
        <v/>
      </c>
      <c r="I142" s="234" t="str">
        <f t="shared" si="56"/>
        <v/>
      </c>
      <c r="J142" s="601">
        <f t="shared" ca="1" si="57"/>
        <v>6.4725184399643323E-3</v>
      </c>
      <c r="K142" s="232" t="str">
        <f t="shared" si="58"/>
        <v/>
      </c>
      <c r="L142" s="232" t="str">
        <f t="shared" si="59"/>
        <v/>
      </c>
      <c r="M142" s="207" t="str">
        <f t="shared" si="60"/>
        <v/>
      </c>
      <c r="N142" s="235" t="str">
        <f t="shared" si="61"/>
        <v/>
      </c>
      <c r="O142" s="240"/>
      <c r="P142" s="229">
        <f t="shared" ca="1" si="68"/>
        <v>3.7553365687528865E-2</v>
      </c>
      <c r="Q142" s="229">
        <f t="shared" ca="1" si="69"/>
        <v>2.6622136019508846E-4</v>
      </c>
      <c r="R142" s="229" t="str">
        <f t="shared" si="62"/>
        <v/>
      </c>
      <c r="S142" s="239"/>
      <c r="T142" s="229" t="str">
        <f t="shared" si="63"/>
        <v/>
      </c>
      <c r="U142" s="229" t="str">
        <f t="shared" si="64"/>
        <v/>
      </c>
      <c r="V142" s="229" t="str">
        <f t="shared" si="65"/>
        <v/>
      </c>
    </row>
    <row r="143" spans="1:22" ht="15" customHeight="1" x14ac:dyDescent="0.25">
      <c r="A143" s="205">
        <f t="shared" si="50"/>
        <v>2041</v>
      </c>
      <c r="B143" s="207">
        <f t="shared" ca="1" si="66"/>
        <v>1.4528004953623441</v>
      </c>
      <c r="C143" s="207" t="str">
        <f t="shared" si="51"/>
        <v/>
      </c>
      <c r="D143" s="207" t="str">
        <f t="shared" si="52"/>
        <v/>
      </c>
      <c r="E143" s="234" t="str">
        <f t="shared" si="53"/>
        <v/>
      </c>
      <c r="F143" s="206">
        <f t="shared" ca="1" si="67"/>
        <v>7.2928511852833153E-2</v>
      </c>
      <c r="G143" s="207" t="str">
        <f t="shared" si="54"/>
        <v/>
      </c>
      <c r="H143" s="207" t="str">
        <f t="shared" si="55"/>
        <v/>
      </c>
      <c r="I143" s="234" t="str">
        <f t="shared" si="56"/>
        <v/>
      </c>
      <c r="J143" s="601">
        <f t="shared" ca="1" si="57"/>
        <v>6.4534832048136507E-3</v>
      </c>
      <c r="K143" s="232" t="str">
        <f t="shared" si="58"/>
        <v/>
      </c>
      <c r="L143" s="232" t="str">
        <f t="shared" si="59"/>
        <v/>
      </c>
      <c r="M143" s="207" t="str">
        <f t="shared" si="60"/>
        <v/>
      </c>
      <c r="N143" s="235" t="str">
        <f t="shared" si="61"/>
        <v/>
      </c>
      <c r="O143" s="240"/>
      <c r="P143" s="229">
        <f t="shared" ca="1" si="68"/>
        <v>3.7553365687528865E-2</v>
      </c>
      <c r="Q143" s="229">
        <f t="shared" ca="1" si="69"/>
        <v>2.6622136019508846E-4</v>
      </c>
      <c r="R143" s="229" t="str">
        <f t="shared" si="62"/>
        <v/>
      </c>
      <c r="S143" s="239"/>
      <c r="T143" s="229" t="str">
        <f t="shared" si="63"/>
        <v/>
      </c>
      <c r="U143" s="229" t="str">
        <f t="shared" si="64"/>
        <v/>
      </c>
      <c r="V143" s="229" t="str">
        <f t="shared" si="65"/>
        <v/>
      </c>
    </row>
    <row r="144" spans="1:22" ht="15" customHeight="1" x14ac:dyDescent="0.25">
      <c r="A144" s="205">
        <f t="shared" si="50"/>
        <v>2042</v>
      </c>
      <c r="B144" s="207">
        <f t="shared" ca="1" si="66"/>
        <v>1.4667887602999357</v>
      </c>
      <c r="C144" s="207" t="str">
        <f t="shared" si="51"/>
        <v/>
      </c>
      <c r="D144" s="207" t="str">
        <f t="shared" si="52"/>
        <v/>
      </c>
      <c r="E144" s="234" t="str">
        <f t="shared" si="53"/>
        <v/>
      </c>
      <c r="F144" s="206">
        <f t="shared" ca="1" si="67"/>
        <v>7.3013097736505883E-2</v>
      </c>
      <c r="G144" s="207" t="str">
        <f t="shared" si="54"/>
        <v/>
      </c>
      <c r="H144" s="207" t="str">
        <f t="shared" si="55"/>
        <v/>
      </c>
      <c r="I144" s="234" t="str">
        <f t="shared" si="56"/>
        <v/>
      </c>
      <c r="J144" s="601">
        <f t="shared" ca="1" si="57"/>
        <v>6.4609682551153473E-3</v>
      </c>
      <c r="K144" s="232" t="str">
        <f t="shared" si="58"/>
        <v/>
      </c>
      <c r="L144" s="232" t="str">
        <f t="shared" si="59"/>
        <v/>
      </c>
      <c r="M144" s="207" t="str">
        <f t="shared" si="60"/>
        <v/>
      </c>
      <c r="N144" s="235" t="str">
        <f t="shared" si="61"/>
        <v/>
      </c>
      <c r="O144" s="240"/>
      <c r="P144" s="229">
        <f t="shared" ca="1" si="68"/>
        <v>3.7553365687528865E-2</v>
      </c>
      <c r="Q144" s="229">
        <f t="shared" ca="1" si="69"/>
        <v>2.6622136019508846E-4</v>
      </c>
      <c r="R144" s="229" t="str">
        <f t="shared" si="62"/>
        <v/>
      </c>
      <c r="S144" s="239"/>
      <c r="T144" s="229" t="str">
        <f t="shared" si="63"/>
        <v/>
      </c>
      <c r="U144" s="229" t="str">
        <f t="shared" si="64"/>
        <v/>
      </c>
      <c r="V144" s="229" t="str">
        <f t="shared" si="65"/>
        <v/>
      </c>
    </row>
    <row r="145" spans="1:22" ht="15" customHeight="1" x14ac:dyDescent="0.25">
      <c r="A145" s="205">
        <f t="shared" si="50"/>
        <v>2043</v>
      </c>
      <c r="B145" s="207">
        <f t="shared" ca="1" si="66"/>
        <v>1.4881995946697939</v>
      </c>
      <c r="C145" s="207" t="str">
        <f t="shared" si="51"/>
        <v/>
      </c>
      <c r="D145" s="207" t="str">
        <f t="shared" si="52"/>
        <v/>
      </c>
      <c r="E145" s="234" t="str">
        <f t="shared" si="53"/>
        <v/>
      </c>
      <c r="F145" s="206">
        <f t="shared" ca="1" si="67"/>
        <v>7.3235917647874377E-2</v>
      </c>
      <c r="G145" s="207" t="str">
        <f t="shared" si="54"/>
        <v/>
      </c>
      <c r="H145" s="207" t="str">
        <f t="shared" si="55"/>
        <v/>
      </c>
      <c r="I145" s="234" t="str">
        <f t="shared" si="56"/>
        <v/>
      </c>
      <c r="J145" s="601">
        <f t="shared" ca="1" si="57"/>
        <v>6.4806857088132424E-3</v>
      </c>
      <c r="K145" s="232" t="str">
        <f t="shared" si="58"/>
        <v/>
      </c>
      <c r="L145" s="232" t="str">
        <f t="shared" si="59"/>
        <v/>
      </c>
      <c r="M145" s="207" t="str">
        <f t="shared" si="60"/>
        <v/>
      </c>
      <c r="N145" s="235" t="str">
        <f t="shared" si="61"/>
        <v/>
      </c>
      <c r="O145" s="240"/>
      <c r="P145" s="229">
        <f t="shared" ca="1" si="68"/>
        <v>3.7553365687528865E-2</v>
      </c>
      <c r="Q145" s="229">
        <f t="shared" ca="1" si="69"/>
        <v>2.6622136019508846E-4</v>
      </c>
      <c r="R145" s="229" t="str">
        <f t="shared" si="62"/>
        <v/>
      </c>
      <c r="S145" s="239"/>
      <c r="T145" s="229" t="str">
        <f t="shared" si="63"/>
        <v/>
      </c>
      <c r="U145" s="229" t="str">
        <f t="shared" si="64"/>
        <v/>
      </c>
      <c r="V145" s="229" t="str">
        <f t="shared" si="65"/>
        <v/>
      </c>
    </row>
    <row r="146" spans="1:22" ht="15" customHeight="1" x14ac:dyDescent="0.25">
      <c r="A146" s="205">
        <f t="shared" si="50"/>
        <v>2044</v>
      </c>
      <c r="B146" s="207">
        <f t="shared" ca="1" si="66"/>
        <v>1.5028743867039498</v>
      </c>
      <c r="C146" s="207" t="str">
        <f t="shared" si="51"/>
        <v/>
      </c>
      <c r="D146" s="207" t="str">
        <f t="shared" si="52"/>
        <v/>
      </c>
      <c r="E146" s="234" t="str">
        <f t="shared" si="53"/>
        <v/>
      </c>
      <c r="F146" s="206">
        <f t="shared" ca="1" si="67"/>
        <v>7.3511861443824919E-2</v>
      </c>
      <c r="G146" s="207" t="str">
        <f t="shared" si="54"/>
        <v/>
      </c>
      <c r="H146" s="207" t="str">
        <f t="shared" si="55"/>
        <v/>
      </c>
      <c r="I146" s="234" t="str">
        <f t="shared" si="56"/>
        <v/>
      </c>
      <c r="J146" s="601">
        <f t="shared" ca="1" si="57"/>
        <v>6.5051041236059764E-3</v>
      </c>
      <c r="K146" s="232" t="str">
        <f t="shared" si="58"/>
        <v/>
      </c>
      <c r="L146" s="232" t="str">
        <f t="shared" si="59"/>
        <v/>
      </c>
      <c r="M146" s="207" t="str">
        <f t="shared" si="60"/>
        <v/>
      </c>
      <c r="N146" s="235" t="str">
        <f t="shared" si="61"/>
        <v/>
      </c>
      <c r="O146" s="240"/>
      <c r="P146" s="229">
        <f t="shared" ca="1" si="68"/>
        <v>3.7553365687528865E-2</v>
      </c>
      <c r="Q146" s="229">
        <f t="shared" ca="1" si="69"/>
        <v>2.6622136019508846E-4</v>
      </c>
      <c r="R146" s="229" t="str">
        <f t="shared" si="62"/>
        <v/>
      </c>
      <c r="S146" s="239"/>
      <c r="T146" s="229" t="str">
        <f t="shared" si="63"/>
        <v/>
      </c>
      <c r="U146" s="229" t="str">
        <f t="shared" si="64"/>
        <v/>
      </c>
      <c r="V146" s="229" t="str">
        <f t="shared" si="65"/>
        <v/>
      </c>
    </row>
    <row r="147" spans="1:22" ht="15" customHeight="1" x14ac:dyDescent="0.25">
      <c r="A147" s="205">
        <f t="shared" si="50"/>
        <v>2045</v>
      </c>
      <c r="B147" s="207">
        <f t="shared" ca="1" si="66"/>
        <v>1.5221722840240253</v>
      </c>
      <c r="C147" s="207" t="str">
        <f t="shared" si="51"/>
        <v/>
      </c>
      <c r="D147" s="207" t="str">
        <f t="shared" si="52"/>
        <v/>
      </c>
      <c r="E147" s="234" t="str">
        <f t="shared" si="53"/>
        <v/>
      </c>
      <c r="F147" s="206">
        <f t="shared" ca="1" si="67"/>
        <v>7.3780398064974176E-2</v>
      </c>
      <c r="G147" s="207" t="str">
        <f t="shared" si="54"/>
        <v/>
      </c>
      <c r="H147" s="207" t="str">
        <f t="shared" si="55"/>
        <v/>
      </c>
      <c r="I147" s="234" t="str">
        <f t="shared" si="56"/>
        <v/>
      </c>
      <c r="J147" s="601">
        <f t="shared" ca="1" si="57"/>
        <v>6.5288670735200146E-3</v>
      </c>
      <c r="K147" s="232" t="str">
        <f t="shared" si="58"/>
        <v/>
      </c>
      <c r="L147" s="232" t="str">
        <f t="shared" si="59"/>
        <v/>
      </c>
      <c r="M147" s="207" t="str">
        <f t="shared" si="60"/>
        <v/>
      </c>
      <c r="N147" s="235" t="str">
        <f t="shared" si="61"/>
        <v/>
      </c>
      <c r="O147" s="240"/>
      <c r="P147" s="229">
        <f t="shared" ca="1" si="68"/>
        <v>3.7553365687528865E-2</v>
      </c>
      <c r="Q147" s="229">
        <f t="shared" ca="1" si="69"/>
        <v>2.6622136019508846E-4</v>
      </c>
      <c r="R147" s="229" t="str">
        <f t="shared" si="62"/>
        <v/>
      </c>
      <c r="S147" s="239"/>
      <c r="T147" s="229" t="str">
        <f t="shared" si="63"/>
        <v/>
      </c>
      <c r="U147" s="229" t="str">
        <f t="shared" si="64"/>
        <v/>
      </c>
      <c r="V147" s="229" t="str">
        <f t="shared" si="65"/>
        <v/>
      </c>
    </row>
    <row r="148" spans="1:22" ht="15" customHeight="1" x14ac:dyDescent="0.25">
      <c r="A148" s="205">
        <f t="shared" si="50"/>
        <v>2046</v>
      </c>
      <c r="B148" s="207">
        <f t="shared" ca="1" si="66"/>
        <v>1.5369249069375777</v>
      </c>
      <c r="C148" s="207" t="str">
        <f t="shared" si="51"/>
        <v/>
      </c>
      <c r="D148" s="207" t="str">
        <f t="shared" si="52"/>
        <v/>
      </c>
      <c r="E148" s="234" t="str">
        <f t="shared" si="53"/>
        <v/>
      </c>
      <c r="F148" s="206">
        <f t="shared" ca="1" si="67"/>
        <v>7.4053421446369963E-2</v>
      </c>
      <c r="G148" s="207" t="str">
        <f t="shared" si="54"/>
        <v/>
      </c>
      <c r="H148" s="207" t="str">
        <f t="shared" si="55"/>
        <v/>
      </c>
      <c r="I148" s="234" t="str">
        <f t="shared" si="56"/>
        <v/>
      </c>
      <c r="J148" s="601">
        <f t="shared" ca="1" si="57"/>
        <v>6.5530270592594007E-3</v>
      </c>
      <c r="K148" s="232" t="str">
        <f t="shared" si="58"/>
        <v/>
      </c>
      <c r="L148" s="232" t="str">
        <f t="shared" si="59"/>
        <v/>
      </c>
      <c r="M148" s="207" t="str">
        <f t="shared" si="60"/>
        <v/>
      </c>
      <c r="N148" s="235" t="str">
        <f t="shared" si="61"/>
        <v/>
      </c>
      <c r="O148" s="240"/>
      <c r="P148" s="229">
        <f t="shared" ca="1" si="68"/>
        <v>3.7553365687528865E-2</v>
      </c>
      <c r="Q148" s="229">
        <f t="shared" ca="1" si="69"/>
        <v>2.6622136019508846E-4</v>
      </c>
      <c r="R148" s="229" t="str">
        <f t="shared" si="62"/>
        <v/>
      </c>
      <c r="S148" s="239"/>
      <c r="T148" s="229" t="str">
        <f t="shared" si="63"/>
        <v/>
      </c>
      <c r="U148" s="229" t="str">
        <f t="shared" si="64"/>
        <v/>
      </c>
      <c r="V148" s="229" t="str">
        <f t="shared" si="65"/>
        <v/>
      </c>
    </row>
    <row r="149" spans="1:22" ht="15" customHeight="1" x14ac:dyDescent="0.25">
      <c r="A149" s="205">
        <f t="shared" si="50"/>
        <v>2047</v>
      </c>
      <c r="B149" s="207">
        <f t="shared" ca="1" si="66"/>
        <v>1.5531063873162791</v>
      </c>
      <c r="C149" s="207" t="str">
        <f t="shared" si="51"/>
        <v/>
      </c>
      <c r="D149" s="207" t="str">
        <f t="shared" si="52"/>
        <v/>
      </c>
      <c r="E149" s="234" t="str">
        <f t="shared" si="53"/>
        <v/>
      </c>
      <c r="F149" s="206">
        <f t="shared" ca="1" si="67"/>
        <v>7.4298424286355191E-2</v>
      </c>
      <c r="G149" s="207" t="str">
        <f t="shared" si="54"/>
        <v/>
      </c>
      <c r="H149" s="207" t="str">
        <f t="shared" si="55"/>
        <v/>
      </c>
      <c r="I149" s="234" t="str">
        <f t="shared" si="56"/>
        <v/>
      </c>
      <c r="J149" s="601">
        <f t="shared" ca="1" si="57"/>
        <v>6.5747074922314457E-3</v>
      </c>
      <c r="K149" s="232" t="str">
        <f t="shared" si="58"/>
        <v/>
      </c>
      <c r="L149" s="232" t="str">
        <f t="shared" si="59"/>
        <v/>
      </c>
      <c r="M149" s="207" t="str">
        <f t="shared" si="60"/>
        <v/>
      </c>
      <c r="N149" s="235" t="str">
        <f t="shared" si="61"/>
        <v/>
      </c>
      <c r="O149" s="240"/>
      <c r="P149" s="229">
        <f t="shared" ca="1" si="68"/>
        <v>3.7553365687528865E-2</v>
      </c>
      <c r="Q149" s="229">
        <f t="shared" ca="1" si="69"/>
        <v>2.6622136019508846E-4</v>
      </c>
      <c r="R149" s="229" t="str">
        <f t="shared" si="62"/>
        <v/>
      </c>
      <c r="S149" s="239"/>
      <c r="T149" s="229" t="str">
        <f t="shared" si="63"/>
        <v/>
      </c>
      <c r="U149" s="229" t="str">
        <f t="shared" si="64"/>
        <v/>
      </c>
      <c r="V149" s="229" t="str">
        <f t="shared" si="65"/>
        <v/>
      </c>
    </row>
    <row r="150" spans="1:22" ht="15" customHeight="1" x14ac:dyDescent="0.25">
      <c r="A150" s="205">
        <f t="shared" si="50"/>
        <v>2048</v>
      </c>
      <c r="B150" s="207">
        <f t="shared" ca="1" si="66"/>
        <v>1.5815741328359558</v>
      </c>
      <c r="C150" s="207" t="str">
        <f t="shared" si="51"/>
        <v/>
      </c>
      <c r="D150" s="207" t="str">
        <f t="shared" si="52"/>
        <v/>
      </c>
      <c r="E150" s="234" t="str">
        <f t="shared" si="53"/>
        <v/>
      </c>
      <c r="F150" s="206">
        <f t="shared" ca="1" si="67"/>
        <v>7.457401750390652E-2</v>
      </c>
      <c r="G150" s="207" t="str">
        <f t="shared" si="54"/>
        <v/>
      </c>
      <c r="H150" s="207" t="str">
        <f t="shared" si="55"/>
        <v/>
      </c>
      <c r="I150" s="234" t="str">
        <f t="shared" si="56"/>
        <v/>
      </c>
      <c r="J150" s="601">
        <f t="shared" ca="1" si="57"/>
        <v>6.5990948841532374E-3</v>
      </c>
      <c r="K150" s="232" t="str">
        <f t="shared" si="58"/>
        <v/>
      </c>
      <c r="L150" s="232" t="str">
        <f t="shared" si="59"/>
        <v/>
      </c>
      <c r="M150" s="207" t="str">
        <f t="shared" si="60"/>
        <v/>
      </c>
      <c r="N150" s="235" t="str">
        <f t="shared" si="61"/>
        <v/>
      </c>
      <c r="O150" s="240"/>
      <c r="P150" s="229">
        <f t="shared" ca="1" si="68"/>
        <v>3.7553365687528865E-2</v>
      </c>
      <c r="Q150" s="229">
        <f t="shared" ca="1" si="69"/>
        <v>2.6622136019508846E-4</v>
      </c>
      <c r="R150" s="229" t="str">
        <f t="shared" si="62"/>
        <v/>
      </c>
      <c r="S150" s="239"/>
      <c r="T150" s="229" t="str">
        <f t="shared" si="63"/>
        <v/>
      </c>
      <c r="U150" s="229" t="str">
        <f t="shared" si="64"/>
        <v/>
      </c>
      <c r="V150" s="229" t="str">
        <f t="shared" si="65"/>
        <v/>
      </c>
    </row>
    <row r="151" spans="1:22" ht="15" customHeight="1" x14ac:dyDescent="0.25">
      <c r="A151" s="205">
        <f t="shared" si="50"/>
        <v>2049</v>
      </c>
      <c r="B151" s="207">
        <f t="shared" ca="1" si="66"/>
        <v>1.5908367417377309</v>
      </c>
      <c r="C151" s="207" t="str">
        <f t="shared" si="51"/>
        <v/>
      </c>
      <c r="D151" s="207" t="str">
        <f t="shared" si="52"/>
        <v/>
      </c>
      <c r="E151" s="234" t="str">
        <f t="shared" si="53"/>
        <v/>
      </c>
      <c r="F151" s="206">
        <f t="shared" ca="1" si="67"/>
        <v>7.4812790340596028E-2</v>
      </c>
      <c r="G151" s="207" t="str">
        <f t="shared" si="54"/>
        <v/>
      </c>
      <c r="H151" s="207" t="str">
        <f t="shared" si="55"/>
        <v/>
      </c>
      <c r="I151" s="234" t="str">
        <f t="shared" si="56"/>
        <v/>
      </c>
      <c r="J151" s="601">
        <f t="shared" ca="1" si="57"/>
        <v>6.62022402078571E-3</v>
      </c>
      <c r="K151" s="232" t="str">
        <f t="shared" si="58"/>
        <v/>
      </c>
      <c r="L151" s="232" t="str">
        <f t="shared" si="59"/>
        <v/>
      </c>
      <c r="M151" s="207" t="str">
        <f t="shared" si="60"/>
        <v/>
      </c>
      <c r="N151" s="235" t="str">
        <f t="shared" si="61"/>
        <v/>
      </c>
      <c r="O151" s="240"/>
      <c r="P151" s="229">
        <f t="shared" ca="1" si="68"/>
        <v>3.7553365687528865E-2</v>
      </c>
      <c r="Q151" s="229">
        <f t="shared" ca="1" si="69"/>
        <v>2.6622136019508846E-4</v>
      </c>
      <c r="R151" s="229" t="str">
        <f t="shared" si="62"/>
        <v/>
      </c>
      <c r="S151" s="239"/>
      <c r="T151" s="229" t="str">
        <f t="shared" si="63"/>
        <v/>
      </c>
      <c r="U151" s="229" t="str">
        <f t="shared" si="64"/>
        <v/>
      </c>
      <c r="V151" s="229" t="str">
        <f t="shared" si="65"/>
        <v/>
      </c>
    </row>
    <row r="152" spans="1:22" ht="15" customHeight="1" x14ac:dyDescent="0.25">
      <c r="A152" s="205">
        <f t="shared" si="50"/>
        <v>2050</v>
      </c>
      <c r="B152" s="207">
        <f t="shared" ca="1" si="66"/>
        <v>1.6109787859227087</v>
      </c>
      <c r="C152" s="207" t="str">
        <f t="shared" si="51"/>
        <v/>
      </c>
      <c r="D152" s="207" t="str">
        <f t="shared" si="52"/>
        <v/>
      </c>
      <c r="E152" s="234" t="str">
        <f t="shared" si="53"/>
        <v/>
      </c>
      <c r="F152" s="206">
        <f t="shared" ca="1" si="67"/>
        <v>7.5044275006161038E-2</v>
      </c>
      <c r="G152" s="207" t="str">
        <f t="shared" si="54"/>
        <v/>
      </c>
      <c r="H152" s="207" t="str">
        <f t="shared" si="55"/>
        <v/>
      </c>
      <c r="I152" s="234" t="str">
        <f t="shared" si="56"/>
        <v/>
      </c>
      <c r="J152" s="601">
        <f t="shared" ca="1" si="57"/>
        <v>6.6407082232387959E-3</v>
      </c>
      <c r="K152" s="232" t="str">
        <f t="shared" si="58"/>
        <v/>
      </c>
      <c r="L152" s="232" t="str">
        <f t="shared" si="59"/>
        <v/>
      </c>
      <c r="M152" s="207" t="str">
        <f t="shared" si="60"/>
        <v/>
      </c>
      <c r="N152" s="235" t="str">
        <f t="shared" si="61"/>
        <v/>
      </c>
      <c r="O152" s="240"/>
      <c r="P152" s="229">
        <f t="shared" ca="1" si="68"/>
        <v>3.7553365687528865E-2</v>
      </c>
      <c r="Q152" s="229">
        <f t="shared" ca="1" si="69"/>
        <v>2.6622136019508846E-4</v>
      </c>
      <c r="R152" s="229" t="str">
        <f t="shared" si="62"/>
        <v/>
      </c>
      <c r="S152" s="239"/>
      <c r="T152" s="229" t="str">
        <f t="shared" si="63"/>
        <v/>
      </c>
      <c r="U152" s="229" t="str">
        <f t="shared" si="64"/>
        <v/>
      </c>
      <c r="V152" s="229" t="str">
        <f t="shared" si="65"/>
        <v/>
      </c>
    </row>
    <row r="153" spans="1:22" ht="15" customHeight="1" x14ac:dyDescent="0.25">
      <c r="A153" s="205">
        <f t="shared" si="50"/>
        <v>2051</v>
      </c>
      <c r="B153" s="207">
        <f t="shared" ca="1" si="66"/>
        <v>1.6199347668841135</v>
      </c>
      <c r="C153" s="207" t="str">
        <f t="shared" si="51"/>
        <v/>
      </c>
      <c r="D153" s="207" t="str">
        <f t="shared" si="52"/>
        <v/>
      </c>
      <c r="E153" s="234" t="str">
        <f t="shared" si="53"/>
        <v/>
      </c>
      <c r="F153" s="206">
        <f t="shared" ca="1" si="67"/>
        <v>7.5112336816988631E-2</v>
      </c>
      <c r="G153" s="207" t="str">
        <f t="shared" si="54"/>
        <v/>
      </c>
      <c r="H153" s="207" t="str">
        <f t="shared" si="55"/>
        <v/>
      </c>
      <c r="I153" s="234" t="str">
        <f t="shared" si="56"/>
        <v/>
      </c>
      <c r="J153" s="601">
        <f t="shared" ca="1" si="57"/>
        <v>6.6467310494545753E-3</v>
      </c>
      <c r="K153" s="232" t="str">
        <f t="shared" si="58"/>
        <v/>
      </c>
      <c r="L153" s="232" t="str">
        <f t="shared" si="59"/>
        <v/>
      </c>
      <c r="M153" s="207" t="str">
        <f t="shared" si="60"/>
        <v/>
      </c>
      <c r="N153" s="235" t="str">
        <f t="shared" si="61"/>
        <v/>
      </c>
      <c r="O153" s="240"/>
      <c r="P153" s="229">
        <f t="shared" ca="1" si="68"/>
        <v>3.7553365687528865E-2</v>
      </c>
      <c r="Q153" s="229">
        <f t="shared" ca="1" si="69"/>
        <v>2.6622136019508846E-4</v>
      </c>
      <c r="R153" s="229" t="str">
        <f t="shared" si="62"/>
        <v/>
      </c>
      <c r="S153" s="239"/>
      <c r="T153" s="229" t="str">
        <f t="shared" si="63"/>
        <v/>
      </c>
      <c r="U153" s="229" t="str">
        <f t="shared" si="64"/>
        <v/>
      </c>
      <c r="V153" s="229" t="str">
        <f t="shared" si="65"/>
        <v/>
      </c>
    </row>
    <row r="154" spans="1:22" ht="15" customHeight="1" x14ac:dyDescent="0.25">
      <c r="A154" s="205">
        <f t="shared" si="50"/>
        <v>2052</v>
      </c>
      <c r="B154" s="207">
        <f t="shared" ca="1" si="66"/>
        <v>1.6289405372007117</v>
      </c>
      <c r="C154" s="207" t="str">
        <f t="shared" si="51"/>
        <v/>
      </c>
      <c r="D154" s="207" t="str">
        <f t="shared" si="52"/>
        <v/>
      </c>
      <c r="E154" s="234" t="str">
        <f t="shared" si="53"/>
        <v/>
      </c>
      <c r="F154" s="206">
        <f t="shared" ca="1" si="67"/>
        <v>7.5180460356843407E-2</v>
      </c>
      <c r="G154" s="207" t="str">
        <f t="shared" si="54"/>
        <v/>
      </c>
      <c r="H154" s="207" t="str">
        <f t="shared" si="55"/>
        <v/>
      </c>
      <c r="I154" s="234" t="str">
        <f t="shared" si="56"/>
        <v/>
      </c>
      <c r="J154" s="601">
        <f t="shared" ca="1" si="57"/>
        <v>6.652759338105144E-3</v>
      </c>
      <c r="K154" s="232" t="str">
        <f t="shared" si="58"/>
        <v/>
      </c>
      <c r="L154" s="232" t="str">
        <f t="shared" si="59"/>
        <v/>
      </c>
      <c r="M154" s="207" t="str">
        <f t="shared" si="60"/>
        <v/>
      </c>
      <c r="N154" s="235" t="str">
        <f t="shared" si="61"/>
        <v/>
      </c>
      <c r="O154" s="240"/>
      <c r="P154" s="229">
        <f t="shared" ca="1" si="68"/>
        <v>3.7553365687528865E-2</v>
      </c>
      <c r="Q154" s="229">
        <f t="shared" ca="1" si="69"/>
        <v>2.6622136019508846E-4</v>
      </c>
      <c r="R154" s="229" t="str">
        <f t="shared" si="62"/>
        <v/>
      </c>
      <c r="S154" s="239"/>
      <c r="T154" s="229" t="str">
        <f t="shared" si="63"/>
        <v/>
      </c>
      <c r="U154" s="229" t="str">
        <f t="shared" si="64"/>
        <v/>
      </c>
      <c r="V154" s="229" t="str">
        <f t="shared" si="65"/>
        <v/>
      </c>
    </row>
    <row r="155" spans="1:22" ht="15" customHeight="1" x14ac:dyDescent="0.25">
      <c r="A155" s="205">
        <f t="shared" si="50"/>
        <v>2053</v>
      </c>
      <c r="B155" s="207">
        <f t="shared" ca="1" si="66"/>
        <v>1.6379963736685237</v>
      </c>
      <c r="C155" s="207" t="str">
        <f t="shared" si="51"/>
        <v/>
      </c>
      <c r="D155" s="207" t="str">
        <f t="shared" si="52"/>
        <v/>
      </c>
      <c r="E155" s="234" t="str">
        <f t="shared" si="53"/>
        <v/>
      </c>
      <c r="F155" s="206">
        <f t="shared" ca="1" si="67"/>
        <v>7.5248645681710871E-2</v>
      </c>
      <c r="G155" s="207" t="str">
        <f t="shared" si="54"/>
        <v/>
      </c>
      <c r="H155" s="207" t="str">
        <f t="shared" si="55"/>
        <v/>
      </c>
      <c r="I155" s="234" t="str">
        <f t="shared" si="56"/>
        <v/>
      </c>
      <c r="J155" s="601">
        <f t="shared" ca="1" si="57"/>
        <v>6.6587930941446874E-3</v>
      </c>
      <c r="K155" s="232" t="str">
        <f t="shared" si="58"/>
        <v/>
      </c>
      <c r="L155" s="232" t="str">
        <f t="shared" si="59"/>
        <v/>
      </c>
      <c r="M155" s="207" t="str">
        <f t="shared" si="60"/>
        <v/>
      </c>
      <c r="N155" s="235" t="str">
        <f t="shared" si="61"/>
        <v/>
      </c>
      <c r="O155" s="240"/>
      <c r="P155" s="229">
        <f t="shared" ca="1" si="68"/>
        <v>3.7553365687528865E-2</v>
      </c>
      <c r="Q155" s="229">
        <f t="shared" ca="1" si="69"/>
        <v>2.6622136019508846E-4</v>
      </c>
      <c r="R155" s="229" t="str">
        <f t="shared" si="62"/>
        <v/>
      </c>
      <c r="S155" s="239"/>
      <c r="T155" s="229" t="str">
        <f t="shared" si="63"/>
        <v/>
      </c>
      <c r="U155" s="229" t="str">
        <f t="shared" si="64"/>
        <v/>
      </c>
      <c r="V155" s="229" t="str">
        <f t="shared" si="65"/>
        <v/>
      </c>
    </row>
    <row r="156" spans="1:22" ht="15" customHeight="1" x14ac:dyDescent="0.25">
      <c r="A156" s="205">
        <f t="shared" si="50"/>
        <v>2054</v>
      </c>
      <c r="B156" s="207">
        <f t="shared" ca="1" si="66"/>
        <v>1.6471025546223736</v>
      </c>
      <c r="C156" s="207" t="str">
        <f t="shared" si="51"/>
        <v/>
      </c>
      <c r="D156" s="207" t="str">
        <f t="shared" si="52"/>
        <v/>
      </c>
      <c r="E156" s="234" t="str">
        <f t="shared" si="53"/>
        <v/>
      </c>
      <c r="F156" s="206">
        <f t="shared" ca="1" si="67"/>
        <v>7.531689284762727E-2</v>
      </c>
      <c r="G156" s="207" t="str">
        <f t="shared" si="54"/>
        <v/>
      </c>
      <c r="H156" s="207" t="str">
        <f t="shared" si="55"/>
        <v/>
      </c>
      <c r="I156" s="234" t="str">
        <f t="shared" si="56"/>
        <v/>
      </c>
      <c r="J156" s="601">
        <f t="shared" ca="1" si="57"/>
        <v>6.664832322531883E-3</v>
      </c>
      <c r="K156" s="232" t="str">
        <f t="shared" si="58"/>
        <v/>
      </c>
      <c r="L156" s="232" t="str">
        <f t="shared" si="59"/>
        <v/>
      </c>
      <c r="M156" s="207" t="str">
        <f t="shared" si="60"/>
        <v/>
      </c>
      <c r="N156" s="235" t="str">
        <f t="shared" si="61"/>
        <v/>
      </c>
      <c r="O156" s="240"/>
      <c r="P156" s="229">
        <f t="shared" ca="1" si="68"/>
        <v>3.7553365687528865E-2</v>
      </c>
      <c r="Q156" s="229">
        <f t="shared" ca="1" si="69"/>
        <v>2.6622136019508846E-4</v>
      </c>
      <c r="R156" s="229" t="str">
        <f t="shared" si="62"/>
        <v/>
      </c>
      <c r="S156" s="239"/>
      <c r="T156" s="229" t="str">
        <f t="shared" si="63"/>
        <v/>
      </c>
      <c r="U156" s="229" t="str">
        <f t="shared" si="64"/>
        <v/>
      </c>
      <c r="V156" s="229" t="str">
        <f t="shared" si="65"/>
        <v/>
      </c>
    </row>
    <row r="157" spans="1:22" ht="15" customHeight="1" x14ac:dyDescent="0.25">
      <c r="A157" s="205">
        <f t="shared" si="50"/>
        <v>2055</v>
      </c>
      <c r="B157" s="207">
        <f t="shared" ca="1" si="66"/>
        <v>1.656259359944444</v>
      </c>
      <c r="C157" s="207" t="str">
        <f t="shared" si="51"/>
        <v/>
      </c>
      <c r="D157" s="207" t="str">
        <f t="shared" si="52"/>
        <v/>
      </c>
      <c r="E157" s="234" t="str">
        <f t="shared" si="53"/>
        <v/>
      </c>
      <c r="F157" s="206">
        <f t="shared" ca="1" si="67"/>
        <v>7.5385201910679656E-2</v>
      </c>
      <c r="G157" s="207" t="str">
        <f t="shared" si="54"/>
        <v/>
      </c>
      <c r="H157" s="207" t="str">
        <f t="shared" si="55"/>
        <v/>
      </c>
      <c r="I157" s="234" t="str">
        <f t="shared" si="56"/>
        <v/>
      </c>
      <c r="J157" s="601">
        <f t="shared" ca="1" si="57"/>
        <v>6.6708770282299058E-3</v>
      </c>
      <c r="K157" s="232" t="str">
        <f t="shared" si="58"/>
        <v/>
      </c>
      <c r="L157" s="232" t="str">
        <f t="shared" si="59"/>
        <v/>
      </c>
      <c r="M157" s="207" t="str">
        <f t="shared" si="60"/>
        <v/>
      </c>
      <c r="N157" s="235" t="str">
        <f t="shared" si="61"/>
        <v/>
      </c>
      <c r="O157" s="240"/>
      <c r="P157" s="229">
        <f t="shared" ca="1" si="68"/>
        <v>3.7553365687528865E-2</v>
      </c>
      <c r="Q157" s="229">
        <f t="shared" ca="1" si="69"/>
        <v>2.6622136019508846E-4</v>
      </c>
      <c r="R157" s="229" t="str">
        <f t="shared" si="62"/>
        <v/>
      </c>
      <c r="S157" s="239"/>
      <c r="T157" s="229" t="str">
        <f t="shared" si="63"/>
        <v/>
      </c>
      <c r="U157" s="229" t="str">
        <f t="shared" si="64"/>
        <v/>
      </c>
      <c r="V157" s="229" t="str">
        <f t="shared" si="65"/>
        <v/>
      </c>
    </row>
    <row r="158" spans="1:22" ht="15" customHeight="1" x14ac:dyDescent="0.25">
      <c r="A158" s="205">
        <f t="shared" si="50"/>
        <v>2056</v>
      </c>
      <c r="B158" s="207">
        <f t="shared" ca="1" si="66"/>
        <v>1.6651492916849366</v>
      </c>
      <c r="C158" s="207" t="str">
        <f t="shared" si="51"/>
        <v/>
      </c>
      <c r="D158" s="207" t="str">
        <f t="shared" si="52"/>
        <v/>
      </c>
      <c r="E158" s="234" t="str">
        <f t="shared" si="53"/>
        <v/>
      </c>
      <c r="F158" s="206">
        <f t="shared" ca="1" si="67"/>
        <v>7.5460263551187928E-2</v>
      </c>
      <c r="G158" s="207" t="str">
        <f t="shared" si="54"/>
        <v/>
      </c>
      <c r="H158" s="207" t="str">
        <f t="shared" si="55"/>
        <v/>
      </c>
      <c r="I158" s="234" t="str">
        <f t="shared" si="56"/>
        <v/>
      </c>
      <c r="J158" s="601">
        <f t="shared" ca="1" si="57"/>
        <v>6.6775192731357586E-3</v>
      </c>
      <c r="K158" s="232" t="str">
        <f t="shared" si="58"/>
        <v/>
      </c>
      <c r="L158" s="232" t="str">
        <f t="shared" si="59"/>
        <v/>
      </c>
      <c r="M158" s="207" t="str">
        <f t="shared" si="60"/>
        <v/>
      </c>
      <c r="N158" s="235" t="str">
        <f t="shared" si="61"/>
        <v/>
      </c>
      <c r="O158" s="240"/>
      <c r="P158" s="229">
        <f t="shared" ca="1" si="68"/>
        <v>3.7553365687528865E-2</v>
      </c>
      <c r="Q158" s="229">
        <f t="shared" ca="1" si="69"/>
        <v>2.6622136019508846E-4</v>
      </c>
      <c r="R158" s="229" t="str">
        <f t="shared" si="62"/>
        <v/>
      </c>
      <c r="S158" s="239"/>
      <c r="T158" s="229" t="str">
        <f t="shared" si="63"/>
        <v/>
      </c>
      <c r="U158" s="229" t="str">
        <f t="shared" si="64"/>
        <v/>
      </c>
      <c r="V158" s="229" t="str">
        <f t="shared" si="65"/>
        <v/>
      </c>
    </row>
    <row r="159" spans="1:22" ht="15" customHeight="1" x14ac:dyDescent="0.25">
      <c r="A159" s="205">
        <f t="shared" si="50"/>
        <v>2057</v>
      </c>
      <c r="B159" s="207">
        <f t="shared" ca="1" si="66"/>
        <v>1.6740869399173397</v>
      </c>
      <c r="C159" s="207" t="str">
        <f t="shared" si="51"/>
        <v/>
      </c>
      <c r="D159" s="207" t="str">
        <f t="shared" si="52"/>
        <v/>
      </c>
      <c r="E159" s="234" t="str">
        <f t="shared" si="53"/>
        <v/>
      </c>
      <c r="F159" s="206">
        <f t="shared" ca="1" si="67"/>
        <v>7.5535399931164066E-2</v>
      </c>
      <c r="G159" s="207" t="str">
        <f t="shared" si="54"/>
        <v/>
      </c>
      <c r="H159" s="207" t="str">
        <f t="shared" si="55"/>
        <v/>
      </c>
      <c r="I159" s="234" t="str">
        <f t="shared" si="56"/>
        <v/>
      </c>
      <c r="J159" s="601">
        <f t="shared" ca="1" si="57"/>
        <v>6.6841681317772869E-3</v>
      </c>
      <c r="K159" s="232" t="str">
        <f t="shared" si="58"/>
        <v/>
      </c>
      <c r="L159" s="232" t="str">
        <f t="shared" si="59"/>
        <v/>
      </c>
      <c r="M159" s="207" t="str">
        <f t="shared" si="60"/>
        <v/>
      </c>
      <c r="N159" s="235" t="str">
        <f t="shared" si="61"/>
        <v/>
      </c>
      <c r="O159" s="240"/>
      <c r="P159" s="229">
        <f t="shared" ca="1" si="68"/>
        <v>3.7553365687528865E-2</v>
      </c>
      <c r="Q159" s="229">
        <f t="shared" ca="1" si="69"/>
        <v>2.6622136019508846E-4</v>
      </c>
      <c r="R159" s="229" t="str">
        <f t="shared" si="62"/>
        <v/>
      </c>
      <c r="S159" s="239"/>
      <c r="T159" s="229" t="str">
        <f t="shared" si="63"/>
        <v/>
      </c>
      <c r="U159" s="229" t="str">
        <f t="shared" si="64"/>
        <v/>
      </c>
      <c r="V159" s="229" t="str">
        <f t="shared" si="65"/>
        <v/>
      </c>
    </row>
    <row r="160" spans="1:22" ht="15" customHeight="1" x14ac:dyDescent="0.25">
      <c r="A160" s="205">
        <f t="shared" si="50"/>
        <v>2058</v>
      </c>
      <c r="B160" s="207">
        <f t="shared" ca="1" si="66"/>
        <v>1.6830725607587604</v>
      </c>
      <c r="C160" s="207" t="str">
        <f t="shared" si="51"/>
        <v/>
      </c>
      <c r="D160" s="207" t="str">
        <f t="shared" si="52"/>
        <v/>
      </c>
      <c r="E160" s="234" t="str">
        <f t="shared" si="53"/>
        <v/>
      </c>
      <c r="F160" s="206">
        <f t="shared" ca="1" si="67"/>
        <v>7.5610611125026747E-2</v>
      </c>
      <c r="G160" s="207" t="str">
        <f t="shared" si="54"/>
        <v/>
      </c>
      <c r="H160" s="207" t="str">
        <f t="shared" si="55"/>
        <v/>
      </c>
      <c r="I160" s="234" t="str">
        <f t="shared" si="56"/>
        <v/>
      </c>
      <c r="J160" s="601">
        <f t="shared" ca="1" si="57"/>
        <v>6.69082361073984E-3</v>
      </c>
      <c r="K160" s="232" t="str">
        <f t="shared" si="58"/>
        <v/>
      </c>
      <c r="L160" s="232" t="str">
        <f t="shared" si="59"/>
        <v/>
      </c>
      <c r="M160" s="207" t="str">
        <f t="shared" si="60"/>
        <v/>
      </c>
      <c r="N160" s="235" t="str">
        <f t="shared" si="61"/>
        <v/>
      </c>
      <c r="O160" s="240"/>
      <c r="P160" s="229">
        <f t="shared" ca="1" si="68"/>
        <v>3.7553365687528865E-2</v>
      </c>
      <c r="Q160" s="229">
        <f t="shared" ca="1" si="69"/>
        <v>2.6622136019508846E-4</v>
      </c>
      <c r="R160" s="229" t="str">
        <f t="shared" si="62"/>
        <v/>
      </c>
      <c r="S160" s="239"/>
      <c r="T160" s="229" t="str">
        <f t="shared" si="63"/>
        <v/>
      </c>
      <c r="U160" s="229" t="str">
        <f t="shared" si="64"/>
        <v/>
      </c>
      <c r="V160" s="229" t="str">
        <f t="shared" si="65"/>
        <v/>
      </c>
    </row>
    <row r="161" spans="1:22" ht="15" customHeight="1" x14ac:dyDescent="0.25">
      <c r="A161" s="205">
        <f t="shared" si="50"/>
        <v>2059</v>
      </c>
      <c r="B161" s="207">
        <f t="shared" ca="1" si="66"/>
        <v>1.6921064117010087</v>
      </c>
      <c r="C161" s="207" t="str">
        <f t="shared" si="51"/>
        <v/>
      </c>
      <c r="D161" s="207" t="str">
        <f t="shared" si="52"/>
        <v/>
      </c>
      <c r="E161" s="234" t="str">
        <f t="shared" si="53"/>
        <v/>
      </c>
      <c r="F161" s="206">
        <f t="shared" ca="1" si="67"/>
        <v>7.5685897207268746E-2</v>
      </c>
      <c r="G161" s="207" t="str">
        <f t="shared" si="54"/>
        <v/>
      </c>
      <c r="H161" s="207" t="str">
        <f t="shared" si="55"/>
        <v/>
      </c>
      <c r="I161" s="234" t="str">
        <f t="shared" si="56"/>
        <v/>
      </c>
      <c r="J161" s="601">
        <f t="shared" ca="1" si="57"/>
        <v>6.6974857166153222E-3</v>
      </c>
      <c r="K161" s="232" t="str">
        <f t="shared" si="58"/>
        <v/>
      </c>
      <c r="L161" s="232" t="str">
        <f t="shared" si="59"/>
        <v/>
      </c>
      <c r="M161" s="207" t="str">
        <f t="shared" si="60"/>
        <v/>
      </c>
      <c r="N161" s="235" t="str">
        <f t="shared" si="61"/>
        <v/>
      </c>
      <c r="O161" s="240"/>
      <c r="P161" s="229">
        <f t="shared" ca="1" si="68"/>
        <v>3.7553365687528865E-2</v>
      </c>
      <c r="Q161" s="229">
        <f t="shared" ca="1" si="69"/>
        <v>2.6622136019508846E-4</v>
      </c>
      <c r="R161" s="229" t="str">
        <f t="shared" si="62"/>
        <v/>
      </c>
      <c r="S161" s="239"/>
      <c r="T161" s="229" t="str">
        <f t="shared" si="63"/>
        <v/>
      </c>
      <c r="U161" s="229" t="str">
        <f t="shared" si="64"/>
        <v/>
      </c>
      <c r="V161" s="229" t="str">
        <f t="shared" si="65"/>
        <v/>
      </c>
    </row>
    <row r="162" spans="1:22" ht="15" customHeight="1" x14ac:dyDescent="0.25">
      <c r="A162" s="205">
        <f t="shared" si="50"/>
        <v>2060</v>
      </c>
      <c r="B162" s="207">
        <f t="shared" ca="1" si="66"/>
        <v>1.7011887516179747</v>
      </c>
      <c r="C162" s="207" t="str">
        <f t="shared" si="51"/>
        <v/>
      </c>
      <c r="D162" s="207" t="str">
        <f t="shared" si="52"/>
        <v/>
      </c>
      <c r="E162" s="234" t="str">
        <f t="shared" si="53"/>
        <v/>
      </c>
      <c r="F162" s="206">
        <f t="shared" ca="1" si="67"/>
        <v>7.5761258252457025E-2</v>
      </c>
      <c r="G162" s="207" t="str">
        <f t="shared" si="54"/>
        <v/>
      </c>
      <c r="H162" s="207" t="str">
        <f t="shared" si="55"/>
        <v/>
      </c>
      <c r="I162" s="234" t="str">
        <f t="shared" si="56"/>
        <v/>
      </c>
      <c r="J162" s="601">
        <f t="shared" ca="1" si="57"/>
        <v>6.7041544560022051E-3</v>
      </c>
      <c r="K162" s="232" t="str">
        <f t="shared" si="58"/>
        <v/>
      </c>
      <c r="L162" s="232" t="str">
        <f t="shared" si="59"/>
        <v/>
      </c>
      <c r="M162" s="207" t="str">
        <f t="shared" si="60"/>
        <v/>
      </c>
      <c r="N162" s="235" t="str">
        <f t="shared" si="61"/>
        <v/>
      </c>
      <c r="O162" s="240"/>
      <c r="P162" s="229">
        <f t="shared" ca="1" si="68"/>
        <v>3.7553365687528865E-2</v>
      </c>
      <c r="Q162" s="229">
        <f t="shared" ca="1" si="69"/>
        <v>2.6622136019508846E-4</v>
      </c>
      <c r="R162" s="229" t="str">
        <f t="shared" si="62"/>
        <v/>
      </c>
      <c r="S162" s="239"/>
      <c r="T162" s="229" t="str">
        <f t="shared" si="63"/>
        <v/>
      </c>
      <c r="U162" s="229" t="str">
        <f t="shared" si="64"/>
        <v/>
      </c>
      <c r="V162" s="229" t="str">
        <f t="shared" si="65"/>
        <v/>
      </c>
    </row>
    <row r="163" spans="1:22" ht="15" customHeight="1" x14ac:dyDescent="0.25">
      <c r="A163" s="205">
        <f t="shared" si="50"/>
        <v>2061</v>
      </c>
      <c r="B163" s="207">
        <f t="shared" ca="1" si="66"/>
        <v>1.7092118599674029</v>
      </c>
      <c r="C163" s="207" t="str">
        <f t="shared" si="51"/>
        <v/>
      </c>
      <c r="D163" s="207" t="str">
        <f t="shared" si="52"/>
        <v/>
      </c>
      <c r="E163" s="234" t="str">
        <f t="shared" si="53"/>
        <v/>
      </c>
      <c r="F163" s="206">
        <f t="shared" ca="1" si="67"/>
        <v>7.5797620854553521E-2</v>
      </c>
      <c r="G163" s="207" t="str">
        <f t="shared" si="54"/>
        <v/>
      </c>
      <c r="H163" s="207" t="str">
        <f t="shared" si="55"/>
        <v/>
      </c>
      <c r="I163" s="234" t="str">
        <f t="shared" si="56"/>
        <v/>
      </c>
      <c r="J163" s="601">
        <f t="shared" ca="1" si="57"/>
        <v>6.7073722022025755E-3</v>
      </c>
      <c r="K163" s="232" t="str">
        <f t="shared" si="58"/>
        <v/>
      </c>
      <c r="L163" s="232" t="str">
        <f t="shared" si="59"/>
        <v/>
      </c>
      <c r="M163" s="207" t="str">
        <f t="shared" si="60"/>
        <v/>
      </c>
      <c r="N163" s="235" t="str">
        <f t="shared" si="61"/>
        <v/>
      </c>
      <c r="O163" s="240"/>
      <c r="P163" s="229">
        <f t="shared" ca="1" si="68"/>
        <v>3.7553365687528865E-2</v>
      </c>
      <c r="Q163" s="229">
        <f t="shared" ca="1" si="69"/>
        <v>2.6622136019508846E-4</v>
      </c>
      <c r="R163" s="229" t="str">
        <f t="shared" si="62"/>
        <v/>
      </c>
      <c r="S163" s="239"/>
      <c r="T163" s="229" t="str">
        <f t="shared" si="63"/>
        <v/>
      </c>
      <c r="U163" s="229" t="str">
        <f t="shared" si="64"/>
        <v/>
      </c>
      <c r="V163" s="229" t="str">
        <f t="shared" si="65"/>
        <v/>
      </c>
    </row>
    <row r="164" spans="1:22" ht="15" customHeight="1" x14ac:dyDescent="0.25">
      <c r="A164" s="205">
        <f t="shared" si="50"/>
        <v>2062</v>
      </c>
      <c r="B164" s="207">
        <f t="shared" ca="1" si="66"/>
        <v>1.717272806721021</v>
      </c>
      <c r="C164" s="207" t="str">
        <f t="shared" si="51"/>
        <v/>
      </c>
      <c r="D164" s="207" t="str">
        <f t="shared" si="52"/>
        <v/>
      </c>
      <c r="E164" s="234" t="str">
        <f t="shared" si="53"/>
        <v/>
      </c>
      <c r="F164" s="206">
        <f t="shared" ca="1" si="67"/>
        <v>7.5834000909354243E-2</v>
      </c>
      <c r="G164" s="207" t="str">
        <f t="shared" si="54"/>
        <v/>
      </c>
      <c r="H164" s="207" t="str">
        <f t="shared" si="55"/>
        <v/>
      </c>
      <c r="I164" s="234" t="str">
        <f t="shared" si="56"/>
        <v/>
      </c>
      <c r="J164" s="601">
        <f t="shared" ca="1" si="57"/>
        <v>6.7105914928021204E-3</v>
      </c>
      <c r="K164" s="232" t="str">
        <f t="shared" si="58"/>
        <v/>
      </c>
      <c r="L164" s="232" t="str">
        <f t="shared" si="59"/>
        <v/>
      </c>
      <c r="M164" s="207" t="str">
        <f t="shared" si="60"/>
        <v/>
      </c>
      <c r="N164" s="235" t="str">
        <f t="shared" si="61"/>
        <v/>
      </c>
      <c r="O164" s="240"/>
      <c r="P164" s="229">
        <f t="shared" ca="1" si="68"/>
        <v>3.7553365687528865E-2</v>
      </c>
      <c r="Q164" s="229">
        <f t="shared" ca="1" si="69"/>
        <v>2.6622136019508846E-4</v>
      </c>
      <c r="R164" s="229" t="str">
        <f t="shared" si="62"/>
        <v/>
      </c>
      <c r="S164" s="239"/>
      <c r="T164" s="229" t="str">
        <f t="shared" si="63"/>
        <v/>
      </c>
      <c r="U164" s="229" t="str">
        <f t="shared" si="64"/>
        <v/>
      </c>
      <c r="V164" s="229" t="str">
        <f t="shared" si="65"/>
        <v/>
      </c>
    </row>
    <row r="165" spans="1:22" ht="15" customHeight="1" x14ac:dyDescent="0.25">
      <c r="A165" s="205">
        <f t="shared" si="50"/>
        <v>2063</v>
      </c>
      <c r="B165" s="207">
        <f t="shared" ca="1" si="66"/>
        <v>1.7253717703314646</v>
      </c>
      <c r="C165" s="207" t="str">
        <f t="shared" si="51"/>
        <v/>
      </c>
      <c r="D165" s="207" t="str">
        <f t="shared" si="52"/>
        <v/>
      </c>
      <c r="E165" s="234" t="str">
        <f t="shared" si="53"/>
        <v/>
      </c>
      <c r="F165" s="206">
        <f t="shared" ca="1" si="67"/>
        <v>7.5870398425235824E-2</v>
      </c>
      <c r="G165" s="207" t="str">
        <f t="shared" si="54"/>
        <v/>
      </c>
      <c r="H165" s="207" t="str">
        <f t="shared" si="55"/>
        <v/>
      </c>
      <c r="I165" s="234" t="str">
        <f t="shared" si="56"/>
        <v/>
      </c>
      <c r="J165" s="601">
        <f t="shared" ca="1" si="57"/>
        <v>6.7138123285420933E-3</v>
      </c>
      <c r="K165" s="232" t="str">
        <f t="shared" si="58"/>
        <v/>
      </c>
      <c r="L165" s="232" t="str">
        <f t="shared" si="59"/>
        <v/>
      </c>
      <c r="M165" s="207" t="str">
        <f t="shared" si="60"/>
        <v/>
      </c>
      <c r="N165" s="235" t="str">
        <f t="shared" si="61"/>
        <v/>
      </c>
      <c r="O165" s="240"/>
      <c r="P165" s="229">
        <f t="shared" ca="1" si="68"/>
        <v>3.7553365687528865E-2</v>
      </c>
      <c r="Q165" s="229">
        <f t="shared" ca="1" si="69"/>
        <v>2.6622136019508846E-4</v>
      </c>
      <c r="R165" s="229" t="str">
        <f t="shared" si="62"/>
        <v/>
      </c>
      <c r="S165" s="239"/>
      <c r="T165" s="229" t="str">
        <f t="shared" si="63"/>
        <v/>
      </c>
      <c r="U165" s="229" t="str">
        <f t="shared" si="64"/>
        <v/>
      </c>
      <c r="V165" s="229" t="str">
        <f t="shared" si="65"/>
        <v/>
      </c>
    </row>
    <row r="166" spans="1:22" ht="15" customHeight="1" x14ac:dyDescent="0.25">
      <c r="A166" s="205">
        <f t="shared" si="50"/>
        <v>2064</v>
      </c>
      <c r="B166" s="207">
        <f t="shared" ca="1" si="66"/>
        <v>1.7335089300929833</v>
      </c>
      <c r="C166" s="207" t="str">
        <f t="shared" si="51"/>
        <v/>
      </c>
      <c r="D166" s="207" t="str">
        <f t="shared" si="52"/>
        <v/>
      </c>
      <c r="E166" s="234" t="str">
        <f t="shared" si="53"/>
        <v/>
      </c>
      <c r="F166" s="206">
        <f t="shared" ca="1" si="67"/>
        <v>7.5906813410578935E-2</v>
      </c>
      <c r="G166" s="207" t="str">
        <f t="shared" si="54"/>
        <v/>
      </c>
      <c r="H166" s="207" t="str">
        <f t="shared" si="55"/>
        <v/>
      </c>
      <c r="I166" s="234" t="str">
        <f t="shared" si="56"/>
        <v/>
      </c>
      <c r="J166" s="601">
        <f t="shared" ca="1" si="57"/>
        <v>6.7170347101641074E-3</v>
      </c>
      <c r="K166" s="232" t="str">
        <f t="shared" si="58"/>
        <v/>
      </c>
      <c r="L166" s="232" t="str">
        <f t="shared" si="59"/>
        <v/>
      </c>
      <c r="M166" s="207" t="str">
        <f t="shared" si="60"/>
        <v/>
      </c>
      <c r="N166" s="235" t="str">
        <f t="shared" si="61"/>
        <v/>
      </c>
      <c r="O166" s="240"/>
      <c r="P166" s="229">
        <f t="shared" ca="1" si="68"/>
        <v>3.7553365687528865E-2</v>
      </c>
      <c r="Q166" s="229">
        <f t="shared" ca="1" si="69"/>
        <v>2.6622136019508846E-4</v>
      </c>
      <c r="R166" s="229" t="str">
        <f t="shared" si="62"/>
        <v/>
      </c>
      <c r="S166" s="239"/>
      <c r="T166" s="229" t="str">
        <f t="shared" si="63"/>
        <v/>
      </c>
      <c r="U166" s="229" t="str">
        <f t="shared" si="64"/>
        <v/>
      </c>
      <c r="V166" s="229" t="str">
        <f t="shared" si="65"/>
        <v/>
      </c>
    </row>
    <row r="167" spans="1:22" ht="15" customHeight="1" x14ac:dyDescent="0.25">
      <c r="A167" s="205">
        <f t="shared" si="50"/>
        <v>2065</v>
      </c>
      <c r="B167" s="207">
        <f t="shared" ca="1" si="66"/>
        <v>1.7416844661454114</v>
      </c>
      <c r="C167" s="207" t="str">
        <f t="shared" si="51"/>
        <v/>
      </c>
      <c r="D167" s="207" t="str">
        <f t="shared" si="52"/>
        <v/>
      </c>
      <c r="E167" s="234" t="str">
        <f t="shared" si="53"/>
        <v/>
      </c>
      <c r="F167" s="206">
        <f t="shared" ca="1" si="67"/>
        <v>7.59432458737683E-2</v>
      </c>
      <c r="G167" s="207" t="str">
        <f t="shared" si="54"/>
        <v/>
      </c>
      <c r="H167" s="207" t="str">
        <f t="shared" si="55"/>
        <v/>
      </c>
      <c r="I167" s="234" t="str">
        <f t="shared" si="56"/>
        <v/>
      </c>
      <c r="J167" s="601">
        <f t="shared" ca="1" si="57"/>
        <v>6.7202586384101275E-3</v>
      </c>
      <c r="K167" s="232" t="str">
        <f t="shared" si="58"/>
        <v/>
      </c>
      <c r="L167" s="232" t="str">
        <f t="shared" si="59"/>
        <v/>
      </c>
      <c r="M167" s="207" t="str">
        <f t="shared" si="60"/>
        <v/>
      </c>
      <c r="N167" s="235" t="str">
        <f t="shared" si="61"/>
        <v/>
      </c>
      <c r="O167" s="240"/>
      <c r="P167" s="229">
        <f t="shared" ca="1" si="68"/>
        <v>3.7553365687528865E-2</v>
      </c>
      <c r="Q167" s="229">
        <f t="shared" ca="1" si="69"/>
        <v>2.6622136019508846E-4</v>
      </c>
      <c r="R167" s="229" t="str">
        <f t="shared" si="62"/>
        <v/>
      </c>
      <c r="S167" s="239"/>
      <c r="T167" s="229" t="str">
        <f t="shared" si="63"/>
        <v/>
      </c>
      <c r="U167" s="229" t="str">
        <f t="shared" si="64"/>
        <v/>
      </c>
      <c r="V167" s="229" t="str">
        <f t="shared" si="65"/>
        <v/>
      </c>
    </row>
    <row r="168" spans="1:22" ht="15" customHeight="1" x14ac:dyDescent="0.25">
      <c r="A168" s="205">
        <f t="shared" si="50"/>
        <v>2066</v>
      </c>
      <c r="B168" s="207">
        <f t="shared" ca="1" si="66"/>
        <v>1.7486849732639809</v>
      </c>
      <c r="C168" s="207" t="str">
        <f t="shared" si="51"/>
        <v/>
      </c>
      <c r="D168" s="207" t="str">
        <f t="shared" si="52"/>
        <v/>
      </c>
      <c r="E168" s="234" t="str">
        <f t="shared" si="53"/>
        <v/>
      </c>
      <c r="F168" s="206">
        <f t="shared" ca="1" si="67"/>
        <v>7.5978411274619739E-2</v>
      </c>
      <c r="G168" s="207" t="str">
        <f t="shared" si="54"/>
        <v/>
      </c>
      <c r="H168" s="207" t="str">
        <f t="shared" si="55"/>
        <v/>
      </c>
      <c r="I168" s="234" t="str">
        <f t="shared" si="56"/>
        <v/>
      </c>
      <c r="J168" s="601">
        <f t="shared" ca="1" si="57"/>
        <v>6.7233704436289584E-3</v>
      </c>
      <c r="K168" s="232" t="str">
        <f t="shared" si="58"/>
        <v/>
      </c>
      <c r="L168" s="232" t="str">
        <f t="shared" si="59"/>
        <v/>
      </c>
      <c r="M168" s="207" t="str">
        <f t="shared" si="60"/>
        <v/>
      </c>
      <c r="N168" s="235" t="str">
        <f t="shared" si="61"/>
        <v/>
      </c>
      <c r="O168" s="240"/>
      <c r="P168" s="229">
        <f t="shared" ca="1" si="68"/>
        <v>3.7553365687528865E-2</v>
      </c>
      <c r="Q168" s="229">
        <f t="shared" ca="1" si="69"/>
        <v>2.6622136019508846E-4</v>
      </c>
      <c r="R168" s="229" t="str">
        <f t="shared" si="62"/>
        <v/>
      </c>
      <c r="S168" s="239"/>
      <c r="T168" s="229" t="str">
        <f t="shared" si="63"/>
        <v/>
      </c>
      <c r="U168" s="229" t="str">
        <f t="shared" si="64"/>
        <v/>
      </c>
      <c r="V168" s="229" t="str">
        <f t="shared" si="65"/>
        <v/>
      </c>
    </row>
    <row r="169" spans="1:22" ht="15" customHeight="1" x14ac:dyDescent="0.25">
      <c r="A169" s="205">
        <f t="shared" si="50"/>
        <v>2067</v>
      </c>
      <c r="B169" s="207">
        <f t="shared" ca="1" si="66"/>
        <v>1.7557136181427875</v>
      </c>
      <c r="C169" s="207" t="str">
        <f t="shared" si="51"/>
        <v/>
      </c>
      <c r="D169" s="207" t="str">
        <f t="shared" si="52"/>
        <v/>
      </c>
      <c r="E169" s="234" t="str">
        <f t="shared" si="53"/>
        <v/>
      </c>
      <c r="F169" s="206">
        <f t="shared" ca="1" si="67"/>
        <v>7.6013592958754858E-2</v>
      </c>
      <c r="G169" s="207" t="str">
        <f t="shared" si="54"/>
        <v/>
      </c>
      <c r="H169" s="207" t="str">
        <f t="shared" si="55"/>
        <v/>
      </c>
      <c r="I169" s="234" t="str">
        <f t="shared" si="56"/>
        <v/>
      </c>
      <c r="J169" s="601">
        <f t="shared" ca="1" si="57"/>
        <v>6.7264836897643144E-3</v>
      </c>
      <c r="K169" s="232" t="str">
        <f t="shared" si="58"/>
        <v/>
      </c>
      <c r="L169" s="232" t="str">
        <f t="shared" si="59"/>
        <v/>
      </c>
      <c r="M169" s="207" t="str">
        <f t="shared" si="60"/>
        <v/>
      </c>
      <c r="N169" s="235" t="str">
        <f t="shared" si="61"/>
        <v/>
      </c>
      <c r="O169" s="240"/>
      <c r="P169" s="229">
        <f t="shared" ca="1" si="68"/>
        <v>3.7553365687528865E-2</v>
      </c>
      <c r="Q169" s="229">
        <f t="shared" ca="1" si="69"/>
        <v>2.6622136019508846E-4</v>
      </c>
      <c r="R169" s="229" t="str">
        <f t="shared" si="62"/>
        <v/>
      </c>
      <c r="S169" s="239"/>
      <c r="T169" s="229" t="str">
        <f t="shared" si="63"/>
        <v/>
      </c>
      <c r="U169" s="229" t="str">
        <f t="shared" si="64"/>
        <v/>
      </c>
      <c r="V169" s="229" t="str">
        <f t="shared" si="65"/>
        <v/>
      </c>
    </row>
    <row r="170" spans="1:22" ht="15" customHeight="1" x14ac:dyDescent="0.25">
      <c r="A170" s="205">
        <f t="shared" si="50"/>
        <v>2068</v>
      </c>
      <c r="B170" s="207">
        <f t="shared" ca="1" si="66"/>
        <v>1.7627705138784306</v>
      </c>
      <c r="C170" s="207" t="str">
        <f t="shared" si="51"/>
        <v/>
      </c>
      <c r="D170" s="207" t="str">
        <f t="shared" si="52"/>
        <v/>
      </c>
      <c r="E170" s="234" t="str">
        <f t="shared" si="53"/>
        <v/>
      </c>
      <c r="F170" s="206">
        <f t="shared" ca="1" si="67"/>
        <v>7.6048790933713625E-2</v>
      </c>
      <c r="G170" s="207" t="str">
        <f t="shared" si="54"/>
        <v/>
      </c>
      <c r="H170" s="207" t="str">
        <f t="shared" si="55"/>
        <v/>
      </c>
      <c r="I170" s="234" t="str">
        <f t="shared" si="56"/>
        <v/>
      </c>
      <c r="J170" s="601">
        <f t="shared" ca="1" si="57"/>
        <v>6.7295983774834089E-3</v>
      </c>
      <c r="K170" s="232" t="str">
        <f t="shared" si="58"/>
        <v/>
      </c>
      <c r="L170" s="232" t="str">
        <f t="shared" si="59"/>
        <v/>
      </c>
      <c r="M170" s="207" t="str">
        <f t="shared" si="60"/>
        <v/>
      </c>
      <c r="N170" s="235" t="str">
        <f t="shared" si="61"/>
        <v/>
      </c>
      <c r="O170" s="240"/>
      <c r="P170" s="229">
        <f t="shared" ca="1" si="68"/>
        <v>3.7553365687528865E-2</v>
      </c>
      <c r="Q170" s="229">
        <f t="shared" ca="1" si="69"/>
        <v>2.6622136019508846E-4</v>
      </c>
      <c r="R170" s="229" t="str">
        <f t="shared" si="62"/>
        <v/>
      </c>
      <c r="S170" s="239"/>
      <c r="T170" s="229" t="str">
        <f t="shared" si="63"/>
        <v/>
      </c>
      <c r="U170" s="229" t="str">
        <f t="shared" si="64"/>
        <v/>
      </c>
      <c r="V170" s="229" t="str">
        <f t="shared" si="65"/>
        <v/>
      </c>
    </row>
    <row r="171" spans="1:22" ht="15" customHeight="1" x14ac:dyDescent="0.25">
      <c r="A171" s="205">
        <f t="shared" si="50"/>
        <v>2069</v>
      </c>
      <c r="B171" s="207">
        <f t="shared" ca="1" si="66"/>
        <v>1.7698557740220897</v>
      </c>
      <c r="C171" s="207" t="str">
        <f t="shared" si="51"/>
        <v/>
      </c>
      <c r="D171" s="207" t="str">
        <f t="shared" si="52"/>
        <v/>
      </c>
      <c r="E171" s="234" t="str">
        <f t="shared" si="53"/>
        <v/>
      </c>
      <c r="F171" s="206">
        <f t="shared" ca="1" si="67"/>
        <v>7.6084005207039465E-2</v>
      </c>
      <c r="G171" s="207" t="str">
        <f t="shared" si="54"/>
        <v/>
      </c>
      <c r="H171" s="207" t="str">
        <f t="shared" si="55"/>
        <v/>
      </c>
      <c r="I171" s="234" t="str">
        <f t="shared" si="56"/>
        <v/>
      </c>
      <c r="J171" s="601">
        <f t="shared" ca="1" si="57"/>
        <v>6.7327145074537647E-3</v>
      </c>
      <c r="K171" s="232" t="str">
        <f t="shared" si="58"/>
        <v/>
      </c>
      <c r="L171" s="232" t="str">
        <f t="shared" si="59"/>
        <v/>
      </c>
      <c r="M171" s="207" t="str">
        <f t="shared" si="60"/>
        <v/>
      </c>
      <c r="N171" s="235" t="str">
        <f t="shared" si="61"/>
        <v/>
      </c>
      <c r="O171" s="240"/>
      <c r="P171" s="229">
        <f t="shared" ca="1" si="68"/>
        <v>3.7553365687528865E-2</v>
      </c>
      <c r="Q171" s="229">
        <f t="shared" ca="1" si="69"/>
        <v>2.6622136019508846E-4</v>
      </c>
      <c r="R171" s="229" t="str">
        <f t="shared" si="62"/>
        <v/>
      </c>
      <c r="S171" s="239"/>
      <c r="T171" s="229" t="str">
        <f t="shared" si="63"/>
        <v/>
      </c>
      <c r="U171" s="229" t="str">
        <f t="shared" si="64"/>
        <v/>
      </c>
      <c r="V171" s="229" t="str">
        <f t="shared" si="65"/>
        <v/>
      </c>
    </row>
    <row r="172" spans="1:22" ht="15" customHeight="1" x14ac:dyDescent="0.25">
      <c r="A172" s="205">
        <f t="shared" si="50"/>
        <v>2070</v>
      </c>
      <c r="B172" s="207">
        <f t="shared" ca="1" si="66"/>
        <v>1.7769695125813498</v>
      </c>
      <c r="C172" s="207" t="str">
        <f t="shared" si="51"/>
        <v/>
      </c>
      <c r="D172" s="207" t="str">
        <f t="shared" si="52"/>
        <v/>
      </c>
      <c r="E172" s="234" t="str">
        <f t="shared" si="53"/>
        <v/>
      </c>
      <c r="F172" s="206">
        <f t="shared" ca="1" si="67"/>
        <v>7.6119235786279327E-2</v>
      </c>
      <c r="G172" s="207" t="str">
        <f t="shared" si="54"/>
        <v/>
      </c>
      <c r="H172" s="207" t="str">
        <f t="shared" si="55"/>
        <v/>
      </c>
      <c r="I172" s="234" t="str">
        <f t="shared" si="56"/>
        <v/>
      </c>
      <c r="J172" s="601">
        <f t="shared" ca="1" si="57"/>
        <v>6.7358320803432145E-3</v>
      </c>
      <c r="K172" s="232" t="str">
        <f t="shared" si="58"/>
        <v/>
      </c>
      <c r="L172" s="232" t="str">
        <f t="shared" si="59"/>
        <v/>
      </c>
      <c r="M172" s="207" t="str">
        <f t="shared" si="60"/>
        <v/>
      </c>
      <c r="N172" s="235" t="str">
        <f t="shared" si="61"/>
        <v/>
      </c>
      <c r="O172" s="240"/>
      <c r="P172" s="229">
        <f t="shared" ca="1" si="68"/>
        <v>3.7553365687528865E-2</v>
      </c>
      <c r="Q172" s="229">
        <f t="shared" ca="1" si="69"/>
        <v>2.6622136019508846E-4</v>
      </c>
      <c r="R172" s="229" t="str">
        <f t="shared" si="62"/>
        <v/>
      </c>
      <c r="S172" s="239"/>
      <c r="T172" s="229" t="str">
        <f t="shared" si="63"/>
        <v/>
      </c>
      <c r="U172" s="229" t="str">
        <f t="shared" si="64"/>
        <v/>
      </c>
      <c r="V172" s="229" t="str">
        <f t="shared" si="65"/>
        <v/>
      </c>
    </row>
    <row r="173" spans="1:22" ht="15" customHeight="1" x14ac:dyDescent="0.25">
      <c r="A173" s="205">
        <f t="shared" si="50"/>
        <v>2071</v>
      </c>
      <c r="B173" s="207">
        <f t="shared" ca="1" si="66"/>
        <v>1.7828695738639242</v>
      </c>
      <c r="C173" s="207" t="str">
        <f t="shared" si="51"/>
        <v/>
      </c>
      <c r="D173" s="207" t="str">
        <f t="shared" si="52"/>
        <v/>
      </c>
      <c r="E173" s="234" t="str">
        <f t="shared" si="53"/>
        <v/>
      </c>
      <c r="F173" s="206">
        <f t="shared" ca="1" si="67"/>
        <v>7.6142235948119225E-2</v>
      </c>
      <c r="G173" s="207" t="str">
        <f t="shared" si="54"/>
        <v/>
      </c>
      <c r="H173" s="207" t="str">
        <f t="shared" si="55"/>
        <v/>
      </c>
      <c r="I173" s="234" t="str">
        <f t="shared" si="56"/>
        <v/>
      </c>
      <c r="J173" s="601">
        <f t="shared" ca="1" si="57"/>
        <v>6.7378673770244531E-3</v>
      </c>
      <c r="K173" s="232" t="str">
        <f t="shared" si="58"/>
        <v/>
      </c>
      <c r="L173" s="232" t="str">
        <f t="shared" si="59"/>
        <v/>
      </c>
      <c r="M173" s="207" t="str">
        <f t="shared" si="60"/>
        <v/>
      </c>
      <c r="N173" s="235" t="str">
        <f t="shared" si="61"/>
        <v/>
      </c>
      <c r="O173" s="240"/>
      <c r="P173" s="229">
        <f t="shared" ca="1" si="68"/>
        <v>3.7553365687528865E-2</v>
      </c>
      <c r="Q173" s="229">
        <f t="shared" ca="1" si="69"/>
        <v>2.6622136019508846E-4</v>
      </c>
      <c r="R173" s="229" t="str">
        <f t="shared" si="62"/>
        <v/>
      </c>
      <c r="S173" s="239"/>
      <c r="T173" s="229" t="str">
        <f t="shared" si="63"/>
        <v/>
      </c>
      <c r="U173" s="229" t="str">
        <f t="shared" si="64"/>
        <v/>
      </c>
      <c r="V173" s="229" t="str">
        <f t="shared" si="65"/>
        <v/>
      </c>
    </row>
    <row r="174" spans="1:22" ht="15" customHeight="1" x14ac:dyDescent="0.25">
      <c r="A174" s="205">
        <f t="shared" si="50"/>
        <v>2072</v>
      </c>
      <c r="B174" s="207">
        <f t="shared" ca="1" si="66"/>
        <v>1.788789225084813</v>
      </c>
      <c r="C174" s="207" t="str">
        <f t="shared" si="51"/>
        <v/>
      </c>
      <c r="D174" s="207" t="str">
        <f t="shared" si="52"/>
        <v/>
      </c>
      <c r="E174" s="234" t="str">
        <f t="shared" si="53"/>
        <v/>
      </c>
      <c r="F174" s="206">
        <f t="shared" ca="1" si="67"/>
        <v>7.6165243059680032E-2</v>
      </c>
      <c r="G174" s="207" t="str">
        <f t="shared" si="54"/>
        <v/>
      </c>
      <c r="H174" s="207" t="str">
        <f t="shared" si="55"/>
        <v/>
      </c>
      <c r="I174" s="234" t="str">
        <f t="shared" si="56"/>
        <v/>
      </c>
      <c r="J174" s="601">
        <f t="shared" ca="1" si="57"/>
        <v>6.7399032886902299E-3</v>
      </c>
      <c r="K174" s="232" t="str">
        <f t="shared" si="58"/>
        <v/>
      </c>
      <c r="L174" s="232" t="str">
        <f t="shared" si="59"/>
        <v/>
      </c>
      <c r="M174" s="207" t="str">
        <f t="shared" si="60"/>
        <v/>
      </c>
      <c r="N174" s="235" t="str">
        <f t="shared" si="61"/>
        <v/>
      </c>
      <c r="O174" s="240"/>
      <c r="P174" s="229">
        <f t="shared" ca="1" si="68"/>
        <v>3.7553365687528865E-2</v>
      </c>
      <c r="Q174" s="229">
        <f t="shared" ca="1" si="69"/>
        <v>2.6622136019508846E-4</v>
      </c>
      <c r="R174" s="229" t="str">
        <f t="shared" si="62"/>
        <v/>
      </c>
      <c r="S174" s="239"/>
      <c r="T174" s="229" t="str">
        <f t="shared" si="63"/>
        <v/>
      </c>
      <c r="U174" s="229" t="str">
        <f t="shared" si="64"/>
        <v/>
      </c>
      <c r="V174" s="229" t="str">
        <f t="shared" si="65"/>
        <v/>
      </c>
    </row>
    <row r="175" spans="1:22" ht="15" customHeight="1" x14ac:dyDescent="0.25">
      <c r="A175" s="205">
        <f t="shared" si="50"/>
        <v>2073</v>
      </c>
      <c r="B175" s="207">
        <f t="shared" ca="1" si="66"/>
        <v>1.7947285312883716</v>
      </c>
      <c r="C175" s="207" t="str">
        <f t="shared" si="51"/>
        <v/>
      </c>
      <c r="D175" s="207" t="str">
        <f t="shared" si="52"/>
        <v/>
      </c>
      <c r="E175" s="234" t="str">
        <f t="shared" si="53"/>
        <v/>
      </c>
      <c r="F175" s="206">
        <f t="shared" ca="1" si="67"/>
        <v>7.6188257123061667E-2</v>
      </c>
      <c r="G175" s="207" t="str">
        <f t="shared" si="54"/>
        <v/>
      </c>
      <c r="H175" s="207" t="str">
        <f t="shared" si="55"/>
        <v/>
      </c>
      <c r="I175" s="234" t="str">
        <f t="shared" si="56"/>
        <v/>
      </c>
      <c r="J175" s="601">
        <f t="shared" ca="1" si="57"/>
        <v>6.7419398155263684E-3</v>
      </c>
      <c r="K175" s="232" t="str">
        <f t="shared" si="58"/>
        <v/>
      </c>
      <c r="L175" s="232" t="str">
        <f t="shared" si="59"/>
        <v/>
      </c>
      <c r="M175" s="207" t="str">
        <f t="shared" si="60"/>
        <v/>
      </c>
      <c r="N175" s="235" t="str">
        <f t="shared" si="61"/>
        <v/>
      </c>
      <c r="O175" s="240"/>
      <c r="P175" s="229">
        <f t="shared" ca="1" si="68"/>
        <v>3.7553365687528865E-2</v>
      </c>
      <c r="Q175" s="229">
        <f t="shared" ca="1" si="69"/>
        <v>2.6622136019508846E-4</v>
      </c>
      <c r="R175" s="229" t="str">
        <f t="shared" si="62"/>
        <v/>
      </c>
      <c r="S175" s="239"/>
      <c r="T175" s="229" t="str">
        <f t="shared" si="63"/>
        <v/>
      </c>
      <c r="U175" s="229" t="str">
        <f t="shared" si="64"/>
        <v/>
      </c>
      <c r="V175" s="229" t="str">
        <f t="shared" si="65"/>
        <v/>
      </c>
    </row>
    <row r="176" spans="1:22" ht="15" customHeight="1" x14ac:dyDescent="0.25">
      <c r="A176" s="205">
        <f t="shared" si="50"/>
        <v>2074</v>
      </c>
      <c r="B176" s="207">
        <f t="shared" ca="1" si="66"/>
        <v>1.800687557734922</v>
      </c>
      <c r="C176" s="207" t="str">
        <f t="shared" si="51"/>
        <v/>
      </c>
      <c r="D176" s="207" t="str">
        <f t="shared" si="52"/>
        <v/>
      </c>
      <c r="E176" s="234" t="str">
        <f t="shared" si="53"/>
        <v/>
      </c>
      <c r="F176" s="206">
        <f t="shared" ca="1" si="67"/>
        <v>7.6211278140364713E-2</v>
      </c>
      <c r="G176" s="207" t="str">
        <f t="shared" si="54"/>
        <v/>
      </c>
      <c r="H176" s="207" t="str">
        <f t="shared" si="55"/>
        <v/>
      </c>
      <c r="I176" s="234" t="str">
        <f t="shared" si="56"/>
        <v/>
      </c>
      <c r="J176" s="601">
        <f t="shared" ca="1" si="57"/>
        <v>6.7439769577187477E-3</v>
      </c>
      <c r="K176" s="232" t="str">
        <f t="shared" si="58"/>
        <v/>
      </c>
      <c r="L176" s="232" t="str">
        <f t="shared" si="59"/>
        <v/>
      </c>
      <c r="M176" s="207" t="str">
        <f t="shared" si="60"/>
        <v/>
      </c>
      <c r="N176" s="235" t="str">
        <f t="shared" si="61"/>
        <v/>
      </c>
      <c r="O176" s="240"/>
      <c r="P176" s="229">
        <f t="shared" ca="1" si="68"/>
        <v>3.7553365687528865E-2</v>
      </c>
      <c r="Q176" s="229">
        <f t="shared" ca="1" si="69"/>
        <v>2.6622136019508846E-4</v>
      </c>
      <c r="R176" s="229" t="str">
        <f t="shared" si="62"/>
        <v/>
      </c>
      <c r="S176" s="239"/>
      <c r="T176" s="229" t="str">
        <f t="shared" si="63"/>
        <v/>
      </c>
      <c r="U176" s="229" t="str">
        <f t="shared" si="64"/>
        <v/>
      </c>
      <c r="V176" s="229" t="str">
        <f t="shared" si="65"/>
        <v/>
      </c>
    </row>
    <row r="177" spans="1:22" ht="15" customHeight="1" x14ac:dyDescent="0.25">
      <c r="A177" s="205">
        <f t="shared" si="50"/>
        <v>2075</v>
      </c>
      <c r="B177" s="207">
        <f t="shared" ca="1" si="66"/>
        <v>1.8066663699014693</v>
      </c>
      <c r="C177" s="207" t="str">
        <f t="shared" si="51"/>
        <v/>
      </c>
      <c r="D177" s="207" t="str">
        <f t="shared" si="52"/>
        <v/>
      </c>
      <c r="E177" s="234" t="str">
        <f t="shared" si="53"/>
        <v/>
      </c>
      <c r="F177" s="206">
        <f t="shared" ca="1" si="67"/>
        <v>7.6234306113690337E-2</v>
      </c>
      <c r="G177" s="207" t="str">
        <f t="shared" si="54"/>
        <v/>
      </c>
      <c r="H177" s="207" t="str">
        <f t="shared" si="55"/>
        <v/>
      </c>
      <c r="I177" s="234" t="str">
        <f t="shared" si="56"/>
        <v/>
      </c>
      <c r="J177" s="601">
        <f t="shared" ca="1" si="57"/>
        <v>6.7460147154533041E-3</v>
      </c>
      <c r="K177" s="232" t="str">
        <f t="shared" si="58"/>
        <v/>
      </c>
      <c r="L177" s="232" t="str">
        <f t="shared" si="59"/>
        <v/>
      </c>
      <c r="M177" s="207" t="str">
        <f t="shared" si="60"/>
        <v/>
      </c>
      <c r="N177" s="235" t="str">
        <f t="shared" si="61"/>
        <v/>
      </c>
      <c r="O177" s="240"/>
      <c r="P177" s="229">
        <f t="shared" ca="1" si="68"/>
        <v>3.7553365687528865E-2</v>
      </c>
      <c r="Q177" s="229">
        <f t="shared" ca="1" si="69"/>
        <v>2.6622136019508846E-4</v>
      </c>
      <c r="R177" s="229" t="str">
        <f t="shared" si="62"/>
        <v/>
      </c>
      <c r="S177" s="239"/>
      <c r="T177" s="229" t="str">
        <f t="shared" si="63"/>
        <v/>
      </c>
      <c r="U177" s="229" t="str">
        <f t="shared" si="64"/>
        <v/>
      </c>
      <c r="V177" s="229" t="str">
        <f t="shared" si="65"/>
        <v/>
      </c>
    </row>
    <row r="178" spans="1:22" ht="15" customHeight="1" x14ac:dyDescent="0.25">
      <c r="A178" s="205">
        <f t="shared" si="50"/>
        <v>2076</v>
      </c>
      <c r="B178" s="207">
        <f t="shared" ca="1" si="66"/>
        <v>1.8105216662899364</v>
      </c>
      <c r="C178" s="207" t="str">
        <f t="shared" si="51"/>
        <v/>
      </c>
      <c r="D178" s="207" t="str">
        <f t="shared" si="52"/>
        <v/>
      </c>
      <c r="E178" s="234" t="str">
        <f t="shared" si="53"/>
        <v/>
      </c>
      <c r="F178" s="206">
        <f t="shared" ca="1" si="67"/>
        <v>7.6225684599495316E-2</v>
      </c>
      <c r="G178" s="207" t="str">
        <f t="shared" si="54"/>
        <v/>
      </c>
      <c r="H178" s="207" t="str">
        <f t="shared" si="55"/>
        <v/>
      </c>
      <c r="I178" s="234" t="str">
        <f t="shared" si="56"/>
        <v/>
      </c>
      <c r="J178" s="601">
        <f t="shared" ca="1" si="57"/>
        <v>6.7452517930290832E-3</v>
      </c>
      <c r="K178" s="232" t="str">
        <f t="shared" si="58"/>
        <v/>
      </c>
      <c r="L178" s="232" t="str">
        <f t="shared" si="59"/>
        <v/>
      </c>
      <c r="M178" s="207" t="str">
        <f t="shared" si="60"/>
        <v/>
      </c>
      <c r="N178" s="235" t="str">
        <f t="shared" si="61"/>
        <v/>
      </c>
      <c r="O178" s="240"/>
      <c r="P178" s="229">
        <f t="shared" ca="1" si="68"/>
        <v>3.7553365687528865E-2</v>
      </c>
      <c r="Q178" s="229">
        <f t="shared" ca="1" si="69"/>
        <v>2.6622136019508846E-4</v>
      </c>
      <c r="R178" s="229" t="str">
        <f t="shared" si="62"/>
        <v/>
      </c>
      <c r="S178" s="239"/>
      <c r="T178" s="229" t="str">
        <f t="shared" si="63"/>
        <v/>
      </c>
      <c r="U178" s="229" t="str">
        <f t="shared" si="64"/>
        <v/>
      </c>
      <c r="V178" s="229" t="str">
        <f t="shared" si="65"/>
        <v/>
      </c>
    </row>
    <row r="179" spans="1:22" ht="15" customHeight="1" x14ac:dyDescent="0.25">
      <c r="A179" s="205">
        <f t="shared" si="50"/>
        <v>2077</v>
      </c>
      <c r="B179" s="207">
        <f t="shared" ca="1" si="66"/>
        <v>1.8143851896042436</v>
      </c>
      <c r="C179" s="207" t="str">
        <f t="shared" si="51"/>
        <v/>
      </c>
      <c r="D179" s="207" t="str">
        <f t="shared" si="52"/>
        <v/>
      </c>
      <c r="E179" s="234" t="str">
        <f t="shared" si="53"/>
        <v/>
      </c>
      <c r="F179" s="206">
        <f t="shared" ca="1" si="67"/>
        <v>7.62170640603273E-2</v>
      </c>
      <c r="G179" s="207" t="str">
        <f t="shared" si="54"/>
        <v/>
      </c>
      <c r="H179" s="207" t="str">
        <f t="shared" si="55"/>
        <v/>
      </c>
      <c r="I179" s="234" t="str">
        <f t="shared" si="56"/>
        <v/>
      </c>
      <c r="J179" s="601">
        <f t="shared" ca="1" si="57"/>
        <v>6.7444889568855255E-3</v>
      </c>
      <c r="K179" s="232" t="str">
        <f t="shared" si="58"/>
        <v/>
      </c>
      <c r="L179" s="232" t="str">
        <f t="shared" si="59"/>
        <v/>
      </c>
      <c r="M179" s="207" t="str">
        <f t="shared" si="60"/>
        <v/>
      </c>
      <c r="N179" s="235" t="str">
        <f t="shared" si="61"/>
        <v/>
      </c>
      <c r="O179" s="240"/>
      <c r="P179" s="229">
        <f t="shared" ca="1" si="68"/>
        <v>3.7553365687528865E-2</v>
      </c>
      <c r="Q179" s="229">
        <f t="shared" ca="1" si="69"/>
        <v>2.6622136019508846E-4</v>
      </c>
      <c r="R179" s="229" t="str">
        <f t="shared" si="62"/>
        <v/>
      </c>
      <c r="S179" s="239"/>
      <c r="T179" s="229" t="str">
        <f t="shared" si="63"/>
        <v/>
      </c>
      <c r="U179" s="229" t="str">
        <f t="shared" si="64"/>
        <v/>
      </c>
      <c r="V179" s="229" t="str">
        <f t="shared" si="65"/>
        <v/>
      </c>
    </row>
    <row r="180" spans="1:22" ht="15" customHeight="1" x14ac:dyDescent="0.25">
      <c r="A180" s="205">
        <f t="shared" si="50"/>
        <v>2078</v>
      </c>
      <c r="B180" s="207">
        <f t="shared" ca="1" si="66"/>
        <v>1.8182569574000602</v>
      </c>
      <c r="C180" s="207" t="str">
        <f t="shared" si="51"/>
        <v/>
      </c>
      <c r="D180" s="207" t="str">
        <f t="shared" si="52"/>
        <v/>
      </c>
      <c r="E180" s="234" t="str">
        <f t="shared" si="53"/>
        <v/>
      </c>
      <c r="F180" s="206">
        <f t="shared" ca="1" si="67"/>
        <v>7.6208444496076014E-2</v>
      </c>
      <c r="G180" s="207" t="str">
        <f t="shared" si="54"/>
        <v/>
      </c>
      <c r="H180" s="207" t="str">
        <f t="shared" si="55"/>
        <v/>
      </c>
      <c r="I180" s="234" t="str">
        <f t="shared" si="56"/>
        <v/>
      </c>
      <c r="J180" s="601">
        <f t="shared" ca="1" si="57"/>
        <v>6.7437262070128732E-3</v>
      </c>
      <c r="K180" s="232" t="str">
        <f t="shared" si="58"/>
        <v/>
      </c>
      <c r="L180" s="232" t="str">
        <f t="shared" si="59"/>
        <v/>
      </c>
      <c r="M180" s="207" t="str">
        <f t="shared" si="60"/>
        <v/>
      </c>
      <c r="N180" s="235" t="str">
        <f t="shared" si="61"/>
        <v/>
      </c>
      <c r="O180" s="240"/>
      <c r="P180" s="229">
        <f t="shared" ca="1" si="68"/>
        <v>3.7553365687528865E-2</v>
      </c>
      <c r="Q180" s="229">
        <f t="shared" ca="1" si="69"/>
        <v>2.6622136019508846E-4</v>
      </c>
      <c r="R180" s="229" t="str">
        <f t="shared" si="62"/>
        <v/>
      </c>
      <c r="S180" s="239"/>
      <c r="T180" s="229" t="str">
        <f t="shared" si="63"/>
        <v/>
      </c>
      <c r="U180" s="229" t="str">
        <f t="shared" si="64"/>
        <v/>
      </c>
      <c r="V180" s="229" t="str">
        <f t="shared" si="65"/>
        <v/>
      </c>
    </row>
    <row r="181" spans="1:22" ht="15" customHeight="1" x14ac:dyDescent="0.25">
      <c r="A181" s="205">
        <f t="shared" si="50"/>
        <v>2079</v>
      </c>
      <c r="B181" s="207">
        <f t="shared" ca="1" si="66"/>
        <v>1.8221369872705182</v>
      </c>
      <c r="C181" s="207" t="str">
        <f t="shared" si="51"/>
        <v/>
      </c>
      <c r="D181" s="207" t="str">
        <f t="shared" si="52"/>
        <v/>
      </c>
      <c r="E181" s="234" t="str">
        <f t="shared" si="53"/>
        <v/>
      </c>
      <c r="F181" s="206">
        <f t="shared" ca="1" si="67"/>
        <v>7.6199825906631213E-2</v>
      </c>
      <c r="G181" s="207" t="str">
        <f t="shared" si="54"/>
        <v/>
      </c>
      <c r="H181" s="207" t="str">
        <f t="shared" si="55"/>
        <v/>
      </c>
      <c r="I181" s="234" t="str">
        <f t="shared" si="56"/>
        <v/>
      </c>
      <c r="J181" s="601">
        <f t="shared" ca="1" si="57"/>
        <v>6.7429635434013702E-3</v>
      </c>
      <c r="K181" s="232" t="str">
        <f t="shared" si="58"/>
        <v/>
      </c>
      <c r="L181" s="232" t="str">
        <f t="shared" si="59"/>
        <v/>
      </c>
      <c r="M181" s="207" t="str">
        <f t="shared" si="60"/>
        <v/>
      </c>
      <c r="N181" s="235" t="str">
        <f t="shared" si="61"/>
        <v/>
      </c>
      <c r="O181" s="240"/>
      <c r="P181" s="229">
        <f t="shared" ca="1" si="68"/>
        <v>3.7553365687528865E-2</v>
      </c>
      <c r="Q181" s="229">
        <f t="shared" ca="1" si="69"/>
        <v>2.6622136019508846E-4</v>
      </c>
      <c r="R181" s="229" t="str">
        <f t="shared" si="62"/>
        <v/>
      </c>
      <c r="S181" s="239"/>
      <c r="T181" s="229" t="str">
        <f t="shared" si="63"/>
        <v/>
      </c>
      <c r="U181" s="229" t="str">
        <f t="shared" si="64"/>
        <v/>
      </c>
      <c r="V181" s="229" t="str">
        <f t="shared" si="65"/>
        <v/>
      </c>
    </row>
    <row r="182" spans="1:22" ht="15" customHeight="1" thickBot="1" x14ac:dyDescent="0.3">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601"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 thickBot="1" x14ac:dyDescent="0.3">
      <c r="A184" s="1081" t="s">
        <v>1188</v>
      </c>
    </row>
    <row r="185" spans="1:22" ht="26.5" thickTop="1" x14ac:dyDescent="0.3">
      <c r="A185" s="204" t="s">
        <v>1034</v>
      </c>
      <c r="B185" s="237" t="str">
        <f>IF(B$131="","",B$131&amp;" ($/year)")</f>
        <v>Industrial Natural Gas ($/year)</v>
      </c>
      <c r="C185" s="237" t="str">
        <f t="shared" ref="C185:N185" si="70">IF(C$131="","",C$131&amp;" ($/year)")</f>
        <v/>
      </c>
      <c r="D185" s="237" t="str">
        <f t="shared" si="70"/>
        <v/>
      </c>
      <c r="E185" s="237" t="str">
        <f t="shared" si="70"/>
        <v/>
      </c>
      <c r="F185" s="237" t="str">
        <f t="shared" si="70"/>
        <v>Industrial Electricity ($/year)</v>
      </c>
      <c r="G185" s="237" t="str">
        <f t="shared" si="70"/>
        <v/>
      </c>
      <c r="H185" s="237" t="str">
        <f t="shared" si="70"/>
        <v/>
      </c>
      <c r="I185" s="596" t="str">
        <f t="shared" si="70"/>
        <v/>
      </c>
      <c r="J185" s="237" t="str">
        <f t="shared" ca="1" si="70"/>
        <v>Industrial Electricity ($/year)</v>
      </c>
      <c r="K185" s="237" t="str">
        <f t="shared" si="70"/>
        <v/>
      </c>
      <c r="L185" s="237" t="str">
        <f t="shared" si="70"/>
        <v/>
      </c>
      <c r="M185" s="237" t="str">
        <f t="shared" si="70"/>
        <v/>
      </c>
      <c r="N185" s="237" t="str">
        <f t="shared" si="70"/>
        <v/>
      </c>
    </row>
    <row r="186" spans="1:22" x14ac:dyDescent="0.25">
      <c r="A186" s="205">
        <f>+A139</f>
        <v>2037</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601">
        <f t="shared" si="71"/>
        <v>0</v>
      </c>
      <c r="K186" s="232">
        <f t="shared" si="71"/>
        <v>0</v>
      </c>
      <c r="L186" s="232">
        <f t="shared" si="71"/>
        <v>0</v>
      </c>
      <c r="M186" s="207">
        <f t="shared" si="71"/>
        <v>0</v>
      </c>
      <c r="N186" s="235">
        <f t="shared" si="71"/>
        <v>0</v>
      </c>
    </row>
    <row r="187" spans="1:22" x14ac:dyDescent="0.25">
      <c r="A187" s="205">
        <f t="shared" ref="A187:A229" si="72">+A140</f>
        <v>2038</v>
      </c>
      <c r="B187" s="207">
        <f t="shared" ref="B187:N187" si="73">IF($C66="","",IF($C66&lt;0,0,IF(AND($C66=1,start_time&lt;1),-(SUM(B140)*output_kgyear*$E66*percnt_var*start_time+SUM(B140)*output_kgyear*$E66*(1-start_time)),IF($C66&lt;=start_time,-SUM(B140)*output_kgyear*$E66*percnt_var,-SUM(B140)*output_kgyear*$E66))))</f>
        <v>0</v>
      </c>
      <c r="C187" s="207">
        <f t="shared" si="73"/>
        <v>0</v>
      </c>
      <c r="D187" s="207">
        <f t="shared" si="73"/>
        <v>0</v>
      </c>
      <c r="E187" s="234">
        <f t="shared" si="73"/>
        <v>0</v>
      </c>
      <c r="F187" s="206">
        <f t="shared" si="73"/>
        <v>0</v>
      </c>
      <c r="G187" s="207">
        <f t="shared" si="73"/>
        <v>0</v>
      </c>
      <c r="H187" s="207">
        <f t="shared" si="73"/>
        <v>0</v>
      </c>
      <c r="I187" s="234">
        <f t="shared" si="73"/>
        <v>0</v>
      </c>
      <c r="J187" s="601">
        <f t="shared" si="73"/>
        <v>0</v>
      </c>
      <c r="K187" s="232">
        <f t="shared" si="73"/>
        <v>0</v>
      </c>
      <c r="L187" s="232">
        <f t="shared" si="73"/>
        <v>0</v>
      </c>
      <c r="M187" s="207">
        <f t="shared" si="73"/>
        <v>0</v>
      </c>
      <c r="N187" s="235">
        <f t="shared" si="73"/>
        <v>0</v>
      </c>
    </row>
    <row r="188" spans="1:22" x14ac:dyDescent="0.25">
      <c r="A188" s="205">
        <f t="shared" si="72"/>
        <v>2039</v>
      </c>
      <c r="B188" s="207">
        <f t="shared" ref="B188:N188" si="74">IF($C67="","",IF($C67&lt;0,0,IF(AND($C67=1,start_time&lt;1),-(SUM(B141)*output_kgyear*$E67*percnt_var*start_time+SUM(B141)*output_kgyear*$E67*(1-start_time)),IF($C67&lt;=start_time,-SUM(B141)*output_kgyear*$E67*percnt_var,-SUM(B141)*output_kgyear*$E67))))</f>
        <v>0</v>
      </c>
      <c r="C188" s="207">
        <f t="shared" si="74"/>
        <v>0</v>
      </c>
      <c r="D188" s="207">
        <f t="shared" si="74"/>
        <v>0</v>
      </c>
      <c r="E188" s="234">
        <f t="shared" si="74"/>
        <v>0</v>
      </c>
      <c r="F188" s="206">
        <f t="shared" si="74"/>
        <v>0</v>
      </c>
      <c r="G188" s="207">
        <f t="shared" si="74"/>
        <v>0</v>
      </c>
      <c r="H188" s="207">
        <f t="shared" si="74"/>
        <v>0</v>
      </c>
      <c r="I188" s="234">
        <f t="shared" si="74"/>
        <v>0</v>
      </c>
      <c r="J188" s="601">
        <f t="shared" si="74"/>
        <v>0</v>
      </c>
      <c r="K188" s="232">
        <f t="shared" si="74"/>
        <v>0</v>
      </c>
      <c r="L188" s="232">
        <f t="shared" si="74"/>
        <v>0</v>
      </c>
      <c r="M188" s="207">
        <f t="shared" si="74"/>
        <v>0</v>
      </c>
      <c r="N188" s="235">
        <f t="shared" si="74"/>
        <v>0</v>
      </c>
    </row>
    <row r="189" spans="1:22" x14ac:dyDescent="0.25">
      <c r="A189" s="205">
        <f t="shared" si="72"/>
        <v>2040</v>
      </c>
      <c r="B189" s="207">
        <f t="shared" ref="B189:N189" ca="1" si="75">IF($C68="","",IF($C68&lt;0,0,IF(AND($C68=1,start_time&lt;1),-(SUM(B142)*output_kgyear*$E68*percnt_var*start_time+SUM(B142)*output_kgyear*$E68*(1-start_time)),IF($C68&lt;=start_time,-SUM(B142)*output_kgyear*$E68*percnt_var,-SUM(B142)*output_kgyear*$E68))))</f>
        <v>-135685658.81647113</v>
      </c>
      <c r="C189" s="207">
        <f t="shared" ca="1" si="75"/>
        <v>0</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-6836842.0487984661</v>
      </c>
      <c r="G189" s="207">
        <f t="shared" ca="1" si="75"/>
        <v>0</v>
      </c>
      <c r="H189" s="207">
        <f t="shared" ca="1" si="75"/>
        <v>0</v>
      </c>
      <c r="I189" s="234">
        <f t="shared" ca="1" si="75"/>
        <v>0</v>
      </c>
      <c r="J189" s="601">
        <f t="shared" ca="1" si="75"/>
        <v>-604995.82693967456</v>
      </c>
      <c r="K189" s="232">
        <f t="shared" ca="1" si="75"/>
        <v>0</v>
      </c>
      <c r="L189" s="232">
        <f t="shared" ca="1" si="75"/>
        <v>0</v>
      </c>
      <c r="M189" s="207">
        <f t="shared" ca="1" si="75"/>
        <v>0</v>
      </c>
      <c r="N189" s="235">
        <f t="shared" ca="1" si="75"/>
        <v>0</v>
      </c>
    </row>
    <row r="190" spans="1:22" x14ac:dyDescent="0.25">
      <c r="A190" s="205">
        <f t="shared" si="72"/>
        <v>2041</v>
      </c>
      <c r="B190" s="207">
        <f t="shared" ref="B190:N190" ca="1" si="76">IF($C69="","",IF($C69&lt;0,0,IF(AND($C69=1,start_time&lt;1),-(SUM(B143)*output_kgyear*$E69*percnt_var*start_time+SUM(B143)*output_kgyear*$E69*(1-start_time)),IF($C69&lt;=start_time,-SUM(B143)*output_kgyear*$E69*percnt_var,-SUM(B143)*output_kgyear*$E69))))</f>
        <v>-184500684.8327347</v>
      </c>
      <c r="C190" s="207">
        <f t="shared" ca="1" si="76"/>
        <v>0</v>
      </c>
      <c r="D190" s="207">
        <f t="shared" ca="1" si="76"/>
        <v>0</v>
      </c>
      <c r="E190" s="234">
        <f t="shared" ca="1" si="76"/>
        <v>0</v>
      </c>
      <c r="F190" s="206">
        <f t="shared" ca="1" si="76"/>
        <v>-9261671.1128832698</v>
      </c>
      <c r="G190" s="207">
        <f t="shared" ca="1" si="76"/>
        <v>0</v>
      </c>
      <c r="H190" s="207">
        <f t="shared" ca="1" si="76"/>
        <v>0</v>
      </c>
      <c r="I190" s="234">
        <f t="shared" ca="1" si="76"/>
        <v>0</v>
      </c>
      <c r="J190" s="601">
        <f t="shared" ca="1" si="76"/>
        <v>-819570.25389621966</v>
      </c>
      <c r="K190" s="232">
        <f t="shared" ca="1" si="76"/>
        <v>0</v>
      </c>
      <c r="L190" s="232">
        <f t="shared" ca="1" si="76"/>
        <v>0</v>
      </c>
      <c r="M190" s="207">
        <f t="shared" ca="1" si="76"/>
        <v>0</v>
      </c>
      <c r="N190" s="235">
        <f t="shared" ca="1" si="76"/>
        <v>0</v>
      </c>
    </row>
    <row r="191" spans="1:22" x14ac:dyDescent="0.25">
      <c r="A191" s="205">
        <f t="shared" si="72"/>
        <v>2042</v>
      </c>
      <c r="B191" s="207">
        <f t="shared" ref="B191:N191" ca="1" si="77">IF($C70="","",IF($C70&lt;0,0,IF(AND($C70=1,start_time&lt;1),-(SUM(B144)*output_kgyear*$E70*percnt_var*start_time+SUM(B144)*output_kgyear*$E70*(1-start_time)),IF($C70&lt;=start_time,-SUM(B144)*output_kgyear*$E70*percnt_var,-SUM(B144)*output_kgyear*$E70))))</f>
        <v>-189816412.33288735</v>
      </c>
      <c r="C191" s="207">
        <f t="shared" ca="1" si="77"/>
        <v>0</v>
      </c>
      <c r="D191" s="207">
        <f t="shared" ca="1" si="77"/>
        <v>0</v>
      </c>
      <c r="E191" s="234">
        <f t="shared" ca="1" si="77"/>
        <v>0</v>
      </c>
      <c r="F191" s="206">
        <f t="shared" ca="1" si="77"/>
        <v>-9448589.0816480182</v>
      </c>
      <c r="G191" s="207">
        <f t="shared" ca="1" si="77"/>
        <v>0</v>
      </c>
      <c r="H191" s="207">
        <f t="shared" ca="1" si="77"/>
        <v>0</v>
      </c>
      <c r="I191" s="234">
        <f t="shared" ca="1" si="77"/>
        <v>0</v>
      </c>
      <c r="J191" s="601">
        <f t="shared" ca="1" si="77"/>
        <v>-836110.72539981222</v>
      </c>
      <c r="K191" s="232">
        <f t="shared" ca="1" si="77"/>
        <v>0</v>
      </c>
      <c r="L191" s="232">
        <f t="shared" ca="1" si="77"/>
        <v>0</v>
      </c>
      <c r="M191" s="207">
        <f t="shared" ca="1" si="77"/>
        <v>0</v>
      </c>
      <c r="N191" s="235">
        <f t="shared" ca="1" si="77"/>
        <v>0</v>
      </c>
    </row>
    <row r="192" spans="1:22" x14ac:dyDescent="0.25">
      <c r="A192" s="205">
        <f t="shared" si="72"/>
        <v>2043</v>
      </c>
      <c r="B192" s="207">
        <f t="shared" ref="B192:N192" ca="1" si="78">IF($C71="","",IF($C71&lt;0,0,IF(AND($C71=1,start_time&lt;1),-(SUM(B145)*output_kgyear*$E71*percnt_var*start_time+SUM(B145)*output_kgyear*$E71*(1-start_time)),IF($C71&lt;=start_time,-SUM(B145)*output_kgyear*$E71*percnt_var,-SUM(B145)*output_kgyear*$E71))))</f>
        <v>-196246334.26194936</v>
      </c>
      <c r="C192" s="207">
        <f t="shared" ca="1" si="78"/>
        <v>0</v>
      </c>
      <c r="D192" s="207">
        <f t="shared" ca="1" si="78"/>
        <v>0</v>
      </c>
      <c r="E192" s="234">
        <f t="shared" ca="1" si="78"/>
        <v>0</v>
      </c>
      <c r="F192" s="206">
        <f t="shared" ca="1" si="78"/>
        <v>-9657495.1546699721</v>
      </c>
      <c r="G192" s="207">
        <f t="shared" ca="1" si="78"/>
        <v>0</v>
      </c>
      <c r="H192" s="207">
        <f t="shared" ca="1" si="78"/>
        <v>0</v>
      </c>
      <c r="I192" s="234">
        <f t="shared" ca="1" si="78"/>
        <v>0</v>
      </c>
      <c r="J192" s="601">
        <f t="shared" ca="1" si="78"/>
        <v>-854596.93606528291</v>
      </c>
      <c r="K192" s="232">
        <f t="shared" ca="1" si="78"/>
        <v>0</v>
      </c>
      <c r="L192" s="232">
        <f t="shared" ca="1" si="78"/>
        <v>0</v>
      </c>
      <c r="M192" s="207">
        <f t="shared" ca="1" si="78"/>
        <v>0</v>
      </c>
      <c r="N192" s="235">
        <f t="shared" ca="1" si="78"/>
        <v>0</v>
      </c>
    </row>
    <row r="193" spans="1:14" x14ac:dyDescent="0.25">
      <c r="A193" s="205">
        <f t="shared" si="72"/>
        <v>2044</v>
      </c>
      <c r="B193" s="207">
        <f t="shared" ref="B193:N193" ca="1" si="79">IF($C72="","",IF($C72&lt;0,0,IF(AND($C72=1,start_time&lt;1),-(SUM(B146)*output_kgyear*$E72*percnt_var*start_time+SUM(B146)*output_kgyear*$E72*(1-start_time)),IF($C72&lt;=start_time,-SUM(B146)*output_kgyear*$E72*percnt_var,-SUM(B146)*output_kgyear*$E72))))</f>
        <v>-201946921.98474845</v>
      </c>
      <c r="C193" s="207">
        <f t="shared" ca="1" si="79"/>
        <v>0</v>
      </c>
      <c r="D193" s="207">
        <f t="shared" ca="1" si="79"/>
        <v>0</v>
      </c>
      <c r="E193" s="234">
        <f t="shared" ca="1" si="79"/>
        <v>0</v>
      </c>
      <c r="F193" s="206">
        <f t="shared" ca="1" si="79"/>
        <v>-9878067.175333498</v>
      </c>
      <c r="G193" s="207">
        <f t="shared" ca="1" si="79"/>
        <v>0</v>
      </c>
      <c r="H193" s="207">
        <f t="shared" ca="1" si="79"/>
        <v>0</v>
      </c>
      <c r="I193" s="234">
        <f t="shared" ca="1" si="79"/>
        <v>0</v>
      </c>
      <c r="J193" s="601">
        <f t="shared" ca="1" si="79"/>
        <v>-874115.47270670452</v>
      </c>
      <c r="K193" s="232">
        <f t="shared" ca="1" si="79"/>
        <v>0</v>
      </c>
      <c r="L193" s="232">
        <f t="shared" ca="1" si="79"/>
        <v>0</v>
      </c>
      <c r="M193" s="207">
        <f t="shared" ca="1" si="79"/>
        <v>0</v>
      </c>
      <c r="N193" s="235">
        <f t="shared" ca="1" si="79"/>
        <v>0</v>
      </c>
    </row>
    <row r="194" spans="1:14" x14ac:dyDescent="0.25">
      <c r="A194" s="205">
        <f t="shared" si="72"/>
        <v>2045</v>
      </c>
      <c r="B194" s="207">
        <f t="shared" ref="B194:N194" ca="1" si="80">IF($C73="","",IF($C73&lt;0,0,IF(AND($C73=1,start_time&lt;1),-(SUM(B147)*output_kgyear*$E73*percnt_var*start_time+SUM(B147)*output_kgyear*$E73*(1-start_time)),IF($C73&lt;=start_time,-SUM(B147)*output_kgyear*$E73*percnt_var,-SUM(B147)*output_kgyear*$E73))))</f>
        <v>-208426314.53612268</v>
      </c>
      <c r="C194" s="207">
        <f t="shared" ca="1" si="80"/>
        <v>0</v>
      </c>
      <c r="D194" s="207">
        <f t="shared" ca="1" si="80"/>
        <v>0</v>
      </c>
      <c r="E194" s="234">
        <f t="shared" ca="1" si="80"/>
        <v>0</v>
      </c>
      <c r="F194" s="206">
        <f t="shared" ca="1" si="80"/>
        <v>-10102520.335633656</v>
      </c>
      <c r="G194" s="207">
        <f t="shared" ca="1" si="80"/>
        <v>0</v>
      </c>
      <c r="H194" s="207">
        <f t="shared" ca="1" si="80"/>
        <v>0</v>
      </c>
      <c r="I194" s="234">
        <f t="shared" ca="1" si="80"/>
        <v>0</v>
      </c>
      <c r="J194" s="601">
        <f t="shared" ca="1" si="80"/>
        <v>-893977.4534802523</v>
      </c>
      <c r="K194" s="232">
        <f t="shared" ca="1" si="80"/>
        <v>0</v>
      </c>
      <c r="L194" s="232">
        <f t="shared" ca="1" si="80"/>
        <v>0</v>
      </c>
      <c r="M194" s="207">
        <f t="shared" ca="1" si="80"/>
        <v>0</v>
      </c>
      <c r="N194" s="235">
        <f t="shared" ca="1" si="80"/>
        <v>0</v>
      </c>
    </row>
    <row r="195" spans="1:14" x14ac:dyDescent="0.25">
      <c r="A195" s="205">
        <f t="shared" si="72"/>
        <v>2046</v>
      </c>
      <c r="B195" s="207">
        <f t="shared" ref="B195:N195" ca="1" si="81">IF($C74="","",IF($C74&lt;0,0,IF(AND($C74=1,start_time&lt;1),-(SUM(B148)*output_kgyear*$E74*percnt_var*start_time+SUM(B148)*output_kgyear*$E74*(1-start_time)),IF($C74&lt;=start_time,-SUM(B148)*output_kgyear*$E74*percnt_var,-SUM(B148)*output_kgyear*$E74))))</f>
        <v>-214444825.84862533</v>
      </c>
      <c r="C195" s="207">
        <f t="shared" ca="1" si="81"/>
        <v>0</v>
      </c>
      <c r="D195" s="207">
        <f t="shared" ca="1" si="81"/>
        <v>0</v>
      </c>
      <c r="E195" s="234">
        <f t="shared" ca="1" si="81"/>
        <v>0</v>
      </c>
      <c r="F195" s="206">
        <f t="shared" ca="1" si="81"/>
        <v>-10332562.764698982</v>
      </c>
      <c r="G195" s="207">
        <f t="shared" ca="1" si="81"/>
        <v>0</v>
      </c>
      <c r="H195" s="207">
        <f t="shared" ca="1" si="81"/>
        <v>0</v>
      </c>
      <c r="I195" s="234">
        <f t="shared" ca="1" si="81"/>
        <v>0</v>
      </c>
      <c r="J195" s="601">
        <f t="shared" ca="1" si="81"/>
        <v>-914334.03165043937</v>
      </c>
      <c r="K195" s="232">
        <f t="shared" ca="1" si="81"/>
        <v>0</v>
      </c>
      <c r="L195" s="232">
        <f t="shared" ca="1" si="81"/>
        <v>0</v>
      </c>
      <c r="M195" s="207">
        <f t="shared" ca="1" si="81"/>
        <v>0</v>
      </c>
      <c r="N195" s="235">
        <f t="shared" ca="1" si="81"/>
        <v>0</v>
      </c>
    </row>
    <row r="196" spans="1:14" x14ac:dyDescent="0.25">
      <c r="A196" s="205">
        <f t="shared" si="72"/>
        <v>2047</v>
      </c>
      <c r="B196" s="207">
        <f t="shared" ref="B196:N196" ca="1" si="82">IF($C75="","",IF($C75&lt;0,0,IF(AND($C75=1,start_time&lt;1),-(SUM(B149)*output_kgyear*$E75*percnt_var*start_time+SUM(B149)*output_kgyear*$E75*(1-start_time)),IF($C75&lt;=start_time,-SUM(B149)*output_kgyear*$E75*percnt_var,-SUM(B149)*output_kgyear*$E75))))</f>
        <v>-220819952.98974445</v>
      </c>
      <c r="C196" s="207">
        <f t="shared" ca="1" si="82"/>
        <v>0</v>
      </c>
      <c r="D196" s="207">
        <f t="shared" ca="1" si="82"/>
        <v>0</v>
      </c>
      <c r="E196" s="234">
        <f t="shared" ca="1" si="82"/>
        <v>0</v>
      </c>
      <c r="F196" s="206">
        <f t="shared" ca="1" si="82"/>
        <v>-10563715.848516408</v>
      </c>
      <c r="G196" s="207">
        <f t="shared" ca="1" si="82"/>
        <v>0</v>
      </c>
      <c r="H196" s="207">
        <f t="shared" ca="1" si="82"/>
        <v>0</v>
      </c>
      <c r="I196" s="234">
        <f t="shared" ca="1" si="82"/>
        <v>0</v>
      </c>
      <c r="J196" s="601">
        <f t="shared" ca="1" si="82"/>
        <v>-934788.89225649298</v>
      </c>
      <c r="K196" s="232">
        <f t="shared" ca="1" si="82"/>
        <v>0</v>
      </c>
      <c r="L196" s="232">
        <f t="shared" ca="1" si="82"/>
        <v>0</v>
      </c>
      <c r="M196" s="207">
        <f t="shared" ca="1" si="82"/>
        <v>0</v>
      </c>
      <c r="N196" s="235">
        <f t="shared" ca="1" si="82"/>
        <v>0</v>
      </c>
    </row>
    <row r="197" spans="1:14" x14ac:dyDescent="0.25">
      <c r="A197" s="205">
        <f t="shared" si="72"/>
        <v>2048</v>
      </c>
      <c r="B197" s="207">
        <f t="shared" ref="B197:N197" ca="1" si="83">IF($C76="","",IF($C76&lt;0,0,IF(AND($C76=1,start_time&lt;1),-(SUM(B150)*output_kgyear*$E76*percnt_var*start_time+SUM(B150)*output_kgyear*$E76*(1-start_time)),IF($C76&lt;=start_time,-SUM(B150)*output_kgyear*$E76*percnt_var,-SUM(B150)*output_kgyear*$E76))))</f>
        <v>-229139966.17138976</v>
      </c>
      <c r="C197" s="207">
        <f t="shared" ca="1" si="83"/>
        <v>0</v>
      </c>
      <c r="D197" s="207">
        <f t="shared" ca="1" si="83"/>
        <v>0</v>
      </c>
      <c r="E197" s="234">
        <f t="shared" ca="1" si="83"/>
        <v>0</v>
      </c>
      <c r="F197" s="206">
        <f t="shared" ca="1" si="83"/>
        <v>-10804354.657387506</v>
      </c>
      <c r="G197" s="207">
        <f t="shared" ca="1" si="83"/>
        <v>0</v>
      </c>
      <c r="H197" s="207">
        <f t="shared" ca="1" si="83"/>
        <v>0</v>
      </c>
      <c r="I197" s="234">
        <f t="shared" ca="1" si="83"/>
        <v>0</v>
      </c>
      <c r="J197" s="601">
        <f t="shared" ca="1" si="83"/>
        <v>-956083.14977006766</v>
      </c>
      <c r="K197" s="232">
        <f t="shared" ca="1" si="83"/>
        <v>0</v>
      </c>
      <c r="L197" s="232">
        <f t="shared" ca="1" si="83"/>
        <v>0</v>
      </c>
      <c r="M197" s="207">
        <f t="shared" ca="1" si="83"/>
        <v>0</v>
      </c>
      <c r="N197" s="235">
        <f t="shared" ca="1" si="83"/>
        <v>0</v>
      </c>
    </row>
    <row r="198" spans="1:14" x14ac:dyDescent="0.25">
      <c r="A198" s="205">
        <f t="shared" si="72"/>
        <v>2049</v>
      </c>
      <c r="B198" s="207">
        <f t="shared" ref="B198:N198" ca="1" si="84">IF($C77="","",IF($C77&lt;0,0,IF(AND($C77=1,start_time&lt;1),-(SUM(B151)*output_kgyear*$E77*percnt_var*start_time+SUM(B151)*output_kgyear*$E77*(1-start_time)),IF($C77&lt;=start_time,-SUM(B151)*output_kgyear*$E77*percnt_var,-SUM(B151)*output_kgyear*$E77))))</f>
        <v>-234861098.66153765</v>
      </c>
      <c r="C198" s="207">
        <f t="shared" ca="1" si="84"/>
        <v>0</v>
      </c>
      <c r="D198" s="207">
        <f t="shared" ca="1" si="84"/>
        <v>0</v>
      </c>
      <c r="E198" s="234">
        <f t="shared" ca="1" si="84"/>
        <v>0</v>
      </c>
      <c r="F198" s="206">
        <f t="shared" ca="1" si="84"/>
        <v>-11044888.31087382</v>
      </c>
      <c r="G198" s="207">
        <f t="shared" ca="1" si="84"/>
        <v>0</v>
      </c>
      <c r="H198" s="207">
        <f t="shared" ca="1" si="84"/>
        <v>0</v>
      </c>
      <c r="I198" s="234">
        <f t="shared" ca="1" si="84"/>
        <v>0</v>
      </c>
      <c r="J198" s="601">
        <f t="shared" ca="1" si="84"/>
        <v>-977368.10202713287</v>
      </c>
      <c r="K198" s="232">
        <f t="shared" ca="1" si="84"/>
        <v>0</v>
      </c>
      <c r="L198" s="232">
        <f t="shared" ca="1" si="84"/>
        <v>0</v>
      </c>
      <c r="M198" s="207">
        <f t="shared" ca="1" si="84"/>
        <v>0</v>
      </c>
      <c r="N198" s="235">
        <f t="shared" ca="1" si="84"/>
        <v>0</v>
      </c>
    </row>
    <row r="199" spans="1:14" x14ac:dyDescent="0.25">
      <c r="A199" s="205">
        <f t="shared" si="72"/>
        <v>2050</v>
      </c>
      <c r="B199" s="207">
        <f t="shared" ref="B199:N199" ca="1" si="85">IF($C78="","",IF($C78&lt;0,0,IF(AND($C78=1,start_time&lt;1),-(SUM(B152)*output_kgyear*$E78*percnt_var*start_time+SUM(B152)*output_kgyear*$E78*(1-start_time)),IF($C78&lt;=start_time,-SUM(B152)*output_kgyear*$E78*percnt_var,-SUM(B152)*output_kgyear*$E78))))</f>
        <v>-242353603.08887172</v>
      </c>
      <c r="C199" s="207">
        <f t="shared" ca="1" si="85"/>
        <v>0</v>
      </c>
      <c r="D199" s="207">
        <f t="shared" ca="1" si="85"/>
        <v>0</v>
      </c>
      <c r="E199" s="234">
        <f t="shared" ca="1" si="85"/>
        <v>0</v>
      </c>
      <c r="F199" s="206">
        <f t="shared" ca="1" si="85"/>
        <v>-11289565.447951138</v>
      </c>
      <c r="G199" s="207">
        <f t="shared" ca="1" si="85"/>
        <v>0</v>
      </c>
      <c r="H199" s="207">
        <f t="shared" ca="1" si="85"/>
        <v>0</v>
      </c>
      <c r="I199" s="234">
        <f t="shared" ca="1" si="85"/>
        <v>0</v>
      </c>
      <c r="J199" s="601">
        <f t="shared" ca="1" si="85"/>
        <v>-999019.71337382786</v>
      </c>
      <c r="K199" s="232">
        <f t="shared" ca="1" si="85"/>
        <v>0</v>
      </c>
      <c r="L199" s="232">
        <f t="shared" ca="1" si="85"/>
        <v>0</v>
      </c>
      <c r="M199" s="207">
        <f t="shared" ca="1" si="85"/>
        <v>0</v>
      </c>
      <c r="N199" s="235">
        <f t="shared" ca="1" si="85"/>
        <v>0</v>
      </c>
    </row>
    <row r="200" spans="1:14" x14ac:dyDescent="0.25">
      <c r="A200" s="205">
        <f t="shared" si="72"/>
        <v>2051</v>
      </c>
      <c r="B200" s="207">
        <f t="shared" ref="B200:N200" ca="1" si="86">IF($C79="","",IF($C79&lt;0,0,IF(AND($C79=1,start_time&lt;1),-(SUM(B153)*output_kgyear*$E79*percnt_var*start_time+SUM(B153)*output_kgyear*$E79*(1-start_time)),IF($C79&lt;=start_time,-SUM(B153)*output_kgyear*$E79*percnt_var,-SUM(B153)*output_kgyear*$E79))))</f>
        <v>-248331247.15363747</v>
      </c>
      <c r="C200" s="207">
        <f t="shared" ca="1" si="86"/>
        <v>0</v>
      </c>
      <c r="D200" s="207">
        <f t="shared" ca="1" si="86"/>
        <v>0</v>
      </c>
      <c r="E200" s="234">
        <f t="shared" ca="1" si="86"/>
        <v>0</v>
      </c>
      <c r="F200" s="206">
        <f t="shared" ca="1" si="86"/>
        <v>-11514500.867380448</v>
      </c>
      <c r="G200" s="207">
        <f t="shared" ca="1" si="86"/>
        <v>0</v>
      </c>
      <c r="H200" s="207">
        <f t="shared" ca="1" si="86"/>
        <v>0</v>
      </c>
      <c r="I200" s="234">
        <f t="shared" ca="1" si="86"/>
        <v>0</v>
      </c>
      <c r="J200" s="601">
        <f t="shared" ca="1" si="86"/>
        <v>-1018924.3695168744</v>
      </c>
      <c r="K200" s="232">
        <f t="shared" ca="1" si="86"/>
        <v>0</v>
      </c>
      <c r="L200" s="232">
        <f t="shared" ca="1" si="86"/>
        <v>0</v>
      </c>
      <c r="M200" s="207">
        <f t="shared" ca="1" si="86"/>
        <v>0</v>
      </c>
      <c r="N200" s="235">
        <f t="shared" ca="1" si="86"/>
        <v>0</v>
      </c>
    </row>
    <row r="201" spans="1:14" x14ac:dyDescent="0.25">
      <c r="A201" s="205">
        <f t="shared" si="72"/>
        <v>2052</v>
      </c>
      <c r="B201" s="207">
        <f t="shared" ref="B201:N201" ca="1" si="87">IF($C80="","",IF($C80&lt;0,0,IF(AND($C80=1,start_time&lt;1),-(SUM(B154)*output_kgyear*$E80*percnt_var*start_time+SUM(B154)*output_kgyear*$E80*(1-start_time)),IF($C80&lt;=start_time,-SUM(B154)*output_kgyear*$E80*percnt_var,-SUM(B154)*output_kgyear*$E80))))</f>
        <v>-254456329.62290645</v>
      </c>
      <c r="C201" s="207">
        <f t="shared" ca="1" si="87"/>
        <v>0</v>
      </c>
      <c r="D201" s="207">
        <f t="shared" ca="1" si="87"/>
        <v>0</v>
      </c>
      <c r="E201" s="234">
        <f t="shared" ca="1" si="87"/>
        <v>0</v>
      </c>
      <c r="F201" s="206">
        <f t="shared" ca="1" si="87"/>
        <v>-11743917.942294816</v>
      </c>
      <c r="G201" s="207">
        <f t="shared" ca="1" si="87"/>
        <v>0</v>
      </c>
      <c r="H201" s="207">
        <f t="shared" ca="1" si="87"/>
        <v>0</v>
      </c>
      <c r="I201" s="234">
        <f t="shared" ca="1" si="87"/>
        <v>0</v>
      </c>
      <c r="J201" s="601">
        <f t="shared" ca="1" si="87"/>
        <v>-1039225.6097621853</v>
      </c>
      <c r="K201" s="232">
        <f t="shared" ca="1" si="87"/>
        <v>0</v>
      </c>
      <c r="L201" s="232">
        <f t="shared" ca="1" si="87"/>
        <v>0</v>
      </c>
      <c r="M201" s="207">
        <f t="shared" ca="1" si="87"/>
        <v>0</v>
      </c>
      <c r="N201" s="235">
        <f t="shared" ca="1" si="87"/>
        <v>0</v>
      </c>
    </row>
    <row r="202" spans="1:14" x14ac:dyDescent="0.25">
      <c r="A202" s="205">
        <f t="shared" si="72"/>
        <v>2053</v>
      </c>
      <c r="B202" s="207">
        <f t="shared" ref="B202:N202" ca="1" si="88">IF($C81="","",IF($C81&lt;0,0,IF(AND($C81=1,start_time&lt;1),-(SUM(B155)*output_kgyear*$E81*percnt_var*start_time+SUM(B155)*output_kgyear*$E81*(1-start_time)),IF($C81&lt;=start_time,-SUM(B155)*output_kgyear*$E81*percnt_var,-SUM(B155)*output_kgyear*$E81))))</f>
        <v>-260732487.06032926</v>
      </c>
      <c r="C202" s="207">
        <f t="shared" ca="1" si="88"/>
        <v>0</v>
      </c>
      <c r="D202" s="207">
        <f t="shared" ca="1" si="88"/>
        <v>0</v>
      </c>
      <c r="E202" s="234">
        <f t="shared" ca="1" si="88"/>
        <v>0</v>
      </c>
      <c r="F202" s="206">
        <f t="shared" ca="1" si="88"/>
        <v>-11977905.966038708</v>
      </c>
      <c r="G202" s="207">
        <f t="shared" ca="1" si="88"/>
        <v>0</v>
      </c>
      <c r="H202" s="207">
        <f t="shared" ca="1" si="88"/>
        <v>0</v>
      </c>
      <c r="I202" s="234">
        <f t="shared" ca="1" si="88"/>
        <v>0</v>
      </c>
      <c r="J202" s="601">
        <f t="shared" ca="1" si="88"/>
        <v>-1059931.3357257966</v>
      </c>
      <c r="K202" s="232">
        <f t="shared" ca="1" si="88"/>
        <v>0</v>
      </c>
      <c r="L202" s="232">
        <f t="shared" ca="1" si="88"/>
        <v>0</v>
      </c>
      <c r="M202" s="207">
        <f t="shared" ca="1" si="88"/>
        <v>0</v>
      </c>
      <c r="N202" s="235">
        <f t="shared" ca="1" si="88"/>
        <v>0</v>
      </c>
    </row>
    <row r="203" spans="1:14" x14ac:dyDescent="0.25">
      <c r="A203" s="205">
        <f t="shared" si="72"/>
        <v>2054</v>
      </c>
      <c r="B203" s="207">
        <f t="shared" ref="B203:N203" ca="1" si="89">IF($C82="","",IF($C82&lt;0,0,IF(AND($C82=1,start_time&lt;1),-(SUM(B156)*output_kgyear*$E82*percnt_var*start_time+SUM(B156)*output_kgyear*$E82*(1-start_time)),IF($C82&lt;=start_time,-SUM(B156)*output_kgyear*$E82*percnt_var,-SUM(B156)*output_kgyear*$E82))))</f>
        <v>-267163445.72528577</v>
      </c>
      <c r="C203" s="207">
        <f t="shared" ca="1" si="89"/>
        <v>0</v>
      </c>
      <c r="D203" s="207">
        <f t="shared" ca="1" si="89"/>
        <v>0</v>
      </c>
      <c r="E203" s="234">
        <f t="shared" ca="1" si="89"/>
        <v>0</v>
      </c>
      <c r="F203" s="206">
        <f t="shared" ca="1" si="89"/>
        <v>-12216556.011053924</v>
      </c>
      <c r="G203" s="207">
        <f t="shared" ca="1" si="89"/>
        <v>0</v>
      </c>
      <c r="H203" s="207">
        <f t="shared" ca="1" si="89"/>
        <v>0</v>
      </c>
      <c r="I203" s="234">
        <f t="shared" ca="1" si="89"/>
        <v>0</v>
      </c>
      <c r="J203" s="601">
        <f t="shared" ca="1" si="89"/>
        <v>-1081049.6064570246</v>
      </c>
      <c r="K203" s="232">
        <f t="shared" ca="1" si="89"/>
        <v>0</v>
      </c>
      <c r="L203" s="232">
        <f t="shared" ca="1" si="89"/>
        <v>0</v>
      </c>
      <c r="M203" s="207">
        <f t="shared" ca="1" si="89"/>
        <v>0</v>
      </c>
      <c r="N203" s="235">
        <f t="shared" ca="1" si="89"/>
        <v>0</v>
      </c>
    </row>
    <row r="204" spans="1:14" x14ac:dyDescent="0.25">
      <c r="A204" s="205">
        <f t="shared" si="72"/>
        <v>2055</v>
      </c>
      <c r="B204" s="207">
        <f t="shared" ref="B204:N204" ca="1" si="90">IF($C83="","",IF($C83&lt;0,0,IF(AND($C83=1,start_time&lt;1),-(SUM(B157)*output_kgyear*$E83*percnt_var*start_time+SUM(B157)*output_kgyear*$E83*(1-start_time)),IF($C83&lt;=start_time,-SUM(B157)*output_kgyear*$E83*percnt_var,-SUM(B157)*output_kgyear*$E83))))</f>
        <v>-273753023.78522694</v>
      </c>
      <c r="C204" s="207">
        <f t="shared" ca="1" si="90"/>
        <v>0</v>
      </c>
      <c r="D204" s="207">
        <f t="shared" ca="1" si="90"/>
        <v>0</v>
      </c>
      <c r="E204" s="234">
        <f t="shared" ca="1" si="90"/>
        <v>0</v>
      </c>
      <c r="F204" s="206">
        <f t="shared" ca="1" si="90"/>
        <v>-12459960.964326657</v>
      </c>
      <c r="G204" s="207">
        <f t="shared" ca="1" si="90"/>
        <v>0</v>
      </c>
      <c r="H204" s="207">
        <f t="shared" ca="1" si="90"/>
        <v>0</v>
      </c>
      <c r="I204" s="234">
        <f t="shared" ca="1" si="90"/>
        <v>0</v>
      </c>
      <c r="J204" s="601">
        <f t="shared" ca="1" si="90"/>
        <v>-1102588.6415751944</v>
      </c>
      <c r="K204" s="232">
        <f t="shared" ca="1" si="90"/>
        <v>0</v>
      </c>
      <c r="L204" s="232">
        <f t="shared" ca="1" si="90"/>
        <v>0</v>
      </c>
      <c r="M204" s="207">
        <f t="shared" ca="1" si="90"/>
        <v>0</v>
      </c>
      <c r="N204" s="235">
        <f t="shared" ca="1" si="90"/>
        <v>0</v>
      </c>
    </row>
    <row r="205" spans="1:14" x14ac:dyDescent="0.25">
      <c r="A205" s="205">
        <f t="shared" si="72"/>
        <v>2056</v>
      </c>
      <c r="B205" s="207">
        <f t="shared" ref="B205:N205" ca="1" si="91">IF($C84="","",IF($C84&lt;0,0,IF(AND($C84=1,start_time&lt;1),-(SUM(B158)*output_kgyear*$E84*percnt_var*start_time+SUM(B158)*output_kgyear*$E84*(1-start_time)),IF($C84&lt;=start_time,-SUM(B158)*output_kgyear*$E84*percnt_var,-SUM(B158)*output_kgyear*$E84))))</f>
        <v>-280451611.81009722</v>
      </c>
      <c r="C205" s="207">
        <f t="shared" ca="1" si="91"/>
        <v>0</v>
      </c>
      <c r="D205" s="207">
        <f t="shared" ca="1" si="91"/>
        <v>0</v>
      </c>
      <c r="E205" s="234">
        <f t="shared" ca="1" si="91"/>
        <v>0</v>
      </c>
      <c r="F205" s="206">
        <f t="shared" ca="1" si="91"/>
        <v>-12709342.427267255</v>
      </c>
      <c r="G205" s="207">
        <f t="shared" ca="1" si="91"/>
        <v>0</v>
      </c>
      <c r="H205" s="207">
        <f t="shared" ca="1" si="91"/>
        <v>0</v>
      </c>
      <c r="I205" s="234">
        <f t="shared" ca="1" si="91"/>
        <v>0</v>
      </c>
      <c r="J205" s="601">
        <f t="shared" ca="1" si="91"/>
        <v>-1124656.5412455825</v>
      </c>
      <c r="K205" s="232">
        <f t="shared" ca="1" si="91"/>
        <v>0</v>
      </c>
      <c r="L205" s="232">
        <f t="shared" ca="1" si="91"/>
        <v>0</v>
      </c>
      <c r="M205" s="207">
        <f t="shared" ca="1" si="91"/>
        <v>0</v>
      </c>
      <c r="N205" s="235">
        <f t="shared" ca="1" si="91"/>
        <v>0</v>
      </c>
    </row>
    <row r="206" spans="1:14" x14ac:dyDescent="0.25">
      <c r="A206" s="205">
        <f t="shared" si="72"/>
        <v>2057</v>
      </c>
      <c r="B206" s="207">
        <f t="shared" ref="B206:N206" ca="1" si="92">IF($C85="","",IF($C85&lt;0,0,IF(AND($C85=1,start_time&lt;1),-(SUM(B159)*output_kgyear*$E85*percnt_var*start_time+SUM(B159)*output_kgyear*$E85*(1-start_time)),IF($C85&lt;=start_time,-SUM(B159)*output_kgyear*$E85*percnt_var,-SUM(B159)*output_kgyear*$E85))))</f>
        <v>-287314110.6510253</v>
      </c>
      <c r="C206" s="207">
        <f t="shared" ca="1" si="92"/>
        <v>0</v>
      </c>
      <c r="D206" s="207">
        <f t="shared" ca="1" si="92"/>
        <v>0</v>
      </c>
      <c r="E206" s="234">
        <f t="shared" ca="1" si="92"/>
        <v>0</v>
      </c>
      <c r="F206" s="206">
        <f t="shared" ca="1" si="92"/>
        <v>-12963715.167005308</v>
      </c>
      <c r="G206" s="207">
        <f t="shared" ca="1" si="92"/>
        <v>0</v>
      </c>
      <c r="H206" s="207">
        <f t="shared" ca="1" si="92"/>
        <v>0</v>
      </c>
      <c r="I206" s="234">
        <f t="shared" ca="1" si="92"/>
        <v>0</v>
      </c>
      <c r="J206" s="601">
        <f t="shared" ca="1" si="92"/>
        <v>-1147166.1216820325</v>
      </c>
      <c r="K206" s="232">
        <f t="shared" ca="1" si="92"/>
        <v>0</v>
      </c>
      <c r="L206" s="232">
        <f t="shared" ca="1" si="92"/>
        <v>0</v>
      </c>
      <c r="M206" s="207">
        <f t="shared" ca="1" si="92"/>
        <v>0</v>
      </c>
      <c r="N206" s="235">
        <f t="shared" ca="1" si="92"/>
        <v>0</v>
      </c>
    </row>
    <row r="207" spans="1:14" x14ac:dyDescent="0.25">
      <c r="A207" s="205">
        <f t="shared" si="72"/>
        <v>2058</v>
      </c>
      <c r="B207" s="207">
        <f t="shared" ref="B207:N207" ca="1" si="93">IF($C86="","",IF($C86&lt;0,0,IF(AND($C86=1,start_time&lt;1),-(SUM(B160)*output_kgyear*$E86*percnt_var*start_time+SUM(B160)*output_kgyear*$E86*(1-start_time)),IF($C86&lt;=start_time,-SUM(B160)*output_kgyear*$E86*percnt_var,-SUM(B160)*output_kgyear*$E86))))</f>
        <v>-294344531.11678469</v>
      </c>
      <c r="C207" s="207">
        <f t="shared" ca="1" si="93"/>
        <v>0</v>
      </c>
      <c r="D207" s="207">
        <f t="shared" ca="1" si="93"/>
        <v>0</v>
      </c>
      <c r="E207" s="234">
        <f t="shared" ca="1" si="93"/>
        <v>0</v>
      </c>
      <c r="F207" s="206">
        <f t="shared" ca="1" si="93"/>
        <v>-13223179.08208088</v>
      </c>
      <c r="G207" s="207">
        <f t="shared" ca="1" si="93"/>
        <v>0</v>
      </c>
      <c r="H207" s="207">
        <f t="shared" ca="1" si="93"/>
        <v>0</v>
      </c>
      <c r="I207" s="234">
        <f t="shared" ca="1" si="93"/>
        <v>0</v>
      </c>
      <c r="J207" s="601">
        <f t="shared" ca="1" si="93"/>
        <v>-1170126.22296004</v>
      </c>
      <c r="K207" s="232">
        <f t="shared" ca="1" si="93"/>
        <v>0</v>
      </c>
      <c r="L207" s="232">
        <f t="shared" ca="1" si="93"/>
        <v>0</v>
      </c>
      <c r="M207" s="207">
        <f t="shared" ca="1" si="93"/>
        <v>0</v>
      </c>
      <c r="N207" s="235">
        <f t="shared" ca="1" si="93"/>
        <v>0</v>
      </c>
    </row>
    <row r="208" spans="1:14" x14ac:dyDescent="0.25">
      <c r="A208" s="205">
        <f t="shared" si="72"/>
        <v>2059</v>
      </c>
      <c r="B208" s="207">
        <f t="shared" ref="B208:N208" ca="1" si="94">IF($C87="","",IF($C87&lt;0,0,IF(AND($C87=1,start_time&lt;1),-(SUM(B161)*output_kgyear*$E87*percnt_var*start_time+SUM(B161)*output_kgyear*$E87*(1-start_time)),IF($C87&lt;=start_time,-SUM(B161)*output_kgyear*$E87*percnt_var,-SUM(B161)*output_kgyear*$E87))))</f>
        <v>-301546982.15846473</v>
      </c>
      <c r="C208" s="207">
        <f t="shared" ca="1" si="94"/>
        <v>0</v>
      </c>
      <c r="D208" s="207">
        <f t="shared" ca="1" si="94"/>
        <v>0</v>
      </c>
      <c r="E208" s="234">
        <f t="shared" ca="1" si="94"/>
        <v>0</v>
      </c>
      <c r="F208" s="206">
        <f t="shared" ca="1" si="94"/>
        <v>-13487836.070466004</v>
      </c>
      <c r="G208" s="207">
        <f t="shared" ca="1" si="94"/>
        <v>0</v>
      </c>
      <c r="H208" s="207">
        <f t="shared" ca="1" si="94"/>
        <v>0</v>
      </c>
      <c r="I208" s="234">
        <f t="shared" ca="1" si="94"/>
        <v>0</v>
      </c>
      <c r="J208" s="601">
        <f t="shared" ca="1" si="94"/>
        <v>-1193545.862085908</v>
      </c>
      <c r="K208" s="232">
        <f t="shared" ca="1" si="94"/>
        <v>0</v>
      </c>
      <c r="L208" s="232">
        <f t="shared" ca="1" si="94"/>
        <v>0</v>
      </c>
      <c r="M208" s="207">
        <f t="shared" ca="1" si="94"/>
        <v>0</v>
      </c>
      <c r="N208" s="235">
        <f t="shared" ca="1" si="94"/>
        <v>0</v>
      </c>
    </row>
    <row r="209" spans="1:14" x14ac:dyDescent="0.25">
      <c r="A209" s="205">
        <f t="shared" si="72"/>
        <v>2060</v>
      </c>
      <c r="B209" s="207">
        <f t="shared" ref="B209:N209" ca="1" si="95">IF($C88="","",IF($C88&lt;0,0,IF(AND($C88=1,start_time&lt;1),-(SUM(B162)*output_kgyear*$E88*percnt_var*start_time+SUM(B162)*output_kgyear*$E88*(1-start_time)),IF($C88&lt;=start_time,-SUM(B162)*output_kgyear*$E88*percnt_var,-SUM(B162)*output_kgyear*$E88))))</f>
        <v>-308925673.27095884</v>
      </c>
      <c r="C209" s="207">
        <f t="shared" ca="1" si="95"/>
        <v>0</v>
      </c>
      <c r="D209" s="207">
        <f t="shared" ca="1" si="95"/>
        <v>0</v>
      </c>
      <c r="E209" s="234">
        <f t="shared" ca="1" si="95"/>
        <v>0</v>
      </c>
      <c r="F209" s="206">
        <f t="shared" ca="1" si="95"/>
        <v>-13757790.069582531</v>
      </c>
      <c r="G209" s="207">
        <f t="shared" ca="1" si="95"/>
        <v>0</v>
      </c>
      <c r="H209" s="207">
        <f t="shared" ca="1" si="95"/>
        <v>0</v>
      </c>
      <c r="I209" s="234">
        <f t="shared" ca="1" si="95"/>
        <v>0</v>
      </c>
      <c r="J209" s="601">
        <f t="shared" ca="1" si="95"/>
        <v>-1217434.2365379517</v>
      </c>
      <c r="K209" s="232">
        <f t="shared" ca="1" si="95"/>
        <v>0</v>
      </c>
      <c r="L209" s="232">
        <f t="shared" ca="1" si="95"/>
        <v>0</v>
      </c>
      <c r="M209" s="207">
        <f t="shared" ca="1" si="95"/>
        <v>0</v>
      </c>
      <c r="N209" s="235">
        <f t="shared" ca="1" si="95"/>
        <v>0</v>
      </c>
    </row>
    <row r="210" spans="1:14" x14ac:dyDescent="0.25">
      <c r="A210" s="205">
        <f t="shared" si="72"/>
        <v>2061</v>
      </c>
      <c r="B210" s="207">
        <f t="shared" ref="B210:N210" ca="1" si="96">IF($C89="","",IF($C89&lt;0,0,IF(AND($C89=1,start_time&lt;1),-(SUM(B163)*output_kgyear*$E89*percnt_var*start_time+SUM(B163)*output_kgyear*$E89*(1-start_time)),IF($C89&lt;=start_time,-SUM(B163)*output_kgyear*$E89*percnt_var,-SUM(B163)*output_kgyear*$E89))))</f>
        <v>-316279891.43407196</v>
      </c>
      <c r="C210" s="207">
        <f t="shared" ca="1" si="96"/>
        <v>0</v>
      </c>
      <c r="D210" s="207">
        <f t="shared" ca="1" si="96"/>
        <v>0</v>
      </c>
      <c r="E210" s="234">
        <f t="shared" ca="1" si="96"/>
        <v>0</v>
      </c>
      <c r="F210" s="206">
        <f t="shared" ca="1" si="96"/>
        <v>-14025916.772714376</v>
      </c>
      <c r="G210" s="207">
        <f t="shared" ca="1" si="96"/>
        <v>0</v>
      </c>
      <c r="H210" s="207">
        <f t="shared" ca="1" si="96"/>
        <v>0</v>
      </c>
      <c r="I210" s="234">
        <f t="shared" ca="1" si="96"/>
        <v>0</v>
      </c>
      <c r="J210" s="601">
        <f t="shared" ca="1" si="96"/>
        <v>-1241160.912586343</v>
      </c>
      <c r="K210" s="232">
        <f t="shared" ca="1" si="96"/>
        <v>0</v>
      </c>
      <c r="L210" s="232">
        <f t="shared" ca="1" si="96"/>
        <v>0</v>
      </c>
      <c r="M210" s="207">
        <f t="shared" ca="1" si="96"/>
        <v>0</v>
      </c>
      <c r="N210" s="235">
        <f t="shared" ca="1" si="96"/>
        <v>0</v>
      </c>
    </row>
    <row r="211" spans="1:14" x14ac:dyDescent="0.25">
      <c r="A211" s="205">
        <f t="shared" si="72"/>
        <v>2062</v>
      </c>
      <c r="B211" s="207">
        <f t="shared" ref="B211:N211" ca="1" si="97">IF($C90="","",IF($C90&lt;0,0,IF(AND($C90=1,start_time&lt;1),-(SUM(B164)*output_kgyear*$E90*percnt_var*start_time+SUM(B164)*output_kgyear*$E90*(1-start_time)),IF($C90&lt;=start_time,-SUM(B164)*output_kgyear*$E90*percnt_var,-SUM(B164)*output_kgyear*$E90))))</f>
        <v>-323809182.53372031</v>
      </c>
      <c r="C211" s="207">
        <f t="shared" ca="1" si="97"/>
        <v>0</v>
      </c>
      <c r="D211" s="207">
        <f t="shared" ca="1" si="97"/>
        <v>0</v>
      </c>
      <c r="E211" s="234">
        <f t="shared" ca="1" si="97"/>
        <v>0</v>
      </c>
      <c r="F211" s="206">
        <f t="shared" ca="1" si="97"/>
        <v>-14299269.019234283</v>
      </c>
      <c r="G211" s="207">
        <f t="shared" ca="1" si="97"/>
        <v>0</v>
      </c>
      <c r="H211" s="207">
        <f t="shared" ca="1" si="97"/>
        <v>0</v>
      </c>
      <c r="I211" s="234">
        <f t="shared" ca="1" si="97"/>
        <v>0</v>
      </c>
      <c r="J211" s="601">
        <f t="shared" ca="1" si="97"/>
        <v>-1265349.9997772912</v>
      </c>
      <c r="K211" s="232">
        <f t="shared" ca="1" si="97"/>
        <v>0</v>
      </c>
      <c r="L211" s="232">
        <f t="shared" ca="1" si="97"/>
        <v>0</v>
      </c>
      <c r="M211" s="207">
        <f t="shared" ca="1" si="97"/>
        <v>0</v>
      </c>
      <c r="N211" s="235">
        <f t="shared" ca="1" si="97"/>
        <v>0</v>
      </c>
    </row>
    <row r="212" spans="1:14" x14ac:dyDescent="0.25">
      <c r="A212" s="205">
        <f t="shared" si="72"/>
        <v>2063</v>
      </c>
      <c r="B212" s="207">
        <f t="shared" ref="B212:N212" ca="1" si="98">IF($C91="","",IF($C91&lt;0,0,IF(AND($C91=1,start_time&lt;1),-(SUM(B165)*output_kgyear*$E91*percnt_var*start_time+SUM(B165)*output_kgyear*$E91*(1-start_time)),IF($C91&lt;=start_time,-SUM(B165)*output_kgyear*$E91*percnt_var,-SUM(B165)*output_kgyear*$E91))))</f>
        <v>-331517714.31859267</v>
      </c>
      <c r="C212" s="207">
        <f t="shared" ca="1" si="98"/>
        <v>0</v>
      </c>
      <c r="D212" s="207">
        <f t="shared" ca="1" si="98"/>
        <v>0</v>
      </c>
      <c r="E212" s="234">
        <f t="shared" ca="1" si="98"/>
        <v>0</v>
      </c>
      <c r="F212" s="206">
        <f t="shared" ca="1" si="98"/>
        <v>-14577948.650187466</v>
      </c>
      <c r="G212" s="207">
        <f t="shared" ca="1" si="98"/>
        <v>0</v>
      </c>
      <c r="H212" s="207">
        <f t="shared" ca="1" si="98"/>
        <v>0</v>
      </c>
      <c r="I212" s="234">
        <f t="shared" ca="1" si="98"/>
        <v>0</v>
      </c>
      <c r="J212" s="601">
        <f t="shared" ca="1" si="98"/>
        <v>-1290010.5100796162</v>
      </c>
      <c r="K212" s="232">
        <f t="shared" ca="1" si="98"/>
        <v>0</v>
      </c>
      <c r="L212" s="232">
        <f t="shared" ca="1" si="98"/>
        <v>0</v>
      </c>
      <c r="M212" s="207">
        <f t="shared" ca="1" si="98"/>
        <v>0</v>
      </c>
      <c r="N212" s="235">
        <f t="shared" ca="1" si="98"/>
        <v>0</v>
      </c>
    </row>
    <row r="213" spans="1:14" x14ac:dyDescent="0.25">
      <c r="A213" s="205">
        <f t="shared" si="72"/>
        <v>2064</v>
      </c>
      <c r="B213" s="207">
        <f t="shared" ref="B213:N213" ca="1" si="99">IF($C92="","",IF($C92&lt;0,0,IF(AND($C92=1,start_time&lt;1),-(SUM(B166)*output_kgyear*$E92*percnt_var*start_time+SUM(B166)*output_kgyear*$E92*(1-start_time)),IF($C92&lt;=start_time,-SUM(B166)*output_kgyear*$E92*percnt_var,-SUM(B166)*output_kgyear*$E92))))</f>
        <v>-339409753.75390726</v>
      </c>
      <c r="C213" s="207">
        <f t="shared" ca="1" si="99"/>
        <v>0</v>
      </c>
      <c r="D213" s="207">
        <f t="shared" ca="1" si="99"/>
        <v>0</v>
      </c>
      <c r="E213" s="234">
        <f t="shared" ca="1" si="99"/>
        <v>0</v>
      </c>
      <c r="F213" s="206">
        <f t="shared" ca="1" si="99"/>
        <v>-14862059.491407674</v>
      </c>
      <c r="G213" s="207">
        <f t="shared" ca="1" si="99"/>
        <v>0</v>
      </c>
      <c r="H213" s="207">
        <f t="shared" ca="1" si="99"/>
        <v>0</v>
      </c>
      <c r="I213" s="234">
        <f t="shared" ca="1" si="99"/>
        <v>0</v>
      </c>
      <c r="J213" s="601">
        <f t="shared" ca="1" si="99"/>
        <v>-1315151.6310971414</v>
      </c>
      <c r="K213" s="232">
        <f t="shared" ca="1" si="99"/>
        <v>0</v>
      </c>
      <c r="L213" s="232">
        <f t="shared" ca="1" si="99"/>
        <v>0</v>
      </c>
      <c r="M213" s="207">
        <f t="shared" ca="1" si="99"/>
        <v>0</v>
      </c>
      <c r="N213" s="235">
        <f t="shared" ca="1" si="99"/>
        <v>0</v>
      </c>
    </row>
    <row r="214" spans="1:14" x14ac:dyDescent="0.25">
      <c r="A214" s="205">
        <f t="shared" si="72"/>
        <v>2065</v>
      </c>
      <c r="B214" s="207">
        <f t="shared" ref="B214:N214" ca="1" si="100">IF($C93="","",IF($C93&lt;0,0,IF(AND($C93=1,start_time&lt;1),-(SUM(B167)*output_kgyear*$E93*percnt_var*start_time+SUM(B167)*output_kgyear*$E93*(1-start_time)),IF($C93&lt;=start_time,-SUM(B167)*output_kgyear*$E93*percnt_var,-SUM(B167)*output_kgyear*$E93))))</f>
        <v>-347489669.38333899</v>
      </c>
      <c r="C214" s="207">
        <f t="shared" ca="1" si="100"/>
        <v>0</v>
      </c>
      <c r="D214" s="207">
        <f t="shared" ca="1" si="100"/>
        <v>0</v>
      </c>
      <c r="E214" s="234">
        <f t="shared" ca="1" si="100"/>
        <v>0</v>
      </c>
      <c r="F214" s="206">
        <f t="shared" ca="1" si="100"/>
        <v>-15151707.392198866</v>
      </c>
      <c r="G214" s="207">
        <f t="shared" ca="1" si="100"/>
        <v>0</v>
      </c>
      <c r="H214" s="207">
        <f t="shared" ca="1" si="100"/>
        <v>0</v>
      </c>
      <c r="I214" s="234">
        <f t="shared" ca="1" si="100"/>
        <v>0</v>
      </c>
      <c r="J214" s="601">
        <f t="shared" ca="1" si="100"/>
        <v>-1340782.7294916562</v>
      </c>
      <c r="K214" s="232">
        <f t="shared" ca="1" si="100"/>
        <v>0</v>
      </c>
      <c r="L214" s="232">
        <f t="shared" ca="1" si="100"/>
        <v>0</v>
      </c>
      <c r="M214" s="207">
        <f t="shared" ca="1" si="100"/>
        <v>0</v>
      </c>
      <c r="N214" s="235">
        <f t="shared" ca="1" si="100"/>
        <v>0</v>
      </c>
    </row>
    <row r="215" spans="1:14" x14ac:dyDescent="0.25">
      <c r="A215" s="205">
        <f t="shared" si="72"/>
        <v>2066</v>
      </c>
      <c r="B215" s="207">
        <f t="shared" ref="B215:N215" ca="1" si="101">IF($C94="","",IF($C94&lt;0,0,IF(AND($C94=1,start_time&lt;1),-(SUM(B168)*output_kgyear*$E94*percnt_var*start_time+SUM(B168)*output_kgyear*$E94*(1-start_time)),IF($C94&lt;=start_time,-SUM(B168)*output_kgyear*$E94*percnt_var,-SUM(B168)*output_kgyear*$E94))))</f>
        <v>-355515206.42919075</v>
      </c>
      <c r="C215" s="207">
        <f t="shared" ca="1" si="101"/>
        <v>0</v>
      </c>
      <c r="D215" s="207">
        <f t="shared" ca="1" si="101"/>
        <v>0</v>
      </c>
      <c r="E215" s="234">
        <f t="shared" ca="1" si="101"/>
        <v>0</v>
      </c>
      <c r="F215" s="206">
        <f t="shared" ca="1" si="101"/>
        <v>-15446739.110498862</v>
      </c>
      <c r="G215" s="207">
        <f t="shared" ca="1" si="101"/>
        <v>0</v>
      </c>
      <c r="H215" s="207">
        <f t="shared" ca="1" si="101"/>
        <v>0</v>
      </c>
      <c r="I215" s="234">
        <f t="shared" ca="1" si="101"/>
        <v>0</v>
      </c>
      <c r="J215" s="601">
        <f t="shared" ca="1" si="101"/>
        <v>-1366890.2447907273</v>
      </c>
      <c r="K215" s="232">
        <f t="shared" ca="1" si="101"/>
        <v>0</v>
      </c>
      <c r="L215" s="232">
        <f t="shared" ca="1" si="101"/>
        <v>0</v>
      </c>
      <c r="M215" s="207">
        <f t="shared" ca="1" si="101"/>
        <v>0</v>
      </c>
      <c r="N215" s="235">
        <f t="shared" ca="1" si="101"/>
        <v>0</v>
      </c>
    </row>
    <row r="216" spans="1:14" x14ac:dyDescent="0.25">
      <c r="A216" s="205">
        <f t="shared" si="72"/>
        <v>2067</v>
      </c>
      <c r="B216" s="207">
        <f t="shared" ref="B216:N216" ca="1" si="102">IF($C95="","",IF($C95&lt;0,0,IF(AND($C95=1,start_time&lt;1),-(SUM(B169)*output_kgyear*$E95*percnt_var*start_time+SUM(B169)*output_kgyear*$E95*(1-start_time)),IF($C95&lt;=start_time,-SUM(B169)*output_kgyear*$E95*percnt_var,-SUM(B169)*output_kgyear*$E95))))</f>
        <v>-363726099.33033645</v>
      </c>
      <c r="C216" s="207">
        <f t="shared" ca="1" si="102"/>
        <v>0</v>
      </c>
      <c r="D216" s="207">
        <f t="shared" ca="1" si="102"/>
        <v>0</v>
      </c>
      <c r="E216" s="234">
        <f t="shared" ca="1" si="102"/>
        <v>0</v>
      </c>
      <c r="F216" s="206">
        <f t="shared" ca="1" si="102"/>
        <v>-15747515.641086336</v>
      </c>
      <c r="G216" s="207">
        <f t="shared" ca="1" si="102"/>
        <v>0</v>
      </c>
      <c r="H216" s="207">
        <f t="shared" ca="1" si="102"/>
        <v>0</v>
      </c>
      <c r="I216" s="234">
        <f t="shared" ca="1" si="102"/>
        <v>0</v>
      </c>
      <c r="J216" s="601">
        <f t="shared" ca="1" si="102"/>
        <v>-1393506.1216163144</v>
      </c>
      <c r="K216" s="232">
        <f t="shared" ca="1" si="102"/>
        <v>0</v>
      </c>
      <c r="L216" s="232">
        <f t="shared" ca="1" si="102"/>
        <v>0</v>
      </c>
      <c r="M216" s="207">
        <f t="shared" ca="1" si="102"/>
        <v>0</v>
      </c>
      <c r="N216" s="235">
        <f t="shared" ca="1" si="102"/>
        <v>0</v>
      </c>
    </row>
    <row r="217" spans="1:14" x14ac:dyDescent="0.25">
      <c r="A217" s="205">
        <f t="shared" si="72"/>
        <v>2068</v>
      </c>
      <c r="B217" s="207">
        <f t="shared" ref="B217:N217" ca="1" si="103">IF($C96="","",IF($C96&lt;0,0,IF(AND($C96=1,start_time&lt;1),-(SUM(B170)*output_kgyear*$E96*percnt_var*start_time+SUM(B170)*output_kgyear*$E96*(1-start_time)),IF($C96&lt;=start_time,-SUM(B170)*output_kgyear*$E96*percnt_var,-SUM(B170)*output_kgyear*$E96))))</f>
        <v>-372126629.02061188</v>
      </c>
      <c r="C217" s="207">
        <f t="shared" ca="1" si="103"/>
        <v>0</v>
      </c>
      <c r="D217" s="207">
        <f t="shared" ca="1" si="103"/>
        <v>0</v>
      </c>
      <c r="E217" s="234">
        <f t="shared" ca="1" si="103"/>
        <v>0</v>
      </c>
      <c r="F217" s="206">
        <f t="shared" ca="1" si="103"/>
        <v>-16054148.84606347</v>
      </c>
      <c r="G217" s="207">
        <f t="shared" ca="1" si="103"/>
        <v>0</v>
      </c>
      <c r="H217" s="207">
        <f t="shared" ca="1" si="103"/>
        <v>0</v>
      </c>
      <c r="I217" s="234">
        <f t="shared" ca="1" si="103"/>
        <v>0</v>
      </c>
      <c r="J217" s="601">
        <f t="shared" ca="1" si="103"/>
        <v>-1420640.2587059534</v>
      </c>
      <c r="K217" s="232">
        <f t="shared" ca="1" si="103"/>
        <v>0</v>
      </c>
      <c r="L217" s="232">
        <f t="shared" ca="1" si="103"/>
        <v>0</v>
      </c>
      <c r="M217" s="207">
        <f t="shared" ca="1" si="103"/>
        <v>0</v>
      </c>
      <c r="N217" s="235">
        <f t="shared" ca="1" si="103"/>
        <v>0</v>
      </c>
    </row>
    <row r="218" spans="1:14" x14ac:dyDescent="0.25">
      <c r="A218" s="205">
        <f t="shared" si="72"/>
        <v>2069</v>
      </c>
      <c r="B218" s="207">
        <f t="shared" ref="B218:N218" ca="1" si="104">IF($C97="","",IF($C97&lt;0,0,IF(AND($C97=1,start_time&lt;1),-(SUM(B171)*output_kgyear*$E97*percnt_var*start_time+SUM(B171)*output_kgyear*$E97*(1-start_time)),IF($C97&lt;=start_time,-SUM(B171)*output_kgyear*$E97*percnt_var,-SUM(B171)*output_kgyear*$E97))))</f>
        <v>-380721175.30526185</v>
      </c>
      <c r="C218" s="207">
        <f t="shared" ca="1" si="104"/>
        <v>0</v>
      </c>
      <c r="D218" s="207">
        <f t="shared" ca="1" si="104"/>
        <v>0</v>
      </c>
      <c r="E218" s="234">
        <f t="shared" ca="1" si="104"/>
        <v>0</v>
      </c>
      <c r="F218" s="206">
        <f t="shared" ca="1" si="104"/>
        <v>-16366752.765694112</v>
      </c>
      <c r="G218" s="207">
        <f t="shared" ca="1" si="104"/>
        <v>0</v>
      </c>
      <c r="H218" s="207">
        <f t="shared" ca="1" si="104"/>
        <v>0</v>
      </c>
      <c r="I218" s="234">
        <f t="shared" ca="1" si="104"/>
        <v>0</v>
      </c>
      <c r="J218" s="601">
        <f t="shared" ca="1" si="104"/>
        <v>-1448302.7475438754</v>
      </c>
      <c r="K218" s="232">
        <f t="shared" ca="1" si="104"/>
        <v>0</v>
      </c>
      <c r="L218" s="232">
        <f t="shared" ca="1" si="104"/>
        <v>0</v>
      </c>
      <c r="M218" s="207">
        <f t="shared" ca="1" si="104"/>
        <v>0</v>
      </c>
      <c r="N218" s="235">
        <f t="shared" ca="1" si="104"/>
        <v>0</v>
      </c>
    </row>
    <row r="219" spans="1:14" x14ac:dyDescent="0.25">
      <c r="A219" s="205">
        <f t="shared" si="72"/>
        <v>2070</v>
      </c>
      <c r="B219" s="207">
        <f t="shared" ref="B219:N219" ca="1" si="105">IF($C98="","",IF($C98&lt;0,0,IF(AND($C98=1,start_time&lt;1),-(SUM(B172)*output_kgyear*$E98*percnt_var*start_time+SUM(B172)*output_kgyear*$E98*(1-start_time)),IF($C98&lt;=start_time,-SUM(B172)*output_kgyear*$E98*percnt_var,-SUM(B172)*output_kgyear*$E98))))</f>
        <v>-389514219.14444989</v>
      </c>
      <c r="C219" s="207">
        <f t="shared" ca="1" si="105"/>
        <v>0</v>
      </c>
      <c r="D219" s="207">
        <f t="shared" ca="1" si="105"/>
        <v>0</v>
      </c>
      <c r="E219" s="234">
        <f t="shared" ca="1" si="105"/>
        <v>0</v>
      </c>
      <c r="F219" s="206">
        <f t="shared" ca="1" si="105"/>
        <v>-16685443.660816606</v>
      </c>
      <c r="G219" s="207">
        <f t="shared" ca="1" si="105"/>
        <v>0</v>
      </c>
      <c r="H219" s="207">
        <f t="shared" ca="1" si="105"/>
        <v>0</v>
      </c>
      <c r="I219" s="234">
        <f t="shared" ca="1" si="105"/>
        <v>0</v>
      </c>
      <c r="J219" s="601">
        <f t="shared" ca="1" si="105"/>
        <v>-1476503.8761141431</v>
      </c>
      <c r="K219" s="232">
        <f t="shared" ca="1" si="105"/>
        <v>0</v>
      </c>
      <c r="L219" s="232">
        <f t="shared" ca="1" si="105"/>
        <v>0</v>
      </c>
      <c r="M219" s="207">
        <f t="shared" ca="1" si="105"/>
        <v>0</v>
      </c>
      <c r="N219" s="235">
        <f t="shared" ca="1" si="105"/>
        <v>0</v>
      </c>
    </row>
    <row r="220" spans="1:14" x14ac:dyDescent="0.25">
      <c r="A220" s="205">
        <f t="shared" si="72"/>
        <v>2071</v>
      </c>
      <c r="B220" s="207">
        <f t="shared" ref="B220:N220" ca="1" si="106">IF($C99="","",IF($C99&lt;0,0,IF(AND($C99=1,start_time&lt;1),-(SUM(B173)*output_kgyear*$E99*percnt_var*start_time+SUM(B173)*output_kgyear*$E99*(1-start_time)),IF($C99&lt;=start_time,-SUM(B173)*output_kgyear*$E99*percnt_var,-SUM(B173)*output_kgyear*$E99))))</f>
        <v>-398232863.78173494</v>
      </c>
      <c r="C220" s="207">
        <f t="shared" ca="1" si="106"/>
        <v>0</v>
      </c>
      <c r="D220" s="207">
        <f t="shared" ca="1" si="106"/>
        <v>0</v>
      </c>
      <c r="E220" s="234">
        <f t="shared" ca="1" si="106"/>
        <v>0</v>
      </c>
      <c r="F220" s="206">
        <f t="shared" ca="1" si="106"/>
        <v>-17007604.549921162</v>
      </c>
      <c r="G220" s="207">
        <f t="shared" ca="1" si="106"/>
        <v>0</v>
      </c>
      <c r="H220" s="207">
        <f t="shared" ca="1" si="106"/>
        <v>0</v>
      </c>
      <c r="I220" s="234">
        <f t="shared" ca="1" si="106"/>
        <v>0</v>
      </c>
      <c r="J220" s="601">
        <f t="shared" ca="1" si="106"/>
        <v>-1505012.066316619</v>
      </c>
      <c r="K220" s="232">
        <f t="shared" ca="1" si="106"/>
        <v>0</v>
      </c>
      <c r="L220" s="232">
        <f t="shared" ca="1" si="106"/>
        <v>0</v>
      </c>
      <c r="M220" s="207">
        <f t="shared" ca="1" si="106"/>
        <v>0</v>
      </c>
      <c r="N220" s="235">
        <f t="shared" ca="1" si="106"/>
        <v>0</v>
      </c>
    </row>
    <row r="221" spans="1:14" x14ac:dyDescent="0.25">
      <c r="A221" s="205">
        <f t="shared" si="72"/>
        <v>2072</v>
      </c>
      <c r="B221" s="207">
        <f t="shared" ref="B221:N221" ca="1" si="107">IF($C100="","",IF($C100&lt;0,0,IF(AND($C100=1,start_time&lt;1),-(SUM(B174)*output_kgyear*$E100*percnt_var*start_time+SUM(B174)*output_kgyear*$E100*(1-start_time)),IF($C100&lt;=start_time,-SUM(B174)*output_kgyear*$E100*percnt_var,-SUM(B174)*output_kgyear*$E100))))</f>
        <v>-407146661.15177059</v>
      </c>
      <c r="C221" s="207">
        <f t="shared" ca="1" si="107"/>
        <v>0</v>
      </c>
      <c r="D221" s="207">
        <f t="shared" ca="1" si="107"/>
        <v>0</v>
      </c>
      <c r="E221" s="234">
        <f t="shared" ca="1" si="107"/>
        <v>0</v>
      </c>
      <c r="F221" s="206">
        <f t="shared" ca="1" si="107"/>
        <v>-17335985.689477459</v>
      </c>
      <c r="G221" s="207">
        <f t="shared" ca="1" si="107"/>
        <v>0</v>
      </c>
      <c r="H221" s="207">
        <f t="shared" ca="1" si="107"/>
        <v>0</v>
      </c>
      <c r="I221" s="234">
        <f t="shared" ca="1" si="107"/>
        <v>0</v>
      </c>
      <c r="J221" s="601">
        <f t="shared" ca="1" si="107"/>
        <v>-1534070.6898242615</v>
      </c>
      <c r="K221" s="232">
        <f t="shared" ca="1" si="107"/>
        <v>0</v>
      </c>
      <c r="L221" s="232">
        <f t="shared" ca="1" si="107"/>
        <v>0</v>
      </c>
      <c r="M221" s="207">
        <f t="shared" ca="1" si="107"/>
        <v>0</v>
      </c>
      <c r="N221" s="235">
        <f t="shared" ca="1" si="107"/>
        <v>0</v>
      </c>
    </row>
    <row r="222" spans="1:14" x14ac:dyDescent="0.25">
      <c r="A222" s="205">
        <f t="shared" si="72"/>
        <v>2073</v>
      </c>
      <c r="B222" s="207">
        <f t="shared" ref="B222:N222" ca="1" si="108">IF($C101="","",IF($C101&lt;0,0,IF(AND($C101=1,start_time&lt;1),-(SUM(B175)*output_kgyear*$E101*percnt_var*start_time+SUM(B175)*output_kgyear*$E101*(1-start_time)),IF($C101&lt;=start_time,-SUM(B175)*output_kgyear*$E101*percnt_var,-SUM(B175)*output_kgyear*$E101))))</f>
        <v>-416259979.43225926</v>
      </c>
      <c r="C222" s="207">
        <f t="shared" ca="1" si="108"/>
        <v>0</v>
      </c>
      <c r="D222" s="207">
        <f t="shared" ca="1" si="108"/>
        <v>0</v>
      </c>
      <c r="E222" s="234">
        <f t="shared" ca="1" si="108"/>
        <v>0</v>
      </c>
      <c r="F222" s="206">
        <f t="shared" ca="1" si="108"/>
        <v>-17670707.179463454</v>
      </c>
      <c r="G222" s="207">
        <f t="shared" ca="1" si="108"/>
        <v>0</v>
      </c>
      <c r="H222" s="207">
        <f t="shared" ca="1" si="108"/>
        <v>0</v>
      </c>
      <c r="I222" s="234">
        <f t="shared" ca="1" si="108"/>
        <v>0</v>
      </c>
      <c r="J222" s="601">
        <f t="shared" ca="1" si="108"/>
        <v>-1563690.3743486607</v>
      </c>
      <c r="K222" s="232">
        <f t="shared" ca="1" si="108"/>
        <v>0</v>
      </c>
      <c r="L222" s="232">
        <f t="shared" ca="1" si="108"/>
        <v>0</v>
      </c>
      <c r="M222" s="207">
        <f t="shared" ca="1" si="108"/>
        <v>0</v>
      </c>
      <c r="N222" s="235">
        <f t="shared" ca="1" si="108"/>
        <v>0</v>
      </c>
    </row>
    <row r="223" spans="1:14" x14ac:dyDescent="0.25">
      <c r="A223" s="205">
        <f t="shared" si="72"/>
        <v>2074</v>
      </c>
      <c r="B223" s="207">
        <f t="shared" ref="B223:N223" ca="1" si="109">IF($C102="","",IF($C102&lt;0,0,IF(AND($C102=1,start_time&lt;1),-(SUM(B176)*output_kgyear*$E102*percnt_var*start_time+SUM(B176)*output_kgyear*$E102*(1-start_time)),IF($C102&lt;=start_time,-SUM(B176)*output_kgyear*$E102*percnt_var,-SUM(B176)*output_kgyear*$E102))))</f>
        <v>-425577284.5754832</v>
      </c>
      <c r="C223" s="207">
        <f t="shared" ca="1" si="109"/>
        <v>0</v>
      </c>
      <c r="D223" s="207">
        <f t="shared" ca="1" si="109"/>
        <v>0</v>
      </c>
      <c r="E223" s="234">
        <f t="shared" ca="1" si="109"/>
        <v>0</v>
      </c>
      <c r="F223" s="206">
        <f t="shared" ca="1" si="109"/>
        <v>-18011891.438735563</v>
      </c>
      <c r="G223" s="207">
        <f t="shared" ca="1" si="109"/>
        <v>0</v>
      </c>
      <c r="H223" s="207">
        <f t="shared" ca="1" si="109"/>
        <v>0</v>
      </c>
      <c r="I223" s="234">
        <f t="shared" ca="1" si="109"/>
        <v>0</v>
      </c>
      <c r="J223" s="601">
        <f t="shared" ca="1" si="109"/>
        <v>-1593881.9528002071</v>
      </c>
      <c r="K223" s="232">
        <f t="shared" ca="1" si="109"/>
        <v>0</v>
      </c>
      <c r="L223" s="232">
        <f t="shared" ca="1" si="109"/>
        <v>0</v>
      </c>
      <c r="M223" s="207">
        <f t="shared" ca="1" si="109"/>
        <v>0</v>
      </c>
      <c r="N223" s="235">
        <f t="shared" ca="1" si="109"/>
        <v>0</v>
      </c>
    </row>
    <row r="224" spans="1:14" x14ac:dyDescent="0.25">
      <c r="A224" s="205">
        <f t="shared" si="72"/>
        <v>2075</v>
      </c>
      <c r="B224" s="207">
        <f t="shared" ref="B224:N224" ca="1" si="110">IF($C103="","",IF($C103&lt;0,0,IF(AND($C103=1,start_time&lt;1),-(SUM(B177)*output_kgyear*$E103*percnt_var*start_time+SUM(B177)*output_kgyear*$E103*(1-start_time)),IF($C103&lt;=start_time,-SUM(B177)*output_kgyear*$E103*percnt_var,-SUM(B177)*output_kgyear*$E103))))</f>
        <v>-435103142.49683005</v>
      </c>
      <c r="C224" s="207">
        <f t="shared" ca="1" si="110"/>
        <v>0</v>
      </c>
      <c r="D224" s="207">
        <f t="shared" ca="1" si="110"/>
        <v>0</v>
      </c>
      <c r="E224" s="234">
        <f t="shared" ca="1" si="110"/>
        <v>0</v>
      </c>
      <c r="F224" s="206">
        <f t="shared" ca="1" si="110"/>
        <v>-18359663.249801319</v>
      </c>
      <c r="G224" s="207">
        <f t="shared" ca="1" si="110"/>
        <v>0</v>
      </c>
      <c r="H224" s="207">
        <f t="shared" ca="1" si="110"/>
        <v>0</v>
      </c>
      <c r="I224" s="234">
        <f t="shared" ca="1" si="110"/>
        <v>0</v>
      </c>
      <c r="J224" s="601">
        <f t="shared" ca="1" si="110"/>
        <v>-1624656.4672500489</v>
      </c>
      <c r="K224" s="232">
        <f t="shared" ca="1" si="110"/>
        <v>0</v>
      </c>
      <c r="L224" s="232">
        <f t="shared" ca="1" si="110"/>
        <v>0</v>
      </c>
      <c r="M224" s="207">
        <f t="shared" ca="1" si="110"/>
        <v>0</v>
      </c>
      <c r="N224" s="235">
        <f t="shared" ca="1" si="110"/>
        <v>0</v>
      </c>
    </row>
    <row r="225" spans="1:14" x14ac:dyDescent="0.25">
      <c r="A225" s="205">
        <f t="shared" si="72"/>
        <v>2076</v>
      </c>
      <c r="B225" s="207">
        <f t="shared" ref="B225:N225" ca="1" si="111">IF($C104="","",IF($C104&lt;0,0,IF(AND($C104=1,start_time&lt;1),-(SUM(B178)*output_kgyear*$E104*percnt_var*start_time+SUM(B178)*output_kgyear*$E104*(1-start_time)),IF($C104&lt;=start_time,-SUM(B178)*output_kgyear*$E104*percnt_var,-SUM(B178)*output_kgyear*$E104))))</f>
        <v>-444316222.18649733</v>
      </c>
      <c r="C225" s="207">
        <f t="shared" ca="1" si="111"/>
        <v>0</v>
      </c>
      <c r="D225" s="207">
        <f t="shared" ca="1" si="111"/>
        <v>0</v>
      </c>
      <c r="E225" s="234">
        <f t="shared" ca="1" si="111"/>
        <v>0</v>
      </c>
      <c r="F225" s="206">
        <f t="shared" ca="1" si="111"/>
        <v>-18706381.064320039</v>
      </c>
      <c r="G225" s="207">
        <f t="shared" ca="1" si="111"/>
        <v>0</v>
      </c>
      <c r="H225" s="207">
        <f t="shared" ca="1" si="111"/>
        <v>0</v>
      </c>
      <c r="I225" s="234">
        <f t="shared" ca="1" si="111"/>
        <v>0</v>
      </c>
      <c r="J225" s="601">
        <f t="shared" ca="1" si="111"/>
        <v>-1655337.7129790378</v>
      </c>
      <c r="K225" s="232">
        <f t="shared" ca="1" si="111"/>
        <v>0</v>
      </c>
      <c r="L225" s="232">
        <f t="shared" ca="1" si="111"/>
        <v>0</v>
      </c>
      <c r="M225" s="207">
        <f t="shared" ca="1" si="111"/>
        <v>0</v>
      </c>
      <c r="N225" s="235">
        <f t="shared" ca="1" si="111"/>
        <v>0</v>
      </c>
    </row>
    <row r="226" spans="1:14" x14ac:dyDescent="0.25">
      <c r="A226" s="205">
        <f t="shared" si="72"/>
        <v>2077</v>
      </c>
      <c r="B226" s="207">
        <f t="shared" ref="B226:N226" ca="1" si="112">IF($C105="","",IF($C105&lt;0,0,IF(AND($C105=1,start_time&lt;1),-(SUM(B179)*output_kgyear*$E105*percnt_var*start_time+SUM(B179)*output_kgyear*$E105*(1-start_time)),IF($C105&lt;=start_time,-SUM(B179)*output_kgyear*$E105*percnt_var,-SUM(B179)*output_kgyear*$E105))))</f>
        <v>-453724383.9821707</v>
      </c>
      <c r="C226" s="207">
        <f t="shared" ca="1" si="112"/>
        <v>0</v>
      </c>
      <c r="D226" s="207">
        <f t="shared" ca="1" si="112"/>
        <v>0</v>
      </c>
      <c r="E226" s="234">
        <f t="shared" ca="1" si="112"/>
        <v>0</v>
      </c>
      <c r="F226" s="206">
        <f t="shared" ca="1" si="112"/>
        <v>-19059646.561182868</v>
      </c>
      <c r="G226" s="207">
        <f t="shared" ca="1" si="112"/>
        <v>0</v>
      </c>
      <c r="H226" s="207">
        <f t="shared" ca="1" si="112"/>
        <v>0</v>
      </c>
      <c r="I226" s="234">
        <f t="shared" ca="1" si="112"/>
        <v>0</v>
      </c>
      <c r="J226" s="601">
        <f t="shared" ca="1" si="112"/>
        <v>-1686598.3666373075</v>
      </c>
      <c r="K226" s="232">
        <f t="shared" ca="1" si="112"/>
        <v>0</v>
      </c>
      <c r="L226" s="232">
        <f t="shared" ca="1" si="112"/>
        <v>0</v>
      </c>
      <c r="M226" s="207">
        <f t="shared" ca="1" si="112"/>
        <v>0</v>
      </c>
      <c r="N226" s="235">
        <f t="shared" ca="1" si="112"/>
        <v>0</v>
      </c>
    </row>
    <row r="227" spans="1:14" x14ac:dyDescent="0.25">
      <c r="A227" s="205">
        <f t="shared" si="72"/>
        <v>2078</v>
      </c>
      <c r="B227" s="207">
        <f t="shared" ref="B227:N227" ca="1" si="113">IF($C106="","",IF($C106&lt;0,0,IF(AND($C106=1,start_time&lt;1),-(SUM(B180)*output_kgyear*$E106*percnt_var*start_time+SUM(B180)*output_kgyear*$E106*(1-start_time)),IF($C106&lt;=start_time,-SUM(B180)*output_kgyear*$E106*percnt_var,-SUM(B180)*output_kgyear*$E106))))</f>
        <v>-463331758.64461291</v>
      </c>
      <c r="C227" s="207">
        <f t="shared" ca="1" si="113"/>
        <v>0</v>
      </c>
      <c r="D227" s="207">
        <f t="shared" ca="1" si="113"/>
        <v>0</v>
      </c>
      <c r="E227" s="234">
        <f t="shared" ca="1" si="113"/>
        <v>0</v>
      </c>
      <c r="F227" s="206">
        <f t="shared" ca="1" si="113"/>
        <v>-19419583.391792443</v>
      </c>
      <c r="G227" s="207">
        <f t="shared" ca="1" si="113"/>
        <v>0</v>
      </c>
      <c r="H227" s="207">
        <f t="shared" ca="1" si="113"/>
        <v>0</v>
      </c>
      <c r="I227" s="234">
        <f t="shared" ca="1" si="113"/>
        <v>0</v>
      </c>
      <c r="J227" s="601">
        <f t="shared" ca="1" si="113"/>
        <v>-1718449.3702039258</v>
      </c>
      <c r="K227" s="232">
        <f t="shared" ca="1" si="113"/>
        <v>0</v>
      </c>
      <c r="L227" s="232">
        <f t="shared" ca="1" si="113"/>
        <v>0</v>
      </c>
      <c r="M227" s="207">
        <f t="shared" ca="1" si="113"/>
        <v>0</v>
      </c>
      <c r="N227" s="235">
        <f t="shared" ca="1" si="113"/>
        <v>0</v>
      </c>
    </row>
    <row r="228" spans="1:14" x14ac:dyDescent="0.25">
      <c r="A228" s="205">
        <f t="shared" si="72"/>
        <v>2079</v>
      </c>
      <c r="B228" s="207">
        <f t="shared" ref="B228:N228" ca="1" si="114">IF($C107="","",IF($C107&lt;0,0,IF(AND($C107=1,start_time&lt;1),-(SUM(B181)*output_kgyear*$E107*percnt_var*start_time+SUM(B181)*output_kgyear*$E107*(1-start_time)),IF($C107&lt;=start_time,-SUM(B181)*output_kgyear*$E107*percnt_var,-SUM(B181)*output_kgyear*$E107))))</f>
        <v>-473142564.40126789</v>
      </c>
      <c r="C228" s="207">
        <f t="shared" ca="1" si="114"/>
        <v>0</v>
      </c>
      <c r="D228" s="207">
        <f t="shared" ca="1" si="114"/>
        <v>0</v>
      </c>
      <c r="E228" s="234">
        <f t="shared" ca="1" si="114"/>
        <v>0</v>
      </c>
      <c r="F228" s="206">
        <f t="shared" ca="1" si="114"/>
        <v>-19786317.542678311</v>
      </c>
      <c r="G228" s="207">
        <f t="shared" ca="1" si="114"/>
        <v>0</v>
      </c>
      <c r="H228" s="207">
        <f t="shared" ca="1" si="114"/>
        <v>0</v>
      </c>
      <c r="I228" s="234">
        <f t="shared" ca="1" si="114"/>
        <v>0</v>
      </c>
      <c r="J228" s="601">
        <f t="shared" ca="1" si="114"/>
        <v>-1750901.8722945957</v>
      </c>
      <c r="K228" s="232">
        <f t="shared" ca="1" si="114"/>
        <v>0</v>
      </c>
      <c r="L228" s="232">
        <f t="shared" ca="1" si="114"/>
        <v>0</v>
      </c>
      <c r="M228" s="207">
        <f t="shared" ca="1" si="114"/>
        <v>0</v>
      </c>
      <c r="N228" s="235">
        <f t="shared" ca="1" si="114"/>
        <v>0</v>
      </c>
    </row>
    <row r="229" spans="1:14" x14ac:dyDescent="0.25">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601" t="str">
        <f t="shared" si="115"/>
        <v/>
      </c>
      <c r="K229" s="232" t="str">
        <f t="shared" si="115"/>
        <v/>
      </c>
      <c r="L229" s="232" t="str">
        <f t="shared" si="115"/>
        <v/>
      </c>
      <c r="M229" s="207" t="str">
        <f t="shared" si="115"/>
        <v/>
      </c>
      <c r="N229" s="235" t="str">
        <f t="shared" si="115"/>
        <v/>
      </c>
    </row>
    <row r="231" spans="1:14" x14ac:dyDescent="0.25">
      <c r="A231" s="207" t="s">
        <v>1190</v>
      </c>
      <c r="B231" s="207">
        <f ca="1">+B186+NPV($X$59,B187:B228)</f>
        <v>-1874809995.9021988</v>
      </c>
      <c r="C231" s="207">
        <f t="shared" ref="C231:N231" ca="1" si="116">+C186+NPV($X$59,C187:C228)</f>
        <v>0</v>
      </c>
      <c r="D231" s="207">
        <f t="shared" ca="1" si="116"/>
        <v>0</v>
      </c>
      <c r="E231" s="207">
        <f t="shared" ca="1" si="116"/>
        <v>0</v>
      </c>
      <c r="F231" s="207">
        <f t="shared" ca="1" si="116"/>
        <v>-87965653.181754097</v>
      </c>
      <c r="G231" s="207">
        <f t="shared" ca="1" si="116"/>
        <v>0</v>
      </c>
      <c r="H231" s="207">
        <f t="shared" ca="1" si="116"/>
        <v>0</v>
      </c>
      <c r="I231" s="207">
        <f t="shared" ca="1" si="116"/>
        <v>0</v>
      </c>
      <c r="J231" s="207">
        <f t="shared" ca="1" si="116"/>
        <v>-7784127.9217993412</v>
      </c>
      <c r="K231" s="207">
        <f t="shared" ca="1" si="116"/>
        <v>0</v>
      </c>
      <c r="L231" s="207">
        <f t="shared" ca="1" si="116"/>
        <v>0</v>
      </c>
      <c r="M231" s="207">
        <f t="shared" ca="1" si="116"/>
        <v>0</v>
      </c>
      <c r="N231" s="207">
        <f t="shared" ca="1" si="116"/>
        <v>0</v>
      </c>
    </row>
    <row r="232" spans="1:14" x14ac:dyDescent="0.25">
      <c r="A232" s="207" t="s">
        <v>1189</v>
      </c>
      <c r="B232" s="207">
        <f ca="1">-B231/$AE$116*(1+inflation_rate)^construct/INFLATION_FACTOR</f>
        <v>1.0310552346010684</v>
      </c>
      <c r="C232" s="207">
        <f t="shared" ref="C232:N232" ca="1" si="117">-C231/$AE$116*(1+inflation_rate)^construct/INFLATION_FACTOR</f>
        <v>0</v>
      </c>
      <c r="D232" s="207">
        <f t="shared" ca="1" si="117"/>
        <v>0</v>
      </c>
      <c r="E232" s="207">
        <f t="shared" ca="1" si="117"/>
        <v>0</v>
      </c>
      <c r="F232" s="207">
        <f ca="1">-F231/$AE$116*(1+inflation_rate)^construct/INFLATION_FACTOR</f>
        <v>4.83768741239851E-2</v>
      </c>
      <c r="G232" s="207">
        <f t="shared" ca="1" si="117"/>
        <v>0</v>
      </c>
      <c r="H232" s="207">
        <f t="shared" ca="1" si="117"/>
        <v>0</v>
      </c>
      <c r="I232" s="207">
        <f t="shared" ca="1" si="117"/>
        <v>0</v>
      </c>
      <c r="J232" s="207">
        <f t="shared" ca="1" si="117"/>
        <v>4.280895588415789E-3</v>
      </c>
      <c r="K232" s="207">
        <f t="shared" ca="1" si="117"/>
        <v>0</v>
      </c>
      <c r="L232" s="207">
        <f t="shared" ca="1" si="117"/>
        <v>0</v>
      </c>
      <c r="M232" s="207">
        <f t="shared" ca="1" si="117"/>
        <v>0</v>
      </c>
      <c r="N232" s="207">
        <f t="shared" ca="1" si="117"/>
        <v>0</v>
      </c>
    </row>
    <row r="233" spans="1:14" x14ac:dyDescent="0.25">
      <c r="A233" s="207" t="s">
        <v>1191</v>
      </c>
      <c r="B233" s="207">
        <f ca="1">IF(B132&gt;0,B232/B133*(1+inflation_rate)^construct,"")</f>
        <v>7.0022406148925311</v>
      </c>
      <c r="C233" s="207" t="str">
        <f t="shared" ref="C233:N233" si="118">IF(C132&gt;0,C232/C133*(1+inflation_rate)^construct,"")</f>
        <v/>
      </c>
      <c r="D233" s="207" t="str">
        <f t="shared" si="118"/>
        <v/>
      </c>
      <c r="E233" s="207" t="str">
        <f t="shared" si="118"/>
        <v/>
      </c>
      <c r="F233" s="207">
        <f t="shared" ca="1" si="118"/>
        <v>8.5311799867846899E-2</v>
      </c>
      <c r="G233" s="207" t="str">
        <f t="shared" si="118"/>
        <v/>
      </c>
      <c r="H233" s="207" t="str">
        <f t="shared" si="118"/>
        <v/>
      </c>
      <c r="I233" s="207" t="str">
        <f t="shared" si="118"/>
        <v/>
      </c>
      <c r="J233" s="207">
        <f t="shared" ca="1" si="118"/>
        <v>8.5311799867846927E-2</v>
      </c>
      <c r="K233" s="207" t="str">
        <f t="shared" si="118"/>
        <v/>
      </c>
      <c r="L233" s="207" t="str">
        <f t="shared" si="118"/>
        <v/>
      </c>
      <c r="M233" s="207" t="str">
        <f t="shared" si="118"/>
        <v/>
      </c>
      <c r="N233" s="207" t="str">
        <f t="shared" si="118"/>
        <v/>
      </c>
    </row>
    <row r="279" spans="1:5" x14ac:dyDescent="0.25">
      <c r="A279" s="53" t="s">
        <v>193</v>
      </c>
    </row>
    <row r="280" spans="1:5" x14ac:dyDescent="0.25">
      <c r="A280" s="53" t="s">
        <v>1052</v>
      </c>
      <c r="B280" s="53" t="s">
        <v>637</v>
      </c>
      <c r="C280" s="53" t="s">
        <v>194</v>
      </c>
      <c r="D280" s="53" t="s">
        <v>195</v>
      </c>
      <c r="E280" s="53" t="s">
        <v>196</v>
      </c>
    </row>
    <row r="281" spans="1:5" x14ac:dyDescent="0.25">
      <c r="A281" s="53" t="str">
        <f>'HyARC Physical Property Data'!A76</f>
        <v>Commercial Electricity</v>
      </c>
      <c r="B281" s="53">
        <f ca="1">VLOOKUP(A281,MASTER_PROPERTY_TABLE,9,FALSE)</f>
        <v>3.5999999999999995E-3</v>
      </c>
      <c r="C281" s="53">
        <f ca="1">MATCH(startup_year,Feedstock_Year,0)</f>
        <v>44</v>
      </c>
      <c r="D281" s="53">
        <f ca="1">VLOOKUP(A281,FEEDPRICETABLE,C281,FALSE)</f>
        <v>31.985796962436115</v>
      </c>
      <c r="E281" s="53">
        <f ca="1">B281*D281</f>
        <v>0.11514886906477</v>
      </c>
    </row>
    <row r="282" spans="1:5" x14ac:dyDescent="0.25">
      <c r="A282" s="53" t="str">
        <f>'HyARC Physical Property Data'!A77</f>
        <v>Industrial Electricity</v>
      </c>
      <c r="B282" s="53">
        <f ca="1">VLOOKUP(A282,MASTER_PROPERTY_TABLE,9,FALSE)</f>
        <v>3.5999999999999995E-3</v>
      </c>
      <c r="C282" s="53">
        <f ca="1">MATCH(startup_year,Feedstock_Year,0)+2</f>
        <v>46</v>
      </c>
      <c r="D282" s="53">
        <f ca="1">VLOOKUP(A282,FEEDPRICETABLE,C282,FALSE)</f>
        <v>21.516251270074765</v>
      </c>
      <c r="E282" s="53">
        <f ca="1">B282*D282</f>
        <v>7.7458504572269146E-2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zoomScale="55" zoomScaleNormal="55" workbookViewId="0">
      <pane xSplit="1" ySplit="6" topLeftCell="B7" activePane="bottomRight" state="frozen"/>
      <selection pane="topRight" activeCell="B1" sqref="B1"/>
      <selection pane="bottomLeft" activeCell="A7" sqref="A7"/>
      <selection pane="bottomRight" activeCell="A142" sqref="A142:AF161"/>
    </sheetView>
  </sheetViews>
  <sheetFormatPr defaultRowHeight="12.5" x14ac:dyDescent="0.25"/>
  <cols>
    <col min="1" max="1" width="30.26953125" customWidth="1"/>
    <col min="2" max="2" width="18.81640625" customWidth="1"/>
    <col min="3" max="3" width="11.26953125" customWidth="1"/>
    <col min="5" max="5" width="12.7265625" customWidth="1"/>
    <col min="6" max="6" width="12.453125" customWidth="1"/>
    <col min="7" max="7" width="11.7265625" customWidth="1"/>
  </cols>
  <sheetData>
    <row r="3" spans="1:104" ht="13.5" thickBot="1" x14ac:dyDescent="0.35">
      <c r="BW3" s="1398" t="s">
        <v>1293</v>
      </c>
      <c r="BX3" s="1398"/>
      <c r="BY3" s="1398"/>
      <c r="BZ3" s="1398"/>
      <c r="CA3" s="1398"/>
      <c r="CB3" s="1398"/>
      <c r="CC3" s="1398"/>
      <c r="CD3" s="1398"/>
    </row>
    <row r="4" spans="1:104" ht="13.5" thickTop="1" x14ac:dyDescent="0.3">
      <c r="A4" s="867" t="s">
        <v>1117</v>
      </c>
      <c r="B4" s="868" t="str">
        <f>"Prices are in $(" &amp; ref_year&amp;")/GJ LHV"</f>
        <v>Prices are in $(2016)/GJ LHV</v>
      </c>
      <c r="C4" s="869"/>
      <c r="D4" s="869"/>
      <c r="E4" s="869"/>
      <c r="F4" s="869"/>
      <c r="G4" s="869"/>
      <c r="H4" s="869"/>
      <c r="I4" s="869"/>
      <c r="J4" s="869"/>
      <c r="K4" s="869"/>
      <c r="L4" s="869"/>
      <c r="M4" s="869"/>
      <c r="N4" s="869"/>
      <c r="O4" s="869"/>
      <c r="P4" s="869"/>
      <c r="Q4" s="869"/>
      <c r="R4" s="869"/>
      <c r="S4" s="869"/>
      <c r="T4" s="869"/>
      <c r="U4" s="869"/>
      <c r="V4" s="869"/>
      <c r="W4" s="869"/>
      <c r="X4" s="869"/>
      <c r="Y4" s="869"/>
      <c r="Z4" s="869"/>
      <c r="AA4" s="869"/>
      <c r="AB4" s="869"/>
      <c r="AC4" s="869"/>
      <c r="AD4" s="869"/>
      <c r="AE4" s="869"/>
      <c r="AF4" s="869"/>
      <c r="AG4" s="869"/>
      <c r="AH4" s="882" t="s">
        <v>772</v>
      </c>
      <c r="AI4" s="883"/>
      <c r="AJ4" s="883"/>
      <c r="AK4" s="883"/>
      <c r="AL4" s="883"/>
      <c r="AM4" s="883"/>
      <c r="AN4" s="883"/>
      <c r="AO4" s="883"/>
      <c r="AP4" s="883"/>
      <c r="AQ4" s="883"/>
      <c r="AR4" s="883"/>
      <c r="AS4" s="883"/>
      <c r="AT4" s="883"/>
      <c r="AU4" s="883"/>
      <c r="AV4" s="883"/>
      <c r="AW4" s="883"/>
      <c r="AX4" s="883"/>
      <c r="AY4" s="883"/>
      <c r="AZ4" s="883"/>
      <c r="BA4" s="883"/>
      <c r="BB4" s="883"/>
      <c r="BC4" s="883"/>
      <c r="BD4" s="883"/>
      <c r="BE4" s="883"/>
      <c r="BF4" s="883"/>
      <c r="BG4" s="883"/>
      <c r="BH4" s="883"/>
      <c r="BI4" s="883"/>
      <c r="BJ4" s="883"/>
      <c r="BK4" s="883"/>
      <c r="BL4" s="883"/>
      <c r="BM4" s="883"/>
      <c r="BN4" s="883"/>
      <c r="BO4" s="883"/>
      <c r="BP4" s="883"/>
      <c r="BQ4" s="883"/>
      <c r="BR4" s="883"/>
      <c r="BS4" s="883"/>
      <c r="BT4" s="883"/>
      <c r="BU4" s="883"/>
      <c r="BV4" s="884"/>
    </row>
    <row r="5" spans="1:104" ht="39.5" thickBot="1" x14ac:dyDescent="0.35">
      <c r="A5" s="887" t="s">
        <v>1084</v>
      </c>
      <c r="B5" s="888" t="s">
        <v>678</v>
      </c>
      <c r="C5" s="888" t="s">
        <v>679</v>
      </c>
      <c r="D5" s="888" t="s">
        <v>690</v>
      </c>
      <c r="E5" s="888" t="s">
        <v>691</v>
      </c>
      <c r="F5" s="889" t="s">
        <v>680</v>
      </c>
      <c r="G5" s="889" t="s">
        <v>692</v>
      </c>
      <c r="H5" s="889">
        <v>2004</v>
      </c>
      <c r="I5" s="889">
        <v>2005</v>
      </c>
      <c r="J5" s="889">
        <v>2006</v>
      </c>
      <c r="K5" s="889">
        <v>2007</v>
      </c>
      <c r="L5" s="889">
        <v>2008</v>
      </c>
      <c r="M5" s="889">
        <v>2009</v>
      </c>
      <c r="N5" s="889">
        <v>2010</v>
      </c>
      <c r="O5" s="889">
        <v>2011</v>
      </c>
      <c r="P5" s="889">
        <v>2012</v>
      </c>
      <c r="Q5" s="889">
        <v>2013</v>
      </c>
      <c r="R5" s="889">
        <v>2014</v>
      </c>
      <c r="S5" s="889">
        <v>2015</v>
      </c>
      <c r="T5" s="889">
        <v>2016</v>
      </c>
      <c r="U5" s="889">
        <v>2017</v>
      </c>
      <c r="V5" s="889">
        <v>2018</v>
      </c>
      <c r="W5" s="889">
        <v>2019</v>
      </c>
      <c r="X5" s="889">
        <v>2020</v>
      </c>
      <c r="Y5" s="889">
        <v>2021</v>
      </c>
      <c r="Z5" s="889">
        <v>2022</v>
      </c>
      <c r="AA5" s="889">
        <v>2023</v>
      </c>
      <c r="AB5" s="889">
        <v>2024</v>
      </c>
      <c r="AC5" s="889">
        <v>2025</v>
      </c>
      <c r="AD5" s="889">
        <v>2026</v>
      </c>
      <c r="AE5" s="889">
        <v>2027</v>
      </c>
      <c r="AF5" s="889">
        <v>2028</v>
      </c>
      <c r="AG5" s="889">
        <v>2029</v>
      </c>
      <c r="AH5" s="889">
        <v>2030</v>
      </c>
      <c r="AI5" s="889">
        <v>2031</v>
      </c>
      <c r="AJ5" s="889">
        <v>2032</v>
      </c>
      <c r="AK5" s="889">
        <v>2033</v>
      </c>
      <c r="AL5" s="889">
        <v>2034</v>
      </c>
      <c r="AM5" s="889">
        <v>2035</v>
      </c>
      <c r="AN5" s="889">
        <v>2036</v>
      </c>
      <c r="AO5" s="889">
        <v>2037</v>
      </c>
      <c r="AP5" s="889">
        <v>2038</v>
      </c>
      <c r="AQ5" s="889">
        <v>2039</v>
      </c>
      <c r="AR5" s="889">
        <v>2040</v>
      </c>
      <c r="AS5" s="889">
        <v>2041</v>
      </c>
      <c r="AT5" s="889">
        <v>2042</v>
      </c>
      <c r="AU5" s="889">
        <v>2043</v>
      </c>
      <c r="AV5" s="889">
        <v>2044</v>
      </c>
      <c r="AW5" s="889">
        <v>2045</v>
      </c>
      <c r="AX5" s="889">
        <v>2046</v>
      </c>
      <c r="AY5" s="889">
        <v>2047</v>
      </c>
      <c r="AZ5" s="889">
        <v>2048</v>
      </c>
      <c r="BA5" s="889">
        <v>2049</v>
      </c>
      <c r="BB5" s="889">
        <v>2050</v>
      </c>
      <c r="BC5" s="889">
        <v>2051</v>
      </c>
      <c r="BD5" s="889">
        <v>2052</v>
      </c>
      <c r="BE5" s="889">
        <v>2053</v>
      </c>
      <c r="BF5" s="889">
        <v>2054</v>
      </c>
      <c r="BG5" s="889">
        <v>2055</v>
      </c>
      <c r="BH5" s="889">
        <v>2056</v>
      </c>
      <c r="BI5" s="889">
        <v>2057</v>
      </c>
      <c r="BJ5" s="889">
        <v>2058</v>
      </c>
      <c r="BK5" s="889">
        <v>2059</v>
      </c>
      <c r="BL5" s="889">
        <v>2060</v>
      </c>
      <c r="BM5" s="889">
        <v>2061</v>
      </c>
      <c r="BN5" s="889">
        <v>2062</v>
      </c>
      <c r="BO5" s="889">
        <v>2063</v>
      </c>
      <c r="BP5" s="889">
        <v>2064</v>
      </c>
      <c r="BQ5" s="889">
        <v>2065</v>
      </c>
      <c r="BR5" s="889">
        <v>2066</v>
      </c>
      <c r="BS5" s="889">
        <v>2067</v>
      </c>
      <c r="BT5" s="889">
        <v>2068</v>
      </c>
      <c r="BU5" s="889">
        <v>2069</v>
      </c>
      <c r="BV5" s="890">
        <v>2070</v>
      </c>
      <c r="BW5" s="1398">
        <f t="shared" ref="BW5" si="0">+BV5+1</f>
        <v>2071</v>
      </c>
      <c r="BX5" s="1398">
        <f t="shared" ref="BX5" si="1">+BW5+1</f>
        <v>2072</v>
      </c>
      <c r="BY5" s="1398">
        <f t="shared" ref="BY5" si="2">+BX5+1</f>
        <v>2073</v>
      </c>
      <c r="BZ5" s="1398">
        <f t="shared" ref="BZ5" si="3">+BY5+1</f>
        <v>2074</v>
      </c>
      <c r="CA5" s="1398">
        <f t="shared" ref="CA5" si="4">+BZ5+1</f>
        <v>2075</v>
      </c>
      <c r="CB5" s="1398">
        <f t="shared" ref="CB5" si="5">+CA5+1</f>
        <v>2076</v>
      </c>
      <c r="CC5" s="1398">
        <f t="shared" ref="CC5" si="6">+CB5+1</f>
        <v>2077</v>
      </c>
      <c r="CD5" s="1398">
        <f t="shared" ref="CD5" si="7">+CC5+1</f>
        <v>2078</v>
      </c>
      <c r="CE5" s="1398">
        <f t="shared" ref="CE5" si="8">+CD5+1</f>
        <v>2079</v>
      </c>
      <c r="CF5" s="1398">
        <f t="shared" ref="CF5" si="9">+CE5+1</f>
        <v>2080</v>
      </c>
      <c r="CG5" s="1398">
        <f t="shared" ref="CG5" si="10">+CF5+1</f>
        <v>2081</v>
      </c>
      <c r="CH5" s="1398">
        <f t="shared" ref="CH5" si="11">+CG5+1</f>
        <v>2082</v>
      </c>
      <c r="CI5" s="1398">
        <f t="shared" ref="CI5" si="12">+CH5+1</f>
        <v>2083</v>
      </c>
      <c r="CJ5" s="1398">
        <f t="shared" ref="CJ5" si="13">+CI5+1</f>
        <v>2084</v>
      </c>
      <c r="CK5" s="1398">
        <f t="shared" ref="CK5" si="14">+CJ5+1</f>
        <v>2085</v>
      </c>
      <c r="CL5" s="1398">
        <f t="shared" ref="CL5" si="15">+CK5+1</f>
        <v>2086</v>
      </c>
      <c r="CM5" s="1398">
        <f t="shared" ref="CM5" si="16">+CL5+1</f>
        <v>2087</v>
      </c>
      <c r="CN5" s="1398">
        <f t="shared" ref="CN5" si="17">+CM5+1</f>
        <v>2088</v>
      </c>
      <c r="CO5" s="1398">
        <f t="shared" ref="CO5" si="18">+CN5+1</f>
        <v>2089</v>
      </c>
      <c r="CP5" s="1398">
        <f t="shared" ref="CP5" si="19">+CO5+1</f>
        <v>2090</v>
      </c>
      <c r="CQ5" s="1398">
        <f t="shared" ref="CQ5" si="20">+CP5+1</f>
        <v>2091</v>
      </c>
      <c r="CR5" s="1398">
        <f t="shared" ref="CR5" si="21">+CQ5+1</f>
        <v>2092</v>
      </c>
      <c r="CS5" s="1398">
        <f t="shared" ref="CS5" si="22">+CR5+1</f>
        <v>2093</v>
      </c>
      <c r="CT5" s="1398">
        <f t="shared" ref="CT5" si="23">+CS5+1</f>
        <v>2094</v>
      </c>
      <c r="CU5" s="1398">
        <f t="shared" ref="CU5" si="24">+CT5+1</f>
        <v>2095</v>
      </c>
      <c r="CV5" s="1398">
        <f t="shared" ref="CV5" si="25">+CU5+1</f>
        <v>2096</v>
      </c>
      <c r="CW5" s="1398">
        <f t="shared" ref="CW5" si="26">+CV5+1</f>
        <v>2097</v>
      </c>
      <c r="CX5" s="1398">
        <f t="shared" ref="CX5" si="27">+CW5+1</f>
        <v>2098</v>
      </c>
      <c r="CY5" s="1398">
        <f t="shared" ref="CY5" si="28">+CX5+1</f>
        <v>2099</v>
      </c>
      <c r="CZ5" s="1398">
        <f t="shared" ref="CZ5" si="29">+CY5+1</f>
        <v>2100</v>
      </c>
    </row>
    <row r="6" spans="1:104" ht="13" thickBot="1" x14ac:dyDescent="0.3">
      <c r="A6" s="958" t="s">
        <v>1090</v>
      </c>
      <c r="B6" s="959"/>
      <c r="C6" s="959"/>
      <c r="D6" s="959"/>
      <c r="E6" s="959"/>
      <c r="F6" s="871"/>
      <c r="G6" s="959"/>
      <c r="H6" s="959"/>
      <c r="I6" s="959"/>
      <c r="J6" s="959"/>
      <c r="K6" s="959"/>
      <c r="L6" s="959"/>
      <c r="M6" s="959"/>
      <c r="N6" s="959"/>
      <c r="O6" s="959"/>
      <c r="P6" s="959"/>
      <c r="Q6" s="959"/>
      <c r="R6" s="959"/>
      <c r="S6" s="959"/>
      <c r="T6" s="959"/>
      <c r="U6" s="959"/>
      <c r="V6" s="959"/>
      <c r="W6" s="959"/>
      <c r="X6" s="959"/>
      <c r="Y6" s="959"/>
      <c r="Z6" s="959"/>
      <c r="AA6" s="959"/>
      <c r="AB6" s="959"/>
      <c r="AC6" s="959"/>
      <c r="AD6" s="959"/>
      <c r="AE6" s="959"/>
      <c r="AF6" s="959"/>
      <c r="AG6" s="959"/>
      <c r="AH6" s="959"/>
      <c r="AI6" s="959"/>
      <c r="AJ6" s="959"/>
      <c r="AK6" s="959"/>
      <c r="AL6" s="959"/>
      <c r="AM6" s="959"/>
      <c r="AN6" s="959"/>
      <c r="AO6" s="959"/>
      <c r="AP6" s="959"/>
      <c r="AQ6" s="959"/>
      <c r="AR6" s="959"/>
      <c r="AS6" s="959"/>
      <c r="AT6" s="959"/>
      <c r="AU6" s="959"/>
      <c r="AV6" s="959"/>
      <c r="AW6" s="959"/>
      <c r="AX6" s="959"/>
      <c r="AY6" s="959"/>
      <c r="AZ6" s="959"/>
      <c r="BA6" s="959"/>
      <c r="BC6" s="959"/>
      <c r="BD6" s="959"/>
      <c r="BE6" s="959"/>
      <c r="BF6" s="959"/>
      <c r="BG6" s="959"/>
      <c r="BH6" s="959"/>
      <c r="BI6" s="959"/>
      <c r="BJ6" s="959"/>
      <c r="BK6" s="959"/>
      <c r="BL6" s="959"/>
      <c r="BM6" s="959"/>
      <c r="BN6" s="959"/>
      <c r="BO6" s="959"/>
      <c r="BP6" s="959"/>
      <c r="BR6" s="959"/>
      <c r="BS6" s="959"/>
      <c r="BT6" s="959"/>
      <c r="BU6" s="959"/>
    </row>
    <row r="7" spans="1:104" x14ac:dyDescent="0.25">
      <c r="A7" s="978" t="str">
        <f>'HyARC Physical Property Data'!A73</f>
        <v>Residential Natural Gas</v>
      </c>
      <c r="B7" s="959">
        <v>2007</v>
      </c>
      <c r="C7" s="960">
        <f>VLOOKUP(ref_year,DeflatorTable,2,FALSE)/VLOOKUP(B7,DeflatorTable,2,FALSE)</f>
        <v>1.1446359956438654</v>
      </c>
      <c r="D7" s="978" t="str">
        <f>'HyARC Physical Property Data'!H73</f>
        <v>mmBtu</v>
      </c>
      <c r="E7" s="960" t="s">
        <v>1058</v>
      </c>
      <c r="F7" s="959">
        <f>'HyARC Physical Property Data'!$E$6</f>
        <v>47.141269049911173</v>
      </c>
      <c r="G7" s="959">
        <f>'HyARC Physical Property Data'!$I$6</f>
        <v>52.224661236371581</v>
      </c>
      <c r="H7" s="959">
        <f>((13.7000589370728/(mmBTU_to_GJ))*($C$7))*($G$7/$F$7)</f>
        <v>16.46689578317423</v>
      </c>
      <c r="I7" s="959">
        <f>((13.7000589370728/(mmBTU_to_GJ))*($C$7))*($G$7/$F$7)</f>
        <v>16.46689578317423</v>
      </c>
      <c r="J7" s="959">
        <f>((13.7000589370728/(mmBTU_to_GJ))*($C$7))*($G$7/$F$7)</f>
        <v>16.46689578317423</v>
      </c>
      <c r="K7" s="959">
        <f>((12.6911582946777/(mmBTU_to_GJ))*($C$7))*($G$7/$F$7)</f>
        <v>15.254239559561855</v>
      </c>
      <c r="L7" s="959">
        <f>((12.9778490066528/(mmBTU_to_GJ))*($C$7))*($G$7/$F$7)</f>
        <v>15.59882976152975</v>
      </c>
      <c r="M7" s="959">
        <f>((10.7176141738892/(mmBTU_to_GJ))*($C$7))*($G$7/$F$7)</f>
        <v>12.882122365775233</v>
      </c>
      <c r="N7" s="959">
        <f>((11.192774772644/(mmBTU_to_GJ))*($C$7))*($G$7/$F$7)</f>
        <v>13.453245460639653</v>
      </c>
      <c r="O7" s="959">
        <f>((11.4872808456421/(mmBTU_to_GJ))*($C$7))*($G$7/$F$7)</f>
        <v>13.807229398507864</v>
      </c>
      <c r="P7" s="959">
        <f>((11.3991556167603/(mmBTU_to_GJ))*($C$7))*($G$7/$F$7)</f>
        <v>13.701306572443364</v>
      </c>
      <c r="Q7" s="959">
        <f>((11.3077983856201/(mmBTU_to_GJ))*($C$7))*($G$7/$F$7)</f>
        <v>13.591499015327374</v>
      </c>
      <c r="R7" s="959">
        <f>((11.2896461486816/(mmBTU_to_GJ))*($C$7))*($G$7/$F$7)</f>
        <v>13.569680788466401</v>
      </c>
      <c r="S7" s="959">
        <f>((11.3454151153564/(mmBTU_to_GJ))*($C$7))*($G$7/$F$7)</f>
        <v>13.636712745510335</v>
      </c>
      <c r="T7" s="959">
        <f>((11.5382986068726/(mmBTU_to_GJ))*($C$7))*($G$7/$F$7)</f>
        <v>13.868550606039326</v>
      </c>
      <c r="U7" s="959">
        <f>((11.7583208084106/(mmBTU_to_GJ))*($C$7))*($G$7/$F$7)</f>
        <v>14.133008056868725</v>
      </c>
      <c r="V7" s="959">
        <f>((11.9751005172729/(mmBTU_to_GJ))*($C$7))*($G$7/$F$7)</f>
        <v>14.393568167605377</v>
      </c>
      <c r="W7" s="959">
        <f>((12.23952293396/(mmBTU_to_GJ))*($C$7))*($G$7/$F$7)</f>
        <v>14.711392813347514</v>
      </c>
      <c r="X7" s="959">
        <f>((12.557071685791/(mmBTU_to_GJ))*($C$7))*($G$7/$F$7)</f>
        <v>15.093073083957748</v>
      </c>
      <c r="Y7" s="959">
        <f>((12.7957820892334/(mmBTU_to_GJ))*($C$7))*($G$7/$F$7)</f>
        <v>15.379992969040035</v>
      </c>
      <c r="Z7" s="959">
        <f>((12.8716516494751/(mmBTU_to_GJ))*($C$7))*($G$7/$F$7)</f>
        <v>15.471184995830123</v>
      </c>
      <c r="AA7" s="959">
        <f>((12.6602811813354/(mmBTU_to_GJ))*($C$7))*($G$7/$F$7)</f>
        <v>15.217126565389467</v>
      </c>
      <c r="AB7" s="959">
        <f>((12.6240320205688/(mmBTU_to_GJ))*($C$7))*($G$7/$F$7)</f>
        <v>15.173556595704456</v>
      </c>
      <c r="AC7" s="959">
        <f>((12.5992183685303/(mmBTU_to_GJ))*($C$7))*($G$7/$F$7)</f>
        <v>15.143731627505801</v>
      </c>
      <c r="AD7" s="959">
        <f>((12.7868556976318/(mmBTU_to_GJ))*($C$7))*($G$7/$F$7)</f>
        <v>15.369263821019688</v>
      </c>
      <c r="AE7" s="959">
        <f>((13.07555103302/(mmBTU_to_GJ))*($C$7))*($G$7/$F$7)</f>
        <v>15.716263496186178</v>
      </c>
      <c r="AF7" s="959">
        <f>((13.407883644104/(mmBTU_to_GJ))*($C$7))*($G$7/$F$7)</f>
        <v>16.115713345066876</v>
      </c>
      <c r="AG7" s="959">
        <f>((13.6725673675537/(mmBTU_to_GJ))*($C$7))*($G$7/$F$7)</f>
        <v>16.433852070569323</v>
      </c>
      <c r="AH7" s="959">
        <f>((13.9620389938354/(mmBTU_to_GJ))*($C$7))*($G$7/$F$7)</f>
        <v>16.781784814805029</v>
      </c>
      <c r="AI7" s="959">
        <f>($BB7-$AH7)/20+AH7</f>
        <v>16.924252919684925</v>
      </c>
      <c r="AJ7" s="959">
        <f t="shared" ref="AJ7:AY10" si="30">($BB7-$AH7)/20+AI7</f>
        <v>17.066721024564821</v>
      </c>
      <c r="AK7" s="959">
        <f t="shared" si="30"/>
        <v>17.209189129444717</v>
      </c>
      <c r="AL7" s="959">
        <f t="shared" si="30"/>
        <v>17.351657234324612</v>
      </c>
      <c r="AM7" s="959">
        <f t="shared" si="30"/>
        <v>17.494125339204508</v>
      </c>
      <c r="AN7" s="959">
        <f t="shared" si="30"/>
        <v>17.636593444084404</v>
      </c>
      <c r="AO7" s="959">
        <f t="shared" si="30"/>
        <v>17.7790615489643</v>
      </c>
      <c r="AP7" s="959">
        <f t="shared" si="30"/>
        <v>17.921529653844196</v>
      </c>
      <c r="AQ7" s="959">
        <f t="shared" si="30"/>
        <v>18.063997758724092</v>
      </c>
      <c r="AR7" s="959">
        <f t="shared" si="30"/>
        <v>18.206465863603988</v>
      </c>
      <c r="AS7" s="959">
        <f t="shared" si="30"/>
        <v>18.348933968483884</v>
      </c>
      <c r="AT7" s="959">
        <f t="shared" si="30"/>
        <v>18.49140207336378</v>
      </c>
      <c r="AU7" s="959">
        <f t="shared" si="30"/>
        <v>18.633870178243676</v>
      </c>
      <c r="AV7" s="959">
        <f t="shared" si="30"/>
        <v>18.776338283123572</v>
      </c>
      <c r="AW7" s="959">
        <f t="shared" si="30"/>
        <v>18.918806388003468</v>
      </c>
      <c r="AX7" s="959">
        <f t="shared" si="30"/>
        <v>19.061274492883364</v>
      </c>
      <c r="AY7" s="959">
        <f t="shared" si="30"/>
        <v>19.203742597763259</v>
      </c>
      <c r="AZ7" s="959">
        <f t="shared" ref="AY7:BA10" si="31">($BB7-$AH7)/20+AY7</f>
        <v>19.346210702643155</v>
      </c>
      <c r="BA7" s="959">
        <f t="shared" si="31"/>
        <v>19.488678807523051</v>
      </c>
      <c r="BB7" s="1076">
        <f>1.16978897829057*AH7</f>
        <v>19.631146912402976</v>
      </c>
      <c r="BC7" s="959">
        <f>($BQ7-$BB7)/15+BB7</f>
        <v>19.82552968566489</v>
      </c>
      <c r="BD7" s="959">
        <f t="shared" ref="BD7:BP7" si="32">($BQ7-$BB7)/15+BC7</f>
        <v>20.019912458926804</v>
      </c>
      <c r="BE7" s="959">
        <f t="shared" si="32"/>
        <v>20.214295232188718</v>
      </c>
      <c r="BF7" s="959">
        <f t="shared" si="32"/>
        <v>20.408678005450632</v>
      </c>
      <c r="BG7" s="959">
        <f t="shared" si="32"/>
        <v>20.603060778712546</v>
      </c>
      <c r="BH7" s="959">
        <f t="shared" si="32"/>
        <v>20.79744355197446</v>
      </c>
      <c r="BI7" s="959">
        <f t="shared" si="32"/>
        <v>20.991826325236374</v>
      </c>
      <c r="BJ7" s="959">
        <f t="shared" si="32"/>
        <v>21.186209098498288</v>
      </c>
      <c r="BK7" s="959">
        <f t="shared" si="32"/>
        <v>21.380591871760203</v>
      </c>
      <c r="BL7" s="959">
        <f t="shared" si="32"/>
        <v>21.574974645022117</v>
      </c>
      <c r="BM7" s="959">
        <f t="shared" si="32"/>
        <v>21.769357418284031</v>
      </c>
      <c r="BN7" s="959">
        <f t="shared" si="32"/>
        <v>21.963740191545945</v>
      </c>
      <c r="BO7" s="959">
        <f t="shared" si="32"/>
        <v>22.158122964807859</v>
      </c>
      <c r="BP7" s="959">
        <f t="shared" si="32"/>
        <v>22.352505738069773</v>
      </c>
      <c r="BQ7" s="1076">
        <f>1.14852629914794*BB7</f>
        <v>22.546888511331698</v>
      </c>
      <c r="BR7" s="959">
        <f>($BV7-$BQ7)/5+BQ7</f>
        <v>22.770142238524333</v>
      </c>
      <c r="BS7" s="959">
        <f>($BV7-$BQ7)/5+BR7</f>
        <v>22.993395965716967</v>
      </c>
      <c r="BT7" s="959">
        <f>($BV7-$BQ7)/5+BS7</f>
        <v>23.216649692909602</v>
      </c>
      <c r="BU7" s="959">
        <f>($BV7-$BQ7)/5+BT7</f>
        <v>23.439903420102237</v>
      </c>
      <c r="BV7" s="1077">
        <f>1.04950876638265*BQ7</f>
        <v>23.663157147294871</v>
      </c>
      <c r="BW7" s="1397">
        <f>+BV7*BW$133/BV$133</f>
        <v>23.741725786947789</v>
      </c>
      <c r="BX7" s="1397">
        <f t="shared" ref="BX7:CZ7" si="33">+BW7*BX$133/BW$133</f>
        <v>23.820555297586708</v>
      </c>
      <c r="BY7" s="1397">
        <f t="shared" si="33"/>
        <v>23.899646545380008</v>
      </c>
      <c r="BZ7" s="1397">
        <f t="shared" si="33"/>
        <v>23.979000399372005</v>
      </c>
      <c r="CA7" s="1397">
        <f t="shared" si="33"/>
        <v>24.058617731492493</v>
      </c>
      <c r="CB7" s="1397">
        <f t="shared" si="33"/>
        <v>24.109957095304743</v>
      </c>
      <c r="CC7" s="1397">
        <f t="shared" si="33"/>
        <v>24.1614060136353</v>
      </c>
      <c r="CD7" s="1397">
        <f t="shared" si="33"/>
        <v>24.212964720265646</v>
      </c>
      <c r="CE7" s="1397">
        <f t="shared" si="33"/>
        <v>24.264633449476126</v>
      </c>
      <c r="CF7" s="1397">
        <f t="shared" si="33"/>
        <v>24.316412436047038</v>
      </c>
      <c r="CG7" s="1397">
        <f t="shared" si="33"/>
        <v>24.333224744531737</v>
      </c>
      <c r="CH7" s="1397">
        <f t="shared" si="33"/>
        <v>24.350048677005677</v>
      </c>
      <c r="CI7" s="1397">
        <f t="shared" si="33"/>
        <v>24.366884241505659</v>
      </c>
      <c r="CJ7" s="1397">
        <f t="shared" si="33"/>
        <v>24.383731446074034</v>
      </c>
      <c r="CK7" s="1397">
        <f t="shared" si="33"/>
        <v>24.400590298758722</v>
      </c>
      <c r="CL7" s="1397">
        <f t="shared" si="33"/>
        <v>24.406304701449077</v>
      </c>
      <c r="CM7" s="1397">
        <f t="shared" si="33"/>
        <v>24.41202044240206</v>
      </c>
      <c r="CN7" s="1397">
        <f t="shared" si="33"/>
        <v>24.41773752193108</v>
      </c>
      <c r="CO7" s="1397">
        <f t="shared" si="33"/>
        <v>24.423455940349619</v>
      </c>
      <c r="CP7" s="1397">
        <f t="shared" si="33"/>
        <v>24.429175697971235</v>
      </c>
      <c r="CQ7" s="1397">
        <f t="shared" si="33"/>
        <v>24.437844539812179</v>
      </c>
      <c r="CR7" s="1397">
        <f t="shared" si="33"/>
        <v>24.446516457844467</v>
      </c>
      <c r="CS7" s="1397">
        <f t="shared" si="33"/>
        <v>24.455191453159703</v>
      </c>
      <c r="CT7" s="1397">
        <f t="shared" si="33"/>
        <v>24.463869526849884</v>
      </c>
      <c r="CU7" s="1397">
        <f t="shared" si="33"/>
        <v>24.472550680007387</v>
      </c>
      <c r="CV7" s="1397">
        <f t="shared" si="33"/>
        <v>24.485911011470357</v>
      </c>
      <c r="CW7" s="1397">
        <f t="shared" si="33"/>
        <v>24.499278636756479</v>
      </c>
      <c r="CX7" s="1397">
        <f t="shared" si="33"/>
        <v>24.512653559847685</v>
      </c>
      <c r="CY7" s="1397">
        <f t="shared" si="33"/>
        <v>24.526035784728073</v>
      </c>
      <c r="CZ7" s="1397">
        <f t="shared" si="33"/>
        <v>24.539425315383912</v>
      </c>
    </row>
    <row r="8" spans="1:104" x14ac:dyDescent="0.25">
      <c r="A8" s="875" t="str">
        <f>'HyARC Physical Property Data'!A71</f>
        <v>Commercial Natural Gas</v>
      </c>
      <c r="B8" s="260">
        <v>2007</v>
      </c>
      <c r="C8" s="874">
        <f>VLOOKUP(ref_year,DeflatorTable,2,FALSE)/VLOOKUP(B8,DeflatorTable,2,FALSE)</f>
        <v>1.1446359956438654</v>
      </c>
      <c r="D8" s="875" t="str">
        <f>'HyARC Physical Property Data'!H71</f>
        <v>mmBtu</v>
      </c>
      <c r="E8" s="874" t="s">
        <v>1058</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75">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75">
        <f>1.14852629914794*BB8</f>
        <v>20.216294531146865</v>
      </c>
      <c r="BR8" s="260">
        <f t="shared" ref="BR8:BU10" si="35">($BV8-$BQ8)/5+BQ8</f>
        <v>20.416471291759944</v>
      </c>
      <c r="BS8" s="260">
        <f t="shared" si="35"/>
        <v>20.616648052373023</v>
      </c>
      <c r="BT8" s="260">
        <f t="shared" si="35"/>
        <v>20.816824812986102</v>
      </c>
      <c r="BU8" s="260">
        <f t="shared" si="35"/>
        <v>21.017001573599181</v>
      </c>
      <c r="BV8" s="1078">
        <f>1.04950876638265*BQ8</f>
        <v>21.217178334212257</v>
      </c>
      <c r="BW8" s="1397">
        <f>+BV8*BW$134/BV$134</f>
        <v>21.287625604989181</v>
      </c>
      <c r="BX8" s="1397">
        <f t="shared" ref="BX8:CZ8" si="36">+BW8*BX$134/BW$134</f>
        <v>21.358306781419426</v>
      </c>
      <c r="BY8" s="1397">
        <f t="shared" si="36"/>
        <v>21.429222640138541</v>
      </c>
      <c r="BZ8" s="1397">
        <f t="shared" si="36"/>
        <v>21.500373960360729</v>
      </c>
      <c r="CA8" s="1397">
        <f t="shared" si="36"/>
        <v>21.571761523887421</v>
      </c>
      <c r="CB8" s="1397">
        <f t="shared" si="36"/>
        <v>21.617794115007417</v>
      </c>
      <c r="CC8" s="1397">
        <f t="shared" si="36"/>
        <v>21.663924936373601</v>
      </c>
      <c r="CD8" s="1397">
        <f t="shared" si="36"/>
        <v>21.710154197602268</v>
      </c>
      <c r="CE8" s="1397">
        <f t="shared" si="36"/>
        <v>21.756482108757027</v>
      </c>
      <c r="CF8" s="1397">
        <f t="shared" si="36"/>
        <v>21.802908880349733</v>
      </c>
      <c r="CG8" s="1397">
        <f t="shared" si="36"/>
        <v>21.817983358582254</v>
      </c>
      <c r="CH8" s="1397">
        <f t="shared" si="36"/>
        <v>21.833068259272402</v>
      </c>
      <c r="CI8" s="1397">
        <f t="shared" si="36"/>
        <v>21.848163589626239</v>
      </c>
      <c r="CJ8" s="1397">
        <f t="shared" si="36"/>
        <v>21.863269356854815</v>
      </c>
      <c r="CK8" s="1397">
        <f t="shared" si="36"/>
        <v>21.878385568174153</v>
      </c>
      <c r="CL8" s="1397">
        <f t="shared" si="36"/>
        <v>21.883509292798049</v>
      </c>
      <c r="CM8" s="1397">
        <f t="shared" si="36"/>
        <v>21.888634217352987</v>
      </c>
      <c r="CN8" s="1397">
        <f t="shared" si="36"/>
        <v>21.893760342119982</v>
      </c>
      <c r="CO8" s="1397">
        <f t="shared" si="36"/>
        <v>21.898887667380112</v>
      </c>
      <c r="CP8" s="1397">
        <f t="shared" si="36"/>
        <v>21.904016193414524</v>
      </c>
      <c r="CQ8" s="1397">
        <f t="shared" si="36"/>
        <v>21.911788967019731</v>
      </c>
      <c r="CR8" s="1397">
        <f t="shared" si="36"/>
        <v>21.919564498841009</v>
      </c>
      <c r="CS8" s="1397">
        <f t="shared" si="36"/>
        <v>21.927342789857128</v>
      </c>
      <c r="CT8" s="1397">
        <f t="shared" si="36"/>
        <v>21.935123841047208</v>
      </c>
      <c r="CU8" s="1397">
        <f t="shared" si="36"/>
        <v>21.942907653390712</v>
      </c>
      <c r="CV8" s="1397">
        <f t="shared" si="36"/>
        <v>21.954886973541843</v>
      </c>
      <c r="CW8" s="1397">
        <f t="shared" si="36"/>
        <v>21.966872833578826</v>
      </c>
      <c r="CX8" s="1397">
        <f t="shared" si="36"/>
        <v>21.978865237071986</v>
      </c>
      <c r="CY8" s="1397">
        <f t="shared" si="36"/>
        <v>21.990864187593605</v>
      </c>
      <c r="CZ8" s="1397">
        <f t="shared" si="36"/>
        <v>22.002869688717904</v>
      </c>
    </row>
    <row r="9" spans="1:104" x14ac:dyDescent="0.25">
      <c r="A9" s="875" t="str">
        <f>'HyARC Physical Property Data'!A72</f>
        <v>Industrial Natural Gas</v>
      </c>
      <c r="B9" s="260">
        <v>2007</v>
      </c>
      <c r="C9" s="874">
        <f t="shared" ref="C9:C18" si="37">VLOOKUP(ref_year,DeflatorTable,2,FALSE)/VLOOKUP(B9,DeflatorTable,2,FALSE)</f>
        <v>1.1446359956438654</v>
      </c>
      <c r="D9" s="1259" t="str">
        <f>'HyARC Physical Property Data'!H72</f>
        <v>mmBtu</v>
      </c>
      <c r="E9" s="874" t="s">
        <v>1058</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75">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75">
        <f>1.14852629914794*BB9</f>
        <v>14.038959866915382</v>
      </c>
      <c r="BR9" s="260">
        <f t="shared" si="35"/>
        <v>14.177970183776685</v>
      </c>
      <c r="BS9" s="260">
        <f t="shared" si="35"/>
        <v>14.316980500637987</v>
      </c>
      <c r="BT9" s="260">
        <f t="shared" si="35"/>
        <v>14.455990817499289</v>
      </c>
      <c r="BU9" s="260">
        <f t="shared" si="35"/>
        <v>14.595001134360592</v>
      </c>
      <c r="BV9" s="1078">
        <f>1.04950876638265*BQ9</f>
        <v>14.734011451221894</v>
      </c>
      <c r="BW9" s="1397">
        <f>+BV9*BW$135/BV$135</f>
        <v>14.78293270163439</v>
      </c>
      <c r="BX9" s="1397">
        <f t="shared" ref="BX9:CZ9" si="38">+BW9*BX$135/BW$135</f>
        <v>14.832016384983078</v>
      </c>
      <c r="BY9" s="1397">
        <f t="shared" si="38"/>
        <v>14.881263040593069</v>
      </c>
      <c r="BZ9" s="1397">
        <f t="shared" si="38"/>
        <v>14.93067320958019</v>
      </c>
      <c r="CA9" s="1397">
        <f t="shared" si="38"/>
        <v>14.980247434856935</v>
      </c>
      <c r="CB9" s="1397">
        <f t="shared" si="38"/>
        <v>15.012214207912603</v>
      </c>
      <c r="CC9" s="1397">
        <f t="shared" si="38"/>
        <v>15.044249195768062</v>
      </c>
      <c r="CD9" s="1397">
        <f t="shared" si="38"/>
        <v>15.076352543988799</v>
      </c>
      <c r="CE9" s="1397">
        <f t="shared" si="38"/>
        <v>15.10852439845093</v>
      </c>
      <c r="CF9" s="1397">
        <f t="shared" si="38"/>
        <v>15.140764905341857</v>
      </c>
      <c r="CG9" s="1397">
        <f t="shared" si="38"/>
        <v>15.151233193414877</v>
      </c>
      <c r="CH9" s="1397">
        <f t="shared" si="38"/>
        <v>15.16170871923684</v>
      </c>
      <c r="CI9" s="1397">
        <f t="shared" si="38"/>
        <v>15.172191487811906</v>
      </c>
      <c r="CJ9" s="1397">
        <f t="shared" si="38"/>
        <v>15.182681504147698</v>
      </c>
      <c r="CK9" s="1397">
        <f t="shared" si="38"/>
        <v>15.193178773255301</v>
      </c>
      <c r="CL9" s="1397">
        <f t="shared" si="38"/>
        <v>15.196736881505712</v>
      </c>
      <c r="CM9" s="1397">
        <f t="shared" si="38"/>
        <v>15.200295823033644</v>
      </c>
      <c r="CN9" s="1397">
        <f t="shared" si="38"/>
        <v>15.20385559803424</v>
      </c>
      <c r="CO9" s="1397">
        <f t="shared" si="38"/>
        <v>15.207416206702694</v>
      </c>
      <c r="CP9" s="1397">
        <f t="shared" si="38"/>
        <v>15.210977649234243</v>
      </c>
      <c r="CQ9" s="1397">
        <f t="shared" si="38"/>
        <v>15.216375357332034</v>
      </c>
      <c r="CR9" s="1397">
        <f t="shared" si="38"/>
        <v>15.221774980839431</v>
      </c>
      <c r="CS9" s="1397">
        <f t="shared" si="38"/>
        <v>15.22717652043613</v>
      </c>
      <c r="CT9" s="1397">
        <f t="shared" si="38"/>
        <v>15.232579976802066</v>
      </c>
      <c r="CU9" s="1397">
        <f t="shared" si="38"/>
        <v>15.237985350617416</v>
      </c>
      <c r="CV9" s="1397">
        <f t="shared" si="38"/>
        <v>15.246304243804076</v>
      </c>
      <c r="CW9" s="1397">
        <f t="shared" si="38"/>
        <v>15.254627678534927</v>
      </c>
      <c r="CX9" s="1397">
        <f t="shared" si="38"/>
        <v>15.262955657289339</v>
      </c>
      <c r="CY9" s="1397">
        <f t="shared" si="38"/>
        <v>15.271288182548037</v>
      </c>
      <c r="CZ9" s="1397">
        <f t="shared" si="38"/>
        <v>15.279625256793102</v>
      </c>
    </row>
    <row r="10" spans="1:104" x14ac:dyDescent="0.25">
      <c r="A10" s="875" t="str">
        <f>'HyARC Physical Property Data'!A74</f>
        <v>Electric Utility Natural Gas</v>
      </c>
      <c r="B10" s="260">
        <v>2007</v>
      </c>
      <c r="C10" s="874">
        <f t="shared" si="37"/>
        <v>1.1446359956438654</v>
      </c>
      <c r="D10" s="1259" t="str">
        <f>'HyARC Physical Property Data'!H74</f>
        <v>mmBtu</v>
      </c>
      <c r="E10" s="874" t="s">
        <v>1058</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75">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75">
        <f>1.14852629914794*BB10</f>
        <v>13.467243108211756</v>
      </c>
      <c r="BR10" s="260">
        <f t="shared" si="35"/>
        <v>13.600592426784317</v>
      </c>
      <c r="BS10" s="260">
        <f t="shared" si="35"/>
        <v>13.733941745356878</v>
      </c>
      <c r="BT10" s="260">
        <f t="shared" si="35"/>
        <v>13.867291063929439</v>
      </c>
      <c r="BU10" s="260">
        <f t="shared" si="35"/>
        <v>14.000640382502</v>
      </c>
      <c r="BV10" s="1078">
        <f>1.04950876638265*BQ10</f>
        <v>14.133989701074563</v>
      </c>
      <c r="BW10" s="1397">
        <f>+BV10*BW$136/BV$136</f>
        <v>14.180918702845942</v>
      </c>
      <c r="BX10" s="1397">
        <f t="shared" ref="BX10:CZ10" si="39">+BW10*BX$136/BW$136</f>
        <v>14.22800352270222</v>
      </c>
      <c r="BY10" s="1397">
        <f t="shared" si="39"/>
        <v>14.275244678005262</v>
      </c>
      <c r="BZ10" s="1397">
        <f t="shared" si="39"/>
        <v>14.322642687834716</v>
      </c>
      <c r="CA10" s="1397">
        <f t="shared" si="39"/>
        <v>14.370198072993734</v>
      </c>
      <c r="CB10" s="1397">
        <f t="shared" si="39"/>
        <v>14.400863044487831</v>
      </c>
      <c r="CC10" s="1397">
        <f t="shared" si="39"/>
        <v>14.431593452830604</v>
      </c>
      <c r="CD10" s="1397">
        <f t="shared" si="39"/>
        <v>14.46238943765959</v>
      </c>
      <c r="CE10" s="1397">
        <f t="shared" si="39"/>
        <v>14.493251138910308</v>
      </c>
      <c r="CF10" s="1397">
        <f t="shared" si="39"/>
        <v>14.524178696816882</v>
      </c>
      <c r="CG10" s="1397">
        <f t="shared" si="39"/>
        <v>14.534220678683244</v>
      </c>
      <c r="CH10" s="1397">
        <f t="shared" si="39"/>
        <v>14.54426960355147</v>
      </c>
      <c r="CI10" s="1397">
        <f t="shared" si="39"/>
        <v>14.554325476221939</v>
      </c>
      <c r="CJ10" s="1397">
        <f t="shared" si="39"/>
        <v>14.564388301498344</v>
      </c>
      <c r="CK10" s="1397">
        <f t="shared" si="39"/>
        <v>14.574458084187699</v>
      </c>
      <c r="CL10" s="1397">
        <f t="shared" si="39"/>
        <v>14.577871293518578</v>
      </c>
      <c r="CM10" s="1397">
        <f t="shared" si="39"/>
        <v>14.581285302192933</v>
      </c>
      <c r="CN10" s="1397">
        <f t="shared" si="39"/>
        <v>14.584700110397959</v>
      </c>
      <c r="CO10" s="1397">
        <f t="shared" si="39"/>
        <v>14.5881157183209</v>
      </c>
      <c r="CP10" s="1397">
        <f t="shared" si="39"/>
        <v>14.591532126149042</v>
      </c>
      <c r="CQ10" s="1397">
        <f t="shared" si="39"/>
        <v>14.596710020228747</v>
      </c>
      <c r="CR10" s="1397">
        <f t="shared" si="39"/>
        <v>14.601889751715715</v>
      </c>
      <c r="CS10" s="1397">
        <f t="shared" si="39"/>
        <v>14.607071321261961</v>
      </c>
      <c r="CT10" s="1397">
        <f t="shared" si="39"/>
        <v>14.61225472951973</v>
      </c>
      <c r="CU10" s="1397">
        <f t="shared" si="39"/>
        <v>14.617439977141501</v>
      </c>
      <c r="CV10" s="1397">
        <f t="shared" si="39"/>
        <v>14.625420095184293</v>
      </c>
      <c r="CW10" s="1397">
        <f t="shared" si="39"/>
        <v>14.633404569823321</v>
      </c>
      <c r="CX10" s="1397">
        <f t="shared" si="39"/>
        <v>14.641393403436986</v>
      </c>
      <c r="CY10" s="1397">
        <f t="shared" si="39"/>
        <v>14.649386598404989</v>
      </c>
      <c r="CZ10" s="1397">
        <f t="shared" si="39"/>
        <v>14.65738415710833</v>
      </c>
    </row>
    <row r="11" spans="1:104" x14ac:dyDescent="0.25">
      <c r="A11" s="875" t="str">
        <f>'HyARC Physical Property Data'!A75</f>
        <v>Bio Methane</v>
      </c>
      <c r="B11" s="260">
        <v>2007</v>
      </c>
      <c r="C11" s="874">
        <f t="shared" si="37"/>
        <v>1.1446359956438654</v>
      </c>
      <c r="D11" s="1259" t="str">
        <f>'HyARC Physical Property Data'!H75</f>
        <v>mmBtu</v>
      </c>
      <c r="E11" s="874" t="s">
        <v>1058</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397">
        <f>+BV11*BW$136/BV$136</f>
        <v>14.271092726019944</v>
      </c>
      <c r="BX11" s="1397">
        <f t="shared" ref="BX11:CZ11" si="42">+BW11*BX$136/BW$136</f>
        <v>14.318476950147966</v>
      </c>
      <c r="BY11" s="1397">
        <f t="shared" si="42"/>
        <v>14.366018503832969</v>
      </c>
      <c r="BZ11" s="1397">
        <f t="shared" si="42"/>
        <v>14.413717909455341</v>
      </c>
      <c r="CA11" s="1397">
        <f t="shared" si="42"/>
        <v>14.461575691129934</v>
      </c>
      <c r="CB11" s="1397">
        <f t="shared" si="42"/>
        <v>14.49243565590395</v>
      </c>
      <c r="CC11" s="1397">
        <f t="shared" si="42"/>
        <v>14.523361473628309</v>
      </c>
      <c r="CD11" s="1397">
        <f t="shared" si="42"/>
        <v>14.554353284828478</v>
      </c>
      <c r="CE11" s="1397">
        <f t="shared" si="42"/>
        <v>14.585411230329802</v>
      </c>
      <c r="CF11" s="1397">
        <f t="shared" si="42"/>
        <v>14.616535451258134</v>
      </c>
      <c r="CG11" s="1397">
        <f t="shared" si="42"/>
        <v>14.626641288360148</v>
      </c>
      <c r="CH11" s="1397">
        <f t="shared" si="42"/>
        <v>14.636754112613382</v>
      </c>
      <c r="CI11" s="1397">
        <f t="shared" si="42"/>
        <v>14.646873928848736</v>
      </c>
      <c r="CJ11" s="1397">
        <f t="shared" si="42"/>
        <v>14.657000741900452</v>
      </c>
      <c r="CK11" s="1397">
        <f t="shared" si="42"/>
        <v>14.667134556606111</v>
      </c>
      <c r="CL11" s="1397">
        <f t="shared" si="42"/>
        <v>14.670569469948116</v>
      </c>
      <c r="CM11" s="1397">
        <f t="shared" si="42"/>
        <v>14.674005187716483</v>
      </c>
      <c r="CN11" s="1397">
        <f t="shared" si="42"/>
        <v>14.6774417100996</v>
      </c>
      <c r="CO11" s="1397">
        <f t="shared" si="42"/>
        <v>14.6808790372859</v>
      </c>
      <c r="CP11" s="1397">
        <f t="shared" si="42"/>
        <v>14.684317169463862</v>
      </c>
      <c r="CQ11" s="1397">
        <f t="shared" si="42"/>
        <v>14.689527988881515</v>
      </c>
      <c r="CR11" s="1397">
        <f t="shared" si="42"/>
        <v>14.69474065739019</v>
      </c>
      <c r="CS11" s="1397">
        <f t="shared" si="42"/>
        <v>14.699955175646044</v>
      </c>
      <c r="CT11" s="1397">
        <f t="shared" si="42"/>
        <v>14.705171544305472</v>
      </c>
      <c r="CU11" s="1397">
        <f t="shared" si="42"/>
        <v>14.710389764025104</v>
      </c>
      <c r="CV11" s="1397">
        <f t="shared" si="42"/>
        <v>14.718420626266095</v>
      </c>
      <c r="CW11" s="1397">
        <f t="shared" si="42"/>
        <v>14.726455872806168</v>
      </c>
      <c r="CX11" s="1397">
        <f t="shared" si="42"/>
        <v>14.734495506038849</v>
      </c>
      <c r="CY11" s="1397">
        <f t="shared" si="42"/>
        <v>14.74253952835897</v>
      </c>
      <c r="CZ11" s="1397">
        <f t="shared" si="42"/>
        <v>14.750587942162673</v>
      </c>
    </row>
    <row r="12" spans="1:104" x14ac:dyDescent="0.25">
      <c r="A12" s="964" t="str">
        <f>'HyARC Physical Property Data'!A85</f>
        <v>Woody Biomass</v>
      </c>
      <c r="B12" s="260">
        <v>2005</v>
      </c>
      <c r="C12" s="874">
        <f>VLOOKUP(ref_year,DeflatorTable,2,FALSE)/VLOOKUP(B12,DeflatorTable,2,FALSE)</f>
        <v>1.2112501494873942</v>
      </c>
      <c r="D12" s="1259" t="str">
        <f>+'HyARC Physical Property Data'!$H$85</f>
        <v>kg</v>
      </c>
      <c r="E12" s="901" t="s">
        <v>1052</v>
      </c>
      <c r="F12" s="260">
        <f>'HyARC Physical Property Data'!$E$45</f>
        <v>19.551069237418005</v>
      </c>
      <c r="G12" s="260">
        <f>'HyARC Physical Property Data'!$I$45</f>
        <v>20.588656379262464</v>
      </c>
      <c r="H12" s="965">
        <f t="shared" ref="H12:O12" si="43">1.27*($C$12)</f>
        <v>1.5382876898489906</v>
      </c>
      <c r="I12" s="965">
        <f t="shared" si="43"/>
        <v>1.5382876898489906</v>
      </c>
      <c r="J12" s="965">
        <f t="shared" si="43"/>
        <v>1.5382876898489906</v>
      </c>
      <c r="K12" s="965">
        <f t="shared" si="43"/>
        <v>1.5382876898489906</v>
      </c>
      <c r="L12" s="965">
        <f t="shared" si="43"/>
        <v>1.5382876898489906</v>
      </c>
      <c r="M12" s="965">
        <f t="shared" si="43"/>
        <v>1.5382876898489906</v>
      </c>
      <c r="N12" s="965">
        <f t="shared" si="43"/>
        <v>1.5382876898489906</v>
      </c>
      <c r="O12" s="965">
        <f t="shared" si="43"/>
        <v>1.5382876898489906</v>
      </c>
      <c r="P12" s="965">
        <f>1.28*($C$12)</f>
        <v>1.5504001913438645</v>
      </c>
      <c r="Q12" s="965">
        <f>1.32*($C$12)</f>
        <v>1.5988501973233604</v>
      </c>
      <c r="R12" s="965">
        <f>1.32*($C$12)</f>
        <v>1.5988501973233604</v>
      </c>
      <c r="S12" s="965">
        <f>1.34*($C$12)</f>
        <v>1.6230752003131084</v>
      </c>
      <c r="T12" s="965">
        <f>1.34*($C$12)</f>
        <v>1.6230752003131084</v>
      </c>
      <c r="U12" s="965">
        <f>1.36*($C$12)</f>
        <v>1.6473002033028561</v>
      </c>
      <c r="V12" s="965">
        <f>1.36*($C$12)</f>
        <v>1.6473002033028561</v>
      </c>
      <c r="W12" s="965">
        <f>1.38*($C$12)</f>
        <v>1.6715252062926038</v>
      </c>
      <c r="X12" s="965">
        <f>1.4*($C$12)</f>
        <v>1.6957502092823518</v>
      </c>
      <c r="Y12" s="965">
        <f>1.46*($C$12)</f>
        <v>1.7684252182515954</v>
      </c>
      <c r="Z12" s="965">
        <f>1.48*($C$12)</f>
        <v>1.7926502212413433</v>
      </c>
      <c r="AA12" s="965">
        <f>1.48*($C$12)</f>
        <v>1.7926502212413433</v>
      </c>
      <c r="AB12" s="965">
        <f>1.51*($C$12)</f>
        <v>1.8289877257259652</v>
      </c>
      <c r="AC12" s="965">
        <f>1.52*($C$12)</f>
        <v>1.8411002272208392</v>
      </c>
      <c r="AD12" s="965">
        <f>1.62*($C$12)</f>
        <v>1.9622252421695787</v>
      </c>
      <c r="AE12" s="965">
        <f>1.72*($C$12)</f>
        <v>2.083350257118318</v>
      </c>
      <c r="AF12" s="965">
        <f>1.82*($C$12)</f>
        <v>2.2044752720670573</v>
      </c>
      <c r="AG12" s="965">
        <f>1.91*($C$12)</f>
        <v>2.3134877855209228</v>
      </c>
      <c r="AH12" s="965">
        <f>2.01*($C$12)</f>
        <v>2.4346128004696621</v>
      </c>
      <c r="AI12" s="965">
        <f>2.11*($C$12)</f>
        <v>2.5557378154184014</v>
      </c>
      <c r="AJ12" s="965">
        <f>2.2*($C$12)</f>
        <v>2.6647503288722674</v>
      </c>
      <c r="AK12" s="965">
        <f>2.3*($C$12)</f>
        <v>2.7858753438210062</v>
      </c>
      <c r="AL12" s="965">
        <f>2.4*($C$12)</f>
        <v>2.9070003587697459</v>
      </c>
      <c r="AM12" s="965">
        <f>2.5*($C$12)</f>
        <v>3.0281253737184857</v>
      </c>
      <c r="AN12" s="965">
        <f>2.57*($C$12)</f>
        <v>3.1129128841826028</v>
      </c>
      <c r="AO12" s="965">
        <f>2.64*($C$12)</f>
        <v>3.1977003946467208</v>
      </c>
      <c r="AP12" s="965">
        <f>2.71*($C$12)</f>
        <v>3.282487905110838</v>
      </c>
      <c r="AQ12" s="965">
        <f>2.78*($C$12)</f>
        <v>3.3672754155749556</v>
      </c>
      <c r="AR12" s="965">
        <f>2.85*($C$12)</f>
        <v>3.4520629260390736</v>
      </c>
      <c r="AS12" s="965">
        <f>2.92*($C$12)</f>
        <v>3.5368504365031908</v>
      </c>
      <c r="AT12" s="965">
        <f>2.99*($C$12)</f>
        <v>3.6216379469673088</v>
      </c>
      <c r="AU12" s="965">
        <f>3.07*($C$12)</f>
        <v>3.7185379589263001</v>
      </c>
      <c r="AV12" s="965">
        <f>3.14*($C$12)</f>
        <v>3.8033254693904177</v>
      </c>
      <c r="AW12" s="965">
        <f>3.21*($C$12)</f>
        <v>3.8881129798545353</v>
      </c>
      <c r="AX12" s="965">
        <f>3.28*($C$12)</f>
        <v>3.9729004903186529</v>
      </c>
      <c r="AY12" s="965">
        <f>3.35*($C$12)</f>
        <v>4.0576880007827709</v>
      </c>
      <c r="AZ12" s="965">
        <f>3.42*($C$12)</f>
        <v>4.1424755112468876</v>
      </c>
      <c r="BA12" s="965">
        <f>3.49*($C$12)</f>
        <v>4.2272630217110061</v>
      </c>
      <c r="BB12" s="965">
        <f>3.56*($C$12)</f>
        <v>4.3120505321751237</v>
      </c>
      <c r="BC12" s="965">
        <f>3.64*($C$12)</f>
        <v>4.4089505441341146</v>
      </c>
      <c r="BD12" s="965">
        <f>3.71*($C$12)</f>
        <v>4.4937380545982322</v>
      </c>
      <c r="BE12" s="965">
        <f>3.78*($C$12)</f>
        <v>4.5785255650623498</v>
      </c>
      <c r="BF12" s="965">
        <f>3.85*($C$12)</f>
        <v>4.6633130755264673</v>
      </c>
      <c r="BG12" s="965">
        <f>3.92*($C$12)</f>
        <v>4.7481005859905849</v>
      </c>
      <c r="BH12" s="965">
        <f>3.99*($C$12)</f>
        <v>4.8328880964547034</v>
      </c>
      <c r="BI12" s="965">
        <f>4.06*($C$12)</f>
        <v>4.9176756069188201</v>
      </c>
      <c r="BJ12" s="965">
        <f>4.14*($C$12)</f>
        <v>5.0145756188778119</v>
      </c>
      <c r="BK12" s="965">
        <f>4.21*($C$12)</f>
        <v>5.0993631293419295</v>
      </c>
      <c r="BL12" s="965">
        <f>4.28*($C$12)</f>
        <v>5.1841506398060471</v>
      </c>
      <c r="BM12" s="965">
        <f>4.35*($C$12)</f>
        <v>5.2689381502701647</v>
      </c>
      <c r="BN12" s="965">
        <f>4.42*($C$12)</f>
        <v>5.3537256607342822</v>
      </c>
      <c r="BO12" s="965">
        <f>4.49*($C$12)</f>
        <v>5.4385131711983998</v>
      </c>
      <c r="BP12" s="965">
        <f>4.56*($C$12)</f>
        <v>5.5233006816625174</v>
      </c>
      <c r="BQ12" s="965">
        <f>4.63*($C$12)</f>
        <v>5.608088192126635</v>
      </c>
      <c r="BR12" s="965">
        <f>4.71*($C$12)</f>
        <v>5.7049882040856268</v>
      </c>
      <c r="BS12" s="965">
        <f>4.78*($C$12)</f>
        <v>5.7897757145497444</v>
      </c>
      <c r="BT12" s="965">
        <f>4.85*($C$12)</f>
        <v>5.8745632250138611</v>
      </c>
      <c r="BU12" s="965">
        <f>4.92*($C$12)</f>
        <v>5.9593507354779796</v>
      </c>
      <c r="BV12" s="966">
        <f>4.99*($C$12)</f>
        <v>6.0441382459420971</v>
      </c>
      <c r="BW12" s="1397">
        <f>+BV12*BW$137/BV$137</f>
        <v>6.0586659764672328</v>
      </c>
      <c r="BX12" s="1397">
        <f t="shared" ref="BX12:CZ12" si="44">+BW12*BX$137/BW$137</f>
        <v>6.0732286259412112</v>
      </c>
      <c r="BY12" s="1397">
        <f t="shared" si="44"/>
        <v>6.0878262782954495</v>
      </c>
      <c r="BZ12" s="1397">
        <f t="shared" si="44"/>
        <v>6.1024590176630999</v>
      </c>
      <c r="CA12" s="1397">
        <f t="shared" si="44"/>
        <v>6.1171269283795393</v>
      </c>
      <c r="CB12" s="1397">
        <f t="shared" si="44"/>
        <v>6.1299667153690152</v>
      </c>
      <c r="CC12" s="1397">
        <f t="shared" si="44"/>
        <v>6.1428334529403346</v>
      </c>
      <c r="CD12" s="1397">
        <f t="shared" si="44"/>
        <v>6.155727197662495</v>
      </c>
      <c r="CE12" s="1397">
        <f t="shared" si="44"/>
        <v>6.1686480062232301</v>
      </c>
      <c r="CF12" s="1397">
        <f t="shared" si="44"/>
        <v>6.18159593542926</v>
      </c>
      <c r="CG12" s="1397">
        <f t="shared" si="44"/>
        <v>6.197524392005751</v>
      </c>
      <c r="CH12" s="1397">
        <f t="shared" si="44"/>
        <v>6.2134938923080965</v>
      </c>
      <c r="CI12" s="1397">
        <f t="shared" si="44"/>
        <v>6.229504542095909</v>
      </c>
      <c r="CJ12" s="1397">
        <f t="shared" si="44"/>
        <v>6.245556447401321</v>
      </c>
      <c r="CK12" s="1397">
        <f t="shared" si="44"/>
        <v>6.2616497145296828</v>
      </c>
      <c r="CL12" s="1397">
        <f t="shared" si="44"/>
        <v>6.2750522655841658</v>
      </c>
      <c r="CM12" s="1397">
        <f t="shared" si="44"/>
        <v>6.2884835037072264</v>
      </c>
      <c r="CN12" s="1397">
        <f t="shared" si="44"/>
        <v>6.3019434903011975</v>
      </c>
      <c r="CO12" s="1397">
        <f t="shared" si="44"/>
        <v>6.3154322868998385</v>
      </c>
      <c r="CP12" s="1397">
        <f t="shared" si="44"/>
        <v>6.3289499551686168</v>
      </c>
      <c r="CQ12" s="1397">
        <f t="shared" si="44"/>
        <v>6.3413225489579119</v>
      </c>
      <c r="CR12" s="1397">
        <f t="shared" si="44"/>
        <v>6.3537193301840116</v>
      </c>
      <c r="CS12" s="1397">
        <f t="shared" si="44"/>
        <v>6.3661403461314299</v>
      </c>
      <c r="CT12" s="1397">
        <f t="shared" si="44"/>
        <v>6.3785856441771198</v>
      </c>
      <c r="CU12" s="1397">
        <f t="shared" si="44"/>
        <v>6.3910552717906537</v>
      </c>
      <c r="CV12" s="1397">
        <f t="shared" si="44"/>
        <v>6.4057772391562917</v>
      </c>
      <c r="CW12" s="1397">
        <f t="shared" si="44"/>
        <v>6.4205331189689208</v>
      </c>
      <c r="CX12" s="1397">
        <f t="shared" si="44"/>
        <v>6.4353229893467718</v>
      </c>
      <c r="CY12" s="1397">
        <f t="shared" si="44"/>
        <v>6.4501469285880244</v>
      </c>
      <c r="CZ12" s="1397">
        <f t="shared" si="44"/>
        <v>6.4650050151712186</v>
      </c>
    </row>
    <row r="13" spans="1:104" x14ac:dyDescent="0.25">
      <c r="A13" s="964" t="str">
        <f>'HyARC Physical Property Data'!A86</f>
        <v>Woody Biomass B2A</v>
      </c>
      <c r="B13" s="260">
        <v>2007</v>
      </c>
      <c r="C13" s="874">
        <f>VLOOKUP(ref_year,DeflatorTable,2,FALSE)/VLOOKUP(B13,DeflatorTable,2,FALSE)</f>
        <v>1.1446359956438654</v>
      </c>
      <c r="D13" s="1259" t="str">
        <f>+'HyARC Physical Property Data'!$H$86</f>
        <v>kg</v>
      </c>
      <c r="E13" s="901" t="s">
        <v>1052</v>
      </c>
      <c r="F13" s="260">
        <f>'HyARC Physical Property Data'!$E$45</f>
        <v>19.551069237418005</v>
      </c>
      <c r="G13" s="260">
        <f>'HyARC Physical Property Data'!$I$45</f>
        <v>20.588656379262464</v>
      </c>
      <c r="H13" s="965">
        <f>3.80872262322035*($C$13)</f>
        <v>4.3596010119611401</v>
      </c>
      <c r="I13" s="965">
        <f>3.80872262322035*($C$13)</f>
        <v>4.3596010119611401</v>
      </c>
      <c r="J13" s="965">
        <f>3.80872262322035*($C$13)</f>
        <v>4.3596010119611401</v>
      </c>
      <c r="K13" s="965">
        <f>3.80872262322035*($C$13)</f>
        <v>4.3596010119611401</v>
      </c>
      <c r="L13" s="965">
        <f>3.58036841709093*($C$13)</f>
        <v>4.0982185678687273</v>
      </c>
      <c r="M13" s="965">
        <f>3.28153451771169*($C$13)</f>
        <v>3.756162529920632</v>
      </c>
      <c r="N13" s="965">
        <f>3.05599949931226*($C$13)</f>
        <v>3.498007029582443</v>
      </c>
      <c r="O13" s="965">
        <f>2.9206784882726*($C$13)</f>
        <v>3.3431137293795268</v>
      </c>
      <c r="P13" s="965">
        <f t="shared" ref="P13:BV13" si="45">2.85865635821276*($C$13)</f>
        <v>3.2721209667865292</v>
      </c>
      <c r="Q13" s="965">
        <f t="shared" si="45"/>
        <v>3.2721209667865292</v>
      </c>
      <c r="R13" s="965">
        <f t="shared" si="45"/>
        <v>3.2721209667865292</v>
      </c>
      <c r="S13" s="965">
        <f t="shared" si="45"/>
        <v>3.2721209667865292</v>
      </c>
      <c r="T13" s="965">
        <f t="shared" si="45"/>
        <v>3.2721209667865292</v>
      </c>
      <c r="U13" s="965">
        <f t="shared" si="45"/>
        <v>3.2721209667865292</v>
      </c>
      <c r="V13" s="965">
        <f t="shared" si="45"/>
        <v>3.2721209667865292</v>
      </c>
      <c r="W13" s="965">
        <f t="shared" si="45"/>
        <v>3.2721209667865292</v>
      </c>
      <c r="X13" s="965">
        <f t="shared" si="45"/>
        <v>3.2721209667865292</v>
      </c>
      <c r="Y13" s="965">
        <f t="shared" si="45"/>
        <v>3.2721209667865292</v>
      </c>
      <c r="Z13" s="965">
        <f t="shared" si="45"/>
        <v>3.2721209667865292</v>
      </c>
      <c r="AA13" s="965">
        <f t="shared" si="45"/>
        <v>3.2721209667865292</v>
      </c>
      <c r="AB13" s="965">
        <f t="shared" si="45"/>
        <v>3.2721209667865292</v>
      </c>
      <c r="AC13" s="965">
        <f t="shared" si="45"/>
        <v>3.2721209667865292</v>
      </c>
      <c r="AD13" s="965">
        <f t="shared" si="45"/>
        <v>3.2721209667865292</v>
      </c>
      <c r="AE13" s="965">
        <f t="shared" si="45"/>
        <v>3.2721209667865292</v>
      </c>
      <c r="AF13" s="965">
        <f t="shared" si="45"/>
        <v>3.2721209667865292</v>
      </c>
      <c r="AG13" s="965">
        <f t="shared" si="45"/>
        <v>3.2721209667865292</v>
      </c>
      <c r="AH13" s="965">
        <f t="shared" si="45"/>
        <v>3.2721209667865292</v>
      </c>
      <c r="AI13" s="965">
        <f t="shared" si="45"/>
        <v>3.2721209667865292</v>
      </c>
      <c r="AJ13" s="965">
        <f t="shared" si="45"/>
        <v>3.2721209667865292</v>
      </c>
      <c r="AK13" s="965">
        <f t="shared" si="45"/>
        <v>3.2721209667865292</v>
      </c>
      <c r="AL13" s="965">
        <f t="shared" si="45"/>
        <v>3.2721209667865292</v>
      </c>
      <c r="AM13" s="965">
        <f t="shared" si="45"/>
        <v>3.2721209667865292</v>
      </c>
      <c r="AN13" s="965">
        <f t="shared" si="45"/>
        <v>3.2721209667865292</v>
      </c>
      <c r="AO13" s="965">
        <f t="shared" si="45"/>
        <v>3.2721209667865292</v>
      </c>
      <c r="AP13" s="965">
        <f t="shared" si="45"/>
        <v>3.2721209667865292</v>
      </c>
      <c r="AQ13" s="965">
        <f t="shared" si="45"/>
        <v>3.2721209667865292</v>
      </c>
      <c r="AR13" s="965">
        <f t="shared" si="45"/>
        <v>3.2721209667865292</v>
      </c>
      <c r="AS13" s="965">
        <f t="shared" si="45"/>
        <v>3.2721209667865292</v>
      </c>
      <c r="AT13" s="965">
        <f t="shared" si="45"/>
        <v>3.2721209667865292</v>
      </c>
      <c r="AU13" s="965">
        <f t="shared" si="45"/>
        <v>3.2721209667865292</v>
      </c>
      <c r="AV13" s="965">
        <f t="shared" si="45"/>
        <v>3.2721209667865292</v>
      </c>
      <c r="AW13" s="965">
        <f t="shared" si="45"/>
        <v>3.2721209667865292</v>
      </c>
      <c r="AX13" s="965">
        <f t="shared" si="45"/>
        <v>3.2721209667865292</v>
      </c>
      <c r="AY13" s="965">
        <f t="shared" si="45"/>
        <v>3.2721209667865292</v>
      </c>
      <c r="AZ13" s="965">
        <f t="shared" si="45"/>
        <v>3.2721209667865292</v>
      </c>
      <c r="BA13" s="965">
        <f t="shared" si="45"/>
        <v>3.2721209667865292</v>
      </c>
      <c r="BB13" s="965">
        <f t="shared" si="45"/>
        <v>3.2721209667865292</v>
      </c>
      <c r="BC13" s="965">
        <f t="shared" si="45"/>
        <v>3.2721209667865292</v>
      </c>
      <c r="BD13" s="965">
        <f t="shared" si="45"/>
        <v>3.2721209667865292</v>
      </c>
      <c r="BE13" s="965">
        <f t="shared" si="45"/>
        <v>3.2721209667865292</v>
      </c>
      <c r="BF13" s="965">
        <f t="shared" si="45"/>
        <v>3.2721209667865292</v>
      </c>
      <c r="BG13" s="965">
        <f t="shared" si="45"/>
        <v>3.2721209667865292</v>
      </c>
      <c r="BH13" s="965">
        <f t="shared" si="45"/>
        <v>3.2721209667865292</v>
      </c>
      <c r="BI13" s="965">
        <f t="shared" si="45"/>
        <v>3.2721209667865292</v>
      </c>
      <c r="BJ13" s="965">
        <f t="shared" si="45"/>
        <v>3.2721209667865292</v>
      </c>
      <c r="BK13" s="965">
        <f t="shared" si="45"/>
        <v>3.2721209667865292</v>
      </c>
      <c r="BL13" s="965">
        <f t="shared" si="45"/>
        <v>3.2721209667865292</v>
      </c>
      <c r="BM13" s="965">
        <f t="shared" si="45"/>
        <v>3.2721209667865292</v>
      </c>
      <c r="BN13" s="965">
        <f t="shared" si="45"/>
        <v>3.2721209667865292</v>
      </c>
      <c r="BO13" s="965">
        <f t="shared" si="45"/>
        <v>3.2721209667865292</v>
      </c>
      <c r="BP13" s="965">
        <f t="shared" si="45"/>
        <v>3.2721209667865292</v>
      </c>
      <c r="BQ13" s="965">
        <f t="shared" si="45"/>
        <v>3.2721209667865292</v>
      </c>
      <c r="BR13" s="965">
        <f t="shared" si="45"/>
        <v>3.2721209667865292</v>
      </c>
      <c r="BS13" s="965">
        <f t="shared" si="45"/>
        <v>3.2721209667865292</v>
      </c>
      <c r="BT13" s="965">
        <f t="shared" si="45"/>
        <v>3.2721209667865292</v>
      </c>
      <c r="BU13" s="965">
        <f t="shared" si="45"/>
        <v>3.2721209667865292</v>
      </c>
      <c r="BV13" s="966">
        <f t="shared" si="45"/>
        <v>3.2721209667865292</v>
      </c>
      <c r="BW13" s="1397">
        <f>+BV13*BW$137/BV$137</f>
        <v>3.2799858583089949</v>
      </c>
      <c r="BX13" s="1397">
        <f t="shared" ref="BX13:CZ13" si="46">+BW13*BX$137/BW$137</f>
        <v>3.2878696539365619</v>
      </c>
      <c r="BY13" s="1397">
        <f t="shared" si="46"/>
        <v>3.2957723991072623</v>
      </c>
      <c r="BZ13" s="1397">
        <f t="shared" si="46"/>
        <v>3.3036941393683414</v>
      </c>
      <c r="CA13" s="1397">
        <f t="shared" si="46"/>
        <v>3.3116349203765254</v>
      </c>
      <c r="CB13" s="1397">
        <f t="shared" si="46"/>
        <v>3.3185860082748779</v>
      </c>
      <c r="CC13" s="1397">
        <f t="shared" si="46"/>
        <v>3.3255516864357837</v>
      </c>
      <c r="CD13" s="1397">
        <f t="shared" si="46"/>
        <v>3.332531985484056</v>
      </c>
      <c r="CE13" s="1397">
        <f t="shared" si="46"/>
        <v>3.3395269361087871</v>
      </c>
      <c r="CF13" s="1397">
        <f t="shared" si="46"/>
        <v>3.3465365690634874</v>
      </c>
      <c r="CG13" s="1397">
        <f t="shared" si="46"/>
        <v>3.3551597730028546</v>
      </c>
      <c r="CH13" s="1397">
        <f t="shared" si="46"/>
        <v>3.3638051968237757</v>
      </c>
      <c r="CI13" s="1397">
        <f t="shared" si="46"/>
        <v>3.3724728977814351</v>
      </c>
      <c r="CJ13" s="1397">
        <f t="shared" si="46"/>
        <v>3.3811629332785507</v>
      </c>
      <c r="CK13" s="1397">
        <f t="shared" si="46"/>
        <v>3.3898753608657524</v>
      </c>
      <c r="CL13" s="1397">
        <f t="shared" si="46"/>
        <v>3.3971311128901611</v>
      </c>
      <c r="CM13" s="1397">
        <f t="shared" si="46"/>
        <v>3.4044023952606257</v>
      </c>
      <c r="CN13" s="1397">
        <f t="shared" si="46"/>
        <v>3.4116892412185864</v>
      </c>
      <c r="CO13" s="1397">
        <f t="shared" si="46"/>
        <v>3.4189916840766337</v>
      </c>
      <c r="CP13" s="1397">
        <f t="shared" si="46"/>
        <v>3.4263097572186623</v>
      </c>
      <c r="CQ13" s="1397">
        <f t="shared" si="46"/>
        <v>3.4330079202824653</v>
      </c>
      <c r="CR13" s="1397">
        <f t="shared" si="46"/>
        <v>3.4397191777223193</v>
      </c>
      <c r="CS13" s="1397">
        <f t="shared" si="46"/>
        <v>3.4464435551366885</v>
      </c>
      <c r="CT13" s="1397">
        <f t="shared" si="46"/>
        <v>3.453181078174079</v>
      </c>
      <c r="CU13" s="1397">
        <f t="shared" si="46"/>
        <v>3.4599317725331393</v>
      </c>
      <c r="CV13" s="1397">
        <f t="shared" si="46"/>
        <v>3.467901818241772</v>
      </c>
      <c r="CW13" s="1397">
        <f t="shared" si="46"/>
        <v>3.4758902231646247</v>
      </c>
      <c r="CX13" s="1397">
        <f t="shared" si="46"/>
        <v>3.4838970295926392</v>
      </c>
      <c r="CY13" s="1397">
        <f t="shared" si="46"/>
        <v>3.4919222799141783</v>
      </c>
      <c r="CZ13" s="1397">
        <f t="shared" si="46"/>
        <v>3.4999660166152444</v>
      </c>
    </row>
    <row r="14" spans="1:104" x14ac:dyDescent="0.25">
      <c r="A14" s="964" t="str">
        <f>'HyARC Physical Property Data'!$A$87</f>
        <v>Woody Biomass MYPP</v>
      </c>
      <c r="B14" s="260">
        <v>2007</v>
      </c>
      <c r="C14" s="874">
        <f>VLOOKUP(ref_year,DeflatorTable,2,FALSE)/VLOOKUP(B14,DeflatorTable,2,FALSE)</f>
        <v>1.1446359956438654</v>
      </c>
      <c r="D14" s="1259" t="str">
        <f>+'HyARC Physical Property Data'!$H$87</f>
        <v>kg</v>
      </c>
      <c r="E14" s="901" t="s">
        <v>1052</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65">
        <f t="shared" ref="O14:T14" si="48">N14-($N$14-$U$14)/7</f>
        <v>4.9664808197552768</v>
      </c>
      <c r="P14" s="965">
        <f t="shared" si="48"/>
        <v>4.8458272435653873</v>
      </c>
      <c r="Q14" s="965">
        <f t="shared" si="48"/>
        <v>4.7251736673754978</v>
      </c>
      <c r="R14" s="965">
        <f t="shared" si="48"/>
        <v>4.6045200911856083</v>
      </c>
      <c r="S14" s="965">
        <f t="shared" si="48"/>
        <v>4.4838665149957189</v>
      </c>
      <c r="T14" s="965">
        <f t="shared" si="48"/>
        <v>4.3632129388058294</v>
      </c>
      <c r="U14" s="965">
        <f>3.70647033533964*$C$14</f>
        <v>4.2425593626159408</v>
      </c>
      <c r="V14" s="965">
        <f t="shared" ref="V14:BV14" si="49">3.70647033533964*$C$14</f>
        <v>4.2425593626159408</v>
      </c>
      <c r="W14" s="965">
        <f t="shared" si="49"/>
        <v>4.2425593626159408</v>
      </c>
      <c r="X14" s="965">
        <f t="shared" si="49"/>
        <v>4.2425593626159408</v>
      </c>
      <c r="Y14" s="965">
        <f t="shared" si="49"/>
        <v>4.2425593626159408</v>
      </c>
      <c r="Z14" s="965">
        <f t="shared" si="49"/>
        <v>4.2425593626159408</v>
      </c>
      <c r="AA14" s="965">
        <f t="shared" si="49"/>
        <v>4.2425593626159408</v>
      </c>
      <c r="AB14" s="965">
        <f t="shared" si="49"/>
        <v>4.2425593626159408</v>
      </c>
      <c r="AC14" s="965">
        <f t="shared" si="49"/>
        <v>4.2425593626159408</v>
      </c>
      <c r="AD14" s="965">
        <f t="shared" si="49"/>
        <v>4.2425593626159408</v>
      </c>
      <c r="AE14" s="965">
        <f t="shared" si="49"/>
        <v>4.2425593626159408</v>
      </c>
      <c r="AF14" s="965">
        <f t="shared" si="49"/>
        <v>4.2425593626159408</v>
      </c>
      <c r="AG14" s="965">
        <f t="shared" si="49"/>
        <v>4.2425593626159408</v>
      </c>
      <c r="AH14" s="965">
        <f t="shared" si="49"/>
        <v>4.2425593626159408</v>
      </c>
      <c r="AI14" s="965">
        <f t="shared" si="49"/>
        <v>4.2425593626159408</v>
      </c>
      <c r="AJ14" s="965">
        <f t="shared" si="49"/>
        <v>4.2425593626159408</v>
      </c>
      <c r="AK14" s="965">
        <f t="shared" si="49"/>
        <v>4.2425593626159408</v>
      </c>
      <c r="AL14" s="965">
        <f t="shared" si="49"/>
        <v>4.2425593626159408</v>
      </c>
      <c r="AM14" s="965">
        <f t="shared" si="49"/>
        <v>4.2425593626159408</v>
      </c>
      <c r="AN14" s="965">
        <f t="shared" si="49"/>
        <v>4.2425593626159408</v>
      </c>
      <c r="AO14" s="965">
        <f t="shared" si="49"/>
        <v>4.2425593626159408</v>
      </c>
      <c r="AP14" s="965">
        <f t="shared" si="49"/>
        <v>4.2425593626159408</v>
      </c>
      <c r="AQ14" s="965">
        <f t="shared" si="49"/>
        <v>4.2425593626159408</v>
      </c>
      <c r="AR14" s="965">
        <f t="shared" si="49"/>
        <v>4.2425593626159408</v>
      </c>
      <c r="AS14" s="965">
        <f t="shared" si="49"/>
        <v>4.2425593626159408</v>
      </c>
      <c r="AT14" s="965">
        <f t="shared" si="49"/>
        <v>4.2425593626159408</v>
      </c>
      <c r="AU14" s="965">
        <f t="shared" si="49"/>
        <v>4.2425593626159408</v>
      </c>
      <c r="AV14" s="965">
        <f t="shared" si="49"/>
        <v>4.2425593626159408</v>
      </c>
      <c r="AW14" s="965">
        <f t="shared" si="49"/>
        <v>4.2425593626159408</v>
      </c>
      <c r="AX14" s="965">
        <f t="shared" si="49"/>
        <v>4.2425593626159408</v>
      </c>
      <c r="AY14" s="965">
        <f t="shared" si="49"/>
        <v>4.2425593626159408</v>
      </c>
      <c r="AZ14" s="965">
        <f t="shared" si="49"/>
        <v>4.2425593626159408</v>
      </c>
      <c r="BA14" s="965">
        <f t="shared" si="49"/>
        <v>4.2425593626159408</v>
      </c>
      <c r="BB14" s="965">
        <f t="shared" si="49"/>
        <v>4.2425593626159408</v>
      </c>
      <c r="BC14" s="965">
        <f t="shared" si="49"/>
        <v>4.2425593626159408</v>
      </c>
      <c r="BD14" s="965">
        <f t="shared" si="49"/>
        <v>4.2425593626159408</v>
      </c>
      <c r="BE14" s="965">
        <f t="shared" si="49"/>
        <v>4.2425593626159408</v>
      </c>
      <c r="BF14" s="965">
        <f t="shared" si="49"/>
        <v>4.2425593626159408</v>
      </c>
      <c r="BG14" s="965">
        <f t="shared" si="49"/>
        <v>4.2425593626159408</v>
      </c>
      <c r="BH14" s="965">
        <f t="shared" si="49"/>
        <v>4.2425593626159408</v>
      </c>
      <c r="BI14" s="965">
        <f t="shared" si="49"/>
        <v>4.2425593626159408</v>
      </c>
      <c r="BJ14" s="965">
        <f t="shared" si="49"/>
        <v>4.2425593626159408</v>
      </c>
      <c r="BK14" s="965">
        <f t="shared" si="49"/>
        <v>4.2425593626159408</v>
      </c>
      <c r="BL14" s="965">
        <f t="shared" si="49"/>
        <v>4.2425593626159408</v>
      </c>
      <c r="BM14" s="965">
        <f t="shared" si="49"/>
        <v>4.2425593626159408</v>
      </c>
      <c r="BN14" s="965">
        <f t="shared" si="49"/>
        <v>4.2425593626159408</v>
      </c>
      <c r="BO14" s="965">
        <f t="shared" si="49"/>
        <v>4.2425593626159408</v>
      </c>
      <c r="BP14" s="965">
        <f t="shared" si="49"/>
        <v>4.2425593626159408</v>
      </c>
      <c r="BQ14" s="965">
        <f t="shared" si="49"/>
        <v>4.2425593626159408</v>
      </c>
      <c r="BR14" s="965">
        <f t="shared" si="49"/>
        <v>4.2425593626159408</v>
      </c>
      <c r="BS14" s="965">
        <f t="shared" si="49"/>
        <v>4.2425593626159408</v>
      </c>
      <c r="BT14" s="965">
        <f t="shared" si="49"/>
        <v>4.2425593626159408</v>
      </c>
      <c r="BU14" s="965">
        <f t="shared" si="49"/>
        <v>4.2425593626159408</v>
      </c>
      <c r="BV14" s="965">
        <f t="shared" si="49"/>
        <v>4.2425593626159408</v>
      </c>
      <c r="BW14" s="1397">
        <f>+BV14*BW$137/BV$137</f>
        <v>4.2527568062628252</v>
      </c>
      <c r="BX14" s="1397">
        <f t="shared" ref="BX14:CZ14" si="50">+BW14*BX$137/BW$137</f>
        <v>4.2629787605524712</v>
      </c>
      <c r="BY14" s="1397">
        <f t="shared" si="50"/>
        <v>4.2732252843988219</v>
      </c>
      <c r="BZ14" s="1397">
        <f t="shared" si="50"/>
        <v>4.2834964368574244</v>
      </c>
      <c r="CA14" s="1397">
        <f t="shared" si="50"/>
        <v>4.2937922771257746</v>
      </c>
      <c r="CB14" s="1397">
        <f t="shared" si="50"/>
        <v>4.302804903291757</v>
      </c>
      <c r="CC14" s="1397">
        <f t="shared" si="50"/>
        <v>4.3118364468680763</v>
      </c>
      <c r="CD14" s="1397">
        <f t="shared" si="50"/>
        <v>4.3208869475621841</v>
      </c>
      <c r="CE14" s="1397">
        <f t="shared" si="50"/>
        <v>4.3299564451648767</v>
      </c>
      <c r="CF14" s="1397">
        <f t="shared" si="50"/>
        <v>4.3390449795504713</v>
      </c>
      <c r="CG14" s="1397">
        <f t="shared" si="50"/>
        <v>4.3502256342328796</v>
      </c>
      <c r="CH14" s="1397">
        <f t="shared" si="50"/>
        <v>4.361435098720146</v>
      </c>
      <c r="CI14" s="1397">
        <f t="shared" si="50"/>
        <v>4.3726734472480695</v>
      </c>
      <c r="CJ14" s="1397">
        <f t="shared" si="50"/>
        <v>4.3839407542437394</v>
      </c>
      <c r="CK14" s="1397">
        <f t="shared" si="50"/>
        <v>4.3952370943260251</v>
      </c>
      <c r="CL14" s="1397">
        <f t="shared" si="50"/>
        <v>4.4046447412304142</v>
      </c>
      <c r="CM14" s="1397">
        <f t="shared" si="50"/>
        <v>4.4140725244365262</v>
      </c>
      <c r="CN14" s="1397">
        <f t="shared" si="50"/>
        <v>4.4235204870444758</v>
      </c>
      <c r="CO14" s="1397">
        <f t="shared" si="50"/>
        <v>4.4329886722466272</v>
      </c>
      <c r="CP14" s="1397">
        <f t="shared" si="50"/>
        <v>4.4424771233277953</v>
      </c>
      <c r="CQ14" s="1397">
        <f t="shared" si="50"/>
        <v>4.4511618127714661</v>
      </c>
      <c r="CR14" s="1397">
        <f t="shared" si="50"/>
        <v>4.4598634800922632</v>
      </c>
      <c r="CS14" s="1397">
        <f t="shared" si="50"/>
        <v>4.4685821584805847</v>
      </c>
      <c r="CT14" s="1397">
        <f t="shared" si="50"/>
        <v>4.4773178811917154</v>
      </c>
      <c r="CU14" s="1397">
        <f t="shared" si="50"/>
        <v>4.486070681545951</v>
      </c>
      <c r="CV14" s="1397">
        <f t="shared" si="50"/>
        <v>4.4964044657748525</v>
      </c>
      <c r="CW14" s="1397">
        <f t="shared" si="50"/>
        <v>4.5067620541531026</v>
      </c>
      <c r="CX14" s="1397">
        <f t="shared" si="50"/>
        <v>4.5171435015141972</v>
      </c>
      <c r="CY14" s="1397">
        <f t="shared" si="50"/>
        <v>4.5275488628179446</v>
      </c>
      <c r="CZ14" s="1397">
        <f t="shared" si="50"/>
        <v>4.537978193150753</v>
      </c>
    </row>
    <row r="15" spans="1:104" x14ac:dyDescent="0.25">
      <c r="A15" s="970" t="str">
        <f>'HyARC Physical Property Data'!A79</f>
        <v>Electric Utility Steam Coal</v>
      </c>
      <c r="B15" s="260">
        <v>2007</v>
      </c>
      <c r="C15" s="874">
        <f>VLOOKUP(ref_year,DeflatorTable,2,FALSE)/VLOOKUP(B15,DeflatorTable,2,FALSE)</f>
        <v>1.1446359956438654</v>
      </c>
      <c r="D15" s="1259" t="str">
        <f>+'HyARC Physical Property Data'!$H$79</f>
        <v>kg</v>
      </c>
      <c r="E15" s="901" t="s">
        <v>1052</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75">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75">
        <f>(1.02844862093285*BB15)</f>
        <v>2.511095364132073</v>
      </c>
      <c r="BR15" s="260">
        <f>(($BV$15-$BQ$15)/5+BQ15)</f>
        <v>2.5158578441414332</v>
      </c>
      <c r="BS15" s="260">
        <f>(($BV$15-$BQ$15)/5+BR15)</f>
        <v>2.5206203241507934</v>
      </c>
      <c r="BT15" s="260">
        <f>(($BV$15-$BQ$15)/5+BS15)</f>
        <v>2.5253828041601536</v>
      </c>
      <c r="BU15" s="260">
        <f>(($BV$15-$BQ$15)/5+BT15)</f>
        <v>2.5301452841695138</v>
      </c>
      <c r="BV15" s="1078">
        <f>(1.00948287364428*BQ15)</f>
        <v>2.5349077641788749</v>
      </c>
      <c r="BW15" s="1397">
        <f>+BV15*BW$138/BV$138</f>
        <v>2.5434781738814416</v>
      </c>
      <c r="BX15" s="1397">
        <f t="shared" ref="BX15:CZ15" si="53">+BW15*BX$138/BW$138</f>
        <v>2.5520775597556495</v>
      </c>
      <c r="BY15" s="1397">
        <f t="shared" si="53"/>
        <v>2.5607060197686384</v>
      </c>
      <c r="BZ15" s="1397">
        <f t="shared" si="53"/>
        <v>2.5693636522187702</v>
      </c>
      <c r="CA15" s="1397">
        <f t="shared" si="53"/>
        <v>2.5780505557367492</v>
      </c>
      <c r="CB15" s="1397">
        <f t="shared" si="53"/>
        <v>2.5854319192311639</v>
      </c>
      <c r="CC15" s="1397">
        <f t="shared" si="53"/>
        <v>2.592834416728135</v>
      </c>
      <c r="CD15" s="1397">
        <f t="shared" si="53"/>
        <v>2.6002581087376306</v>
      </c>
      <c r="CE15" s="1397">
        <f t="shared" si="53"/>
        <v>2.6077030559428676</v>
      </c>
      <c r="CF15" s="1397">
        <f t="shared" si="53"/>
        <v>2.6151693192008074</v>
      </c>
      <c r="CG15" s="1397">
        <f t="shared" si="53"/>
        <v>2.620869818974227</v>
      </c>
      <c r="CH15" s="1397">
        <f t="shared" si="53"/>
        <v>2.6265827445961101</v>
      </c>
      <c r="CI15" s="1397">
        <f t="shared" si="53"/>
        <v>2.6323081231521006</v>
      </c>
      <c r="CJ15" s="1397">
        <f t="shared" si="53"/>
        <v>2.6380459817868847</v>
      </c>
      <c r="CK15" s="1397">
        <f t="shared" si="53"/>
        <v>2.6437963477043169</v>
      </c>
      <c r="CL15" s="1397">
        <f t="shared" si="53"/>
        <v>2.6476946163242814</v>
      </c>
      <c r="CM15" s="1397">
        <f t="shared" si="53"/>
        <v>2.6515986329279162</v>
      </c>
      <c r="CN15" s="1397">
        <f t="shared" si="53"/>
        <v>2.6555084059906031</v>
      </c>
      <c r="CO15" s="1397">
        <f t="shared" si="53"/>
        <v>2.6594239440002214</v>
      </c>
      <c r="CP15" s="1397">
        <f t="shared" si="53"/>
        <v>2.6633452554571648</v>
      </c>
      <c r="CQ15" s="1397">
        <f t="shared" si="53"/>
        <v>2.6646584413422429</v>
      </c>
      <c r="CR15" s="1397">
        <f t="shared" si="53"/>
        <v>2.6659722747052119</v>
      </c>
      <c r="CS15" s="1397">
        <f t="shared" si="53"/>
        <v>2.6672867558653164</v>
      </c>
      <c r="CT15" s="1397">
        <f t="shared" si="53"/>
        <v>2.6686018851419582</v>
      </c>
      <c r="CU15" s="1397">
        <f t="shared" si="53"/>
        <v>2.6699176628546981</v>
      </c>
      <c r="CV15" s="1397">
        <f t="shared" si="53"/>
        <v>2.6680266065225413</v>
      </c>
      <c r="CW15" s="1397">
        <f t="shared" si="53"/>
        <v>2.6661368895927571</v>
      </c>
      <c r="CX15" s="1397">
        <f t="shared" si="53"/>
        <v>2.6642485111166696</v>
      </c>
      <c r="CY15" s="1397">
        <f t="shared" si="53"/>
        <v>2.662361470146275</v>
      </c>
      <c r="CZ15" s="1397">
        <f t="shared" si="53"/>
        <v>2.6604757657342417</v>
      </c>
    </row>
    <row r="16" spans="1:104" x14ac:dyDescent="0.25">
      <c r="A16" s="964" t="str">
        <f>'HyARC Physical Property Data'!A76</f>
        <v>Commercial Electricity</v>
      </c>
      <c r="B16" s="260">
        <v>2007</v>
      </c>
      <c r="C16" s="874">
        <f t="shared" si="37"/>
        <v>1.1446359956438654</v>
      </c>
      <c r="D16" s="1259" t="str">
        <f>'HyARC Physical Property Data'!$H$76</f>
        <v>kWh</v>
      </c>
      <c r="E16" s="874" t="s">
        <v>1071</v>
      </c>
      <c r="F16" s="874"/>
      <c r="G16" s="874"/>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75">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75">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78">
        <f>1.00317623736115*BQ16</f>
        <v>32.388575392639169</v>
      </c>
      <c r="BW16" s="1397">
        <f>+BV16*BW$139/BV$139</f>
        <v>32.37431458077026</v>
      </c>
      <c r="BX16" s="1397">
        <f t="shared" ref="BX16:CZ16" si="57">+BW16*BX$139/BW$139</f>
        <v>32.360060047990594</v>
      </c>
      <c r="BY16" s="1397">
        <f t="shared" si="57"/>
        <v>32.345811791535453</v>
      </c>
      <c r="BZ16" s="1397">
        <f t="shared" si="57"/>
        <v>32.331569808641355</v>
      </c>
      <c r="CA16" s="1397">
        <f t="shared" si="57"/>
        <v>32.317334096546027</v>
      </c>
      <c r="CB16" s="1397">
        <f t="shared" si="57"/>
        <v>32.291448416621037</v>
      </c>
      <c r="CC16" s="1397">
        <f t="shared" si="57"/>
        <v>32.265583470721417</v>
      </c>
      <c r="CD16" s="1397">
        <f t="shared" si="57"/>
        <v>32.239739242239537</v>
      </c>
      <c r="CE16" s="1397">
        <f t="shared" si="57"/>
        <v>32.213915714581077</v>
      </c>
      <c r="CF16" s="1397">
        <f t="shared" si="57"/>
        <v>32.188112871164996</v>
      </c>
      <c r="CG16" s="1397">
        <f t="shared" si="57"/>
        <v>32.152568008354812</v>
      </c>
      <c r="CH16" s="1397">
        <f t="shared" si="57"/>
        <v>32.11706239721736</v>
      </c>
      <c r="CI16" s="1397">
        <f t="shared" si="57"/>
        <v>32.081595994407593</v>
      </c>
      <c r="CJ16" s="1397">
        <f t="shared" si="57"/>
        <v>32.046168756628319</v>
      </c>
      <c r="CK16" s="1397">
        <f t="shared" si="57"/>
        <v>32.010780640630173</v>
      </c>
      <c r="CL16" s="1397">
        <f t="shared" si="57"/>
        <v>31.972198945666406</v>
      </c>
      <c r="CM16" s="1397">
        <f t="shared" si="57"/>
        <v>31.933663752136113</v>
      </c>
      <c r="CN16" s="1397">
        <f t="shared" si="57"/>
        <v>31.895175003992414</v>
      </c>
      <c r="CO16" s="1397">
        <f t="shared" si="57"/>
        <v>31.856732645255992</v>
      </c>
      <c r="CP16" s="1397">
        <f t="shared" si="57"/>
        <v>31.818336620015</v>
      </c>
      <c r="CQ16" s="1397">
        <f t="shared" si="57"/>
        <v>31.773863996680806</v>
      </c>
      <c r="CR16" s="1397">
        <f t="shared" si="57"/>
        <v>31.729453532919873</v>
      </c>
      <c r="CS16" s="1397">
        <f t="shared" si="57"/>
        <v>31.685105141851508</v>
      </c>
      <c r="CT16" s="1397">
        <f t="shared" si="57"/>
        <v>31.640818736716444</v>
      </c>
      <c r="CU16" s="1397">
        <f t="shared" si="57"/>
        <v>31.596594230876679</v>
      </c>
      <c r="CV16" s="1397">
        <f t="shared" si="57"/>
        <v>31.553423239824536</v>
      </c>
      <c r="CW16" s="1397">
        <f t="shared" si="57"/>
        <v>31.510311234068549</v>
      </c>
      <c r="CX16" s="1397">
        <f t="shared" si="57"/>
        <v>31.467258133016063</v>
      </c>
      <c r="CY16" s="1397">
        <f t="shared" si="57"/>
        <v>31.424263856184528</v>
      </c>
      <c r="CZ16" s="1397">
        <f t="shared" si="57"/>
        <v>31.381328323201359</v>
      </c>
    </row>
    <row r="17" spans="1:104" x14ac:dyDescent="0.25">
      <c r="A17" s="964" t="str">
        <f>'HyARC Physical Property Data'!A77</f>
        <v>Industrial Electricity</v>
      </c>
      <c r="B17" s="260">
        <v>2007</v>
      </c>
      <c r="C17" s="874">
        <f t="shared" si="37"/>
        <v>1.1446359956438654</v>
      </c>
      <c r="D17" s="964" t="str">
        <f>'HyARC Physical Property Data'!$H$77</f>
        <v>kWh</v>
      </c>
      <c r="E17" s="874" t="s">
        <v>1071</v>
      </c>
      <c r="F17" s="874"/>
      <c r="G17" s="874"/>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75">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75">
        <f>1.00952871208344*BB17</f>
        <v>22.387679993913494</v>
      </c>
      <c r="BR17" s="260">
        <f t="shared" si="56"/>
        <v>22.401901711038722</v>
      </c>
      <c r="BS17" s="260">
        <f t="shared" si="56"/>
        <v>22.416123428163949</v>
      </c>
      <c r="BT17" s="260">
        <f t="shared" si="56"/>
        <v>22.430345145289177</v>
      </c>
      <c r="BU17" s="260">
        <f t="shared" si="56"/>
        <v>22.444566862414405</v>
      </c>
      <c r="BV17" s="1078">
        <f>1.00317623736115*BQ17</f>
        <v>22.458788579539629</v>
      </c>
      <c r="BW17" s="1397">
        <f>+BV17*BW$140/BV$140</f>
        <v>22.465574719294207</v>
      </c>
      <c r="BX17" s="1397">
        <f t="shared" ref="BX17:CZ17" si="58">+BW17*BX$140/BW$140</f>
        <v>22.472362909546415</v>
      </c>
      <c r="BY17" s="1397">
        <f t="shared" si="58"/>
        <v>22.479153150915831</v>
      </c>
      <c r="BZ17" s="1397">
        <f t="shared" si="58"/>
        <v>22.485945444022224</v>
      </c>
      <c r="CA17" s="1397">
        <f t="shared" si="58"/>
        <v>22.492739789485537</v>
      </c>
      <c r="CB17" s="1397">
        <f t="shared" si="58"/>
        <v>22.49019603346196</v>
      </c>
      <c r="CC17" s="1397">
        <f t="shared" si="58"/>
        <v>22.487652565117642</v>
      </c>
      <c r="CD17" s="1397">
        <f t="shared" si="58"/>
        <v>22.485109384420049</v>
      </c>
      <c r="CE17" s="1397">
        <f t="shared" si="58"/>
        <v>22.482566491336648</v>
      </c>
      <c r="CF17" s="1397">
        <f t="shared" si="58"/>
        <v>22.480023885834914</v>
      </c>
      <c r="CG17" s="1397">
        <f t="shared" si="58"/>
        <v>22.469826748009918</v>
      </c>
      <c r="CH17" s="1397">
        <f t="shared" si="58"/>
        <v>22.459634235696903</v>
      </c>
      <c r="CI17" s="1397">
        <f t="shared" si="58"/>
        <v>22.449446346797696</v>
      </c>
      <c r="CJ17" s="1397">
        <f t="shared" si="58"/>
        <v>22.439263079215074</v>
      </c>
      <c r="CK17" s="1397">
        <f t="shared" si="58"/>
        <v>22.429084430852768</v>
      </c>
      <c r="CL17" s="1397">
        <f t="shared" si="58"/>
        <v>22.41659732007183</v>
      </c>
      <c r="CM17" s="1397">
        <f t="shared" si="58"/>
        <v>22.404117161332831</v>
      </c>
      <c r="CN17" s="1397">
        <f t="shared" si="58"/>
        <v>22.39164395076531</v>
      </c>
      <c r="CO17" s="1397">
        <f t="shared" si="58"/>
        <v>22.379177684500963</v>
      </c>
      <c r="CP17" s="1397">
        <f t="shared" si="58"/>
        <v>22.36671835867363</v>
      </c>
      <c r="CQ17" s="1397">
        <f t="shared" si="58"/>
        <v>22.349648462331068</v>
      </c>
      <c r="CR17" s="1397">
        <f t="shared" si="58"/>
        <v>22.332591593441013</v>
      </c>
      <c r="CS17" s="1397">
        <f t="shared" si="58"/>
        <v>22.315547742061138</v>
      </c>
      <c r="CT17" s="1397">
        <f t="shared" si="58"/>
        <v>22.2985168982567</v>
      </c>
      <c r="CU17" s="1397">
        <f t="shared" si="58"/>
        <v>22.281499052100536</v>
      </c>
      <c r="CV17" s="1397">
        <f t="shared" si="58"/>
        <v>22.265499049909142</v>
      </c>
      <c r="CW17" s="1397">
        <f t="shared" si="58"/>
        <v>22.249510537073537</v>
      </c>
      <c r="CX17" s="1397">
        <f t="shared" si="58"/>
        <v>22.233533505343395</v>
      </c>
      <c r="CY17" s="1397">
        <f t="shared" si="58"/>
        <v>22.217567946474304</v>
      </c>
      <c r="CZ17" s="1397">
        <f t="shared" si="58"/>
        <v>22.20161385222778</v>
      </c>
    </row>
    <row r="18" spans="1:104" ht="13" thickBot="1" x14ac:dyDescent="0.3">
      <c r="A18" s="967" t="str">
        <f>'HyARC Physical Property Data'!A78</f>
        <v>Residential Electricity</v>
      </c>
      <c r="B18" s="880">
        <v>2007</v>
      </c>
      <c r="C18" s="881">
        <f t="shared" si="37"/>
        <v>1.1446359956438654</v>
      </c>
      <c r="D18" s="967" t="str">
        <f>'HyARC Physical Property Data'!$H$78</f>
        <v>kWh</v>
      </c>
      <c r="E18" s="881" t="s">
        <v>1071</v>
      </c>
      <c r="F18" s="880"/>
      <c r="G18" s="880"/>
      <c r="H18" s="880">
        <f>(31.2067794799805/(mmBTU_to_GJ))*($C$18)</f>
        <v>33.858201991380128</v>
      </c>
      <c r="I18" s="880">
        <f>(31.2067794799805/(mmBTU_to_GJ))*($C$18)</f>
        <v>33.858201991380128</v>
      </c>
      <c r="J18" s="880">
        <f>(31.2067794799805/(mmBTU_to_GJ))*($C$18)</f>
        <v>33.858201991380128</v>
      </c>
      <c r="K18" s="880">
        <f>(31.181957244873/(mmBTU_to_GJ))*($C$18)</f>
        <v>33.831270783990192</v>
      </c>
      <c r="L18" s="880">
        <f>(31.772819519043/(mmBTU_to_GJ))*($C$18)</f>
        <v>34.472334506722866</v>
      </c>
      <c r="M18" s="880">
        <f>(30.736837387085/(mmBTU_to_GJ))*($C$18)</f>
        <v>33.348332194795859</v>
      </c>
      <c r="N18" s="880">
        <f>(28.6163578033447/(mmBTU_to_GJ))*($C$18)</f>
        <v>31.047690242590104</v>
      </c>
      <c r="O18" s="880">
        <f>(29.8736190795898/(mmBTU_to_GJ))*($C$18)</f>
        <v>32.411772245167633</v>
      </c>
      <c r="P18" s="880">
        <f>(30.101655960083/(mmBTU_to_GJ))*($C$18)</f>
        <v>32.659183829761808</v>
      </c>
      <c r="Q18" s="880">
        <f>(30.4253902435303/(mmBTU_to_GJ))*($C$18)</f>
        <v>33.010423558536921</v>
      </c>
      <c r="R18" s="880">
        <f>(30.7938537597656/(mmBTU_to_GJ))*($C$18)</f>
        <v>33.410192851204634</v>
      </c>
      <c r="S18" s="880">
        <f>(30.8830280303955/(mmBTU_to_GJ))*($C$18)</f>
        <v>33.50694363798025</v>
      </c>
      <c r="T18" s="880">
        <f>(31.1491451263428/(mmBTU_to_GJ))*($C$18)</f>
        <v>33.795670848480235</v>
      </c>
      <c r="U18" s="880">
        <f>(31.4898681640625/(mmBTU_to_GJ))*($C$18)</f>
        <v>34.165342747550469</v>
      </c>
      <c r="V18" s="880">
        <f>(31.8156299591064/(mmBTU_to_GJ))*($C$18)</f>
        <v>34.518782251448862</v>
      </c>
      <c r="W18" s="880">
        <f>(32.0206985473633/(mmBTU_to_GJ))*($C$18)</f>
        <v>34.741274088126325</v>
      </c>
      <c r="X18" s="880">
        <f>(32.4303588867188/(mmBTU_to_GJ))*($C$18)</f>
        <v>35.185740410793606</v>
      </c>
      <c r="Y18" s="880">
        <f>(32.7907905578613/(mmBTU_to_GJ))*($C$18)</f>
        <v>35.576795448480595</v>
      </c>
      <c r="Z18" s="880">
        <f>(32.9940071105957/(mmBTU_to_GJ))*($C$18)</f>
        <v>35.797277895087667</v>
      </c>
      <c r="AA18" s="880">
        <f>(32.9234657287598/(mmBTU_to_GJ))*($C$18)</f>
        <v>35.720743103777878</v>
      </c>
      <c r="AB18" s="880">
        <f>(32.9201545715332/(mmBTU_to_GJ))*($C$18)</f>
        <v>35.717150620603661</v>
      </c>
      <c r="AC18" s="880">
        <f>(32.902271270752/(mmBTU_to_GJ))*($C$18)</f>
        <v>35.69774790041874</v>
      </c>
      <c r="AD18" s="880">
        <f>(32.9582405090332/(mmBTU_to_GJ))*($C$18)</f>
        <v>35.758472454717726</v>
      </c>
      <c r="AE18" s="880">
        <f>(33.321102142334/(mmBTU_to_GJ))*($C$18)</f>
        <v>36.152163911508453</v>
      </c>
      <c r="AF18" s="880">
        <f>(33.7343635559082/(mmBTU_to_GJ))*($C$18)</f>
        <v>36.600537266567883</v>
      </c>
      <c r="AG18" s="880">
        <f>(34.1495399475098/(mmBTU_to_GJ))*($C$18)</f>
        <v>37.050988301988475</v>
      </c>
      <c r="AH18" s="880">
        <f>(34.4904899597167/(mmBTU_to_GJ))*($C$18)</f>
        <v>37.420906459985844</v>
      </c>
      <c r="AI18" s="880">
        <f t="shared" si="54"/>
        <v>37.409873259446485</v>
      </c>
      <c r="AJ18" s="880">
        <f t="shared" si="54"/>
        <v>37.398840058907126</v>
      </c>
      <c r="AK18" s="880">
        <f t="shared" si="54"/>
        <v>37.387806858367767</v>
      </c>
      <c r="AL18" s="880">
        <f t="shared" si="54"/>
        <v>37.376773657828409</v>
      </c>
      <c r="AM18" s="880">
        <f t="shared" si="54"/>
        <v>37.36574045728905</v>
      </c>
      <c r="AN18" s="880">
        <f t="shared" si="54"/>
        <v>37.354707256749691</v>
      </c>
      <c r="AO18" s="880">
        <f t="shared" si="54"/>
        <v>37.343674056210332</v>
      </c>
      <c r="AP18" s="880">
        <f t="shared" si="54"/>
        <v>37.332640855670974</v>
      </c>
      <c r="AQ18" s="880">
        <f t="shared" si="54"/>
        <v>37.321607655131615</v>
      </c>
      <c r="AR18" s="880">
        <f t="shared" si="54"/>
        <v>37.310574454592256</v>
      </c>
      <c r="AS18" s="880">
        <f t="shared" si="54"/>
        <v>37.299541254052897</v>
      </c>
      <c r="AT18" s="880">
        <f t="shared" si="54"/>
        <v>37.288508053513539</v>
      </c>
      <c r="AU18" s="880">
        <f t="shared" si="54"/>
        <v>37.27747485297418</v>
      </c>
      <c r="AV18" s="880">
        <f t="shared" si="54"/>
        <v>37.266441652434821</v>
      </c>
      <c r="AW18" s="880">
        <f t="shared" si="54"/>
        <v>37.255408451895462</v>
      </c>
      <c r="AX18" s="880">
        <f t="shared" si="54"/>
        <v>37.244375251356104</v>
      </c>
      <c r="AY18" s="880">
        <f t="shared" si="54"/>
        <v>37.233342050816745</v>
      </c>
      <c r="AZ18" s="880">
        <f t="shared" si="54"/>
        <v>37.222308850277386</v>
      </c>
      <c r="BA18" s="880">
        <f t="shared" si="54"/>
        <v>37.211275649738027</v>
      </c>
      <c r="BB18" s="1079">
        <f>0.994103189054944*AH18</f>
        <v>37.200242449198683</v>
      </c>
      <c r="BC18" s="880">
        <f t="shared" si="55"/>
        <v>37.223873809180851</v>
      </c>
      <c r="BD18" s="880">
        <f t="shared" si="55"/>
        <v>37.24750516916302</v>
      </c>
      <c r="BE18" s="880">
        <f t="shared" si="55"/>
        <v>37.271136529145188</v>
      </c>
      <c r="BF18" s="880">
        <f t="shared" si="55"/>
        <v>37.294767889127357</v>
      </c>
      <c r="BG18" s="880">
        <f t="shared" si="55"/>
        <v>37.318399249109525</v>
      </c>
      <c r="BH18" s="880">
        <f t="shared" si="55"/>
        <v>37.342030609091694</v>
      </c>
      <c r="BI18" s="880">
        <f t="shared" si="55"/>
        <v>37.365661969073862</v>
      </c>
      <c r="BJ18" s="880">
        <f t="shared" si="55"/>
        <v>37.389293329056031</v>
      </c>
      <c r="BK18" s="880">
        <f t="shared" si="55"/>
        <v>37.412924689038199</v>
      </c>
      <c r="BL18" s="880">
        <f t="shared" si="55"/>
        <v>37.436556049020368</v>
      </c>
      <c r="BM18" s="880">
        <f t="shared" si="55"/>
        <v>37.460187409002536</v>
      </c>
      <c r="BN18" s="880">
        <f t="shared" si="55"/>
        <v>37.483818768984705</v>
      </c>
      <c r="BO18" s="880">
        <f t="shared" si="55"/>
        <v>37.507450128966873</v>
      </c>
      <c r="BP18" s="880">
        <f t="shared" si="55"/>
        <v>37.531081488949042</v>
      </c>
      <c r="BQ18" s="1079">
        <f>1.00952871208344*BB18</f>
        <v>37.55471284893126</v>
      </c>
      <c r="BR18" s="880">
        <f t="shared" si="56"/>
        <v>37.578569385338866</v>
      </c>
      <c r="BS18" s="880">
        <f t="shared" si="56"/>
        <v>37.602425921746473</v>
      </c>
      <c r="BT18" s="880">
        <f t="shared" si="56"/>
        <v>37.62628245815408</v>
      </c>
      <c r="BU18" s="880">
        <f t="shared" si="56"/>
        <v>37.650138994561686</v>
      </c>
      <c r="BV18" s="1080">
        <f>1.00317623736115*BQ18</f>
        <v>37.673995530969293</v>
      </c>
      <c r="BW18" s="1397">
        <f>+BV18*BW$141/BV$141</f>
        <v>37.657407528684409</v>
      </c>
      <c r="BX18" s="1397">
        <f t="shared" ref="BX18:CZ18" si="59">+BW18*BX$141/BW$141</f>
        <v>37.640826830159476</v>
      </c>
      <c r="BY18" s="1397">
        <f t="shared" si="59"/>
        <v>37.62425343217862</v>
      </c>
      <c r="BZ18" s="1397">
        <f t="shared" si="59"/>
        <v>37.607687331527387</v>
      </c>
      <c r="CA18" s="1397">
        <f t="shared" si="59"/>
        <v>37.59112852499274</v>
      </c>
      <c r="CB18" s="1397">
        <f t="shared" si="59"/>
        <v>37.561018618089207</v>
      </c>
      <c r="CC18" s="1397">
        <f t="shared" si="59"/>
        <v>37.530932828750899</v>
      </c>
      <c r="CD18" s="1397">
        <f t="shared" si="59"/>
        <v>37.500871137660013</v>
      </c>
      <c r="CE18" s="1397">
        <f t="shared" si="59"/>
        <v>37.47083352551423</v>
      </c>
      <c r="CF18" s="1397">
        <f t="shared" si="59"/>
        <v>37.440819973026684</v>
      </c>
      <c r="CG18" s="1397">
        <f t="shared" si="59"/>
        <v>37.399474622500279</v>
      </c>
      <c r="CH18" s="1397">
        <f t="shared" si="59"/>
        <v>37.358174929040445</v>
      </c>
      <c r="CI18" s="1397">
        <f t="shared" si="59"/>
        <v>37.316920842228761</v>
      </c>
      <c r="CJ18" s="1397">
        <f t="shared" si="59"/>
        <v>37.275712311702456</v>
      </c>
      <c r="CK18" s="1397">
        <f t="shared" si="59"/>
        <v>37.234549287154408</v>
      </c>
      <c r="CL18" s="1397">
        <f t="shared" si="59"/>
        <v>37.189671530537417</v>
      </c>
      <c r="CM18" s="1397">
        <f t="shared" si="59"/>
        <v>37.144847863820196</v>
      </c>
      <c r="CN18" s="1397">
        <f t="shared" si="59"/>
        <v>37.100078221809703</v>
      </c>
      <c r="CO18" s="1397">
        <f t="shared" si="59"/>
        <v>37.055362539391488</v>
      </c>
      <c r="CP18" s="1397">
        <f t="shared" si="59"/>
        <v>37.010700751529562</v>
      </c>
      <c r="CQ18" s="1397">
        <f t="shared" si="59"/>
        <v>36.958970738942355</v>
      </c>
      <c r="CR18" s="1397">
        <f t="shared" si="59"/>
        <v>36.907313029611991</v>
      </c>
      <c r="CS18" s="1397">
        <f t="shared" si="59"/>
        <v>36.855727522479896</v>
      </c>
      <c r="CT18" s="1397">
        <f t="shared" si="59"/>
        <v>36.804214116628756</v>
      </c>
      <c r="CU18" s="1397">
        <f t="shared" si="59"/>
        <v>36.752772711282311</v>
      </c>
      <c r="CV18" s="1397">
        <f t="shared" si="59"/>
        <v>36.70255674147662</v>
      </c>
      <c r="CW18" s="1397">
        <f t="shared" si="59"/>
        <v>36.652409382647399</v>
      </c>
      <c r="CX18" s="1397">
        <f t="shared" si="59"/>
        <v>36.602330541050243</v>
      </c>
      <c r="CY18" s="1397">
        <f t="shared" si="59"/>
        <v>36.552320123068824</v>
      </c>
      <c r="CZ18" s="1397">
        <f t="shared" si="59"/>
        <v>36.502378035214747</v>
      </c>
    </row>
    <row r="19" spans="1:104" ht="13" thickTop="1" x14ac:dyDescent="0.25">
      <c r="AH19" s="260"/>
    </row>
    <row r="20" spans="1:104" x14ac:dyDescent="0.25">
      <c r="E20" s="260"/>
    </row>
    <row r="21" spans="1:104" ht="13" thickBot="1" x14ac:dyDescent="0.3"/>
    <row r="22" spans="1:104" ht="13.5" thickTop="1" x14ac:dyDescent="0.3">
      <c r="A22" s="867" t="s">
        <v>1105</v>
      </c>
      <c r="B22" s="868" t="str">
        <f>"Prices are in $(" &amp; ref_year&amp;")/GJ LHV"</f>
        <v>Prices are in $(2016)/GJ LHV</v>
      </c>
      <c r="C22" s="869"/>
      <c r="D22" s="869"/>
      <c r="E22" s="869"/>
      <c r="F22" s="869"/>
      <c r="G22" s="869"/>
      <c r="H22" s="869"/>
      <c r="I22" s="869"/>
      <c r="J22" s="869"/>
      <c r="K22" s="869"/>
      <c r="L22" s="869"/>
      <c r="M22" s="869"/>
      <c r="N22" s="869"/>
      <c r="O22" s="869"/>
      <c r="P22" s="869"/>
      <c r="Q22" s="869"/>
      <c r="R22" s="869"/>
      <c r="S22" s="869"/>
      <c r="T22" s="869"/>
      <c r="U22" s="869"/>
      <c r="V22" s="869"/>
      <c r="W22" s="869"/>
      <c r="X22" s="869"/>
      <c r="Y22" s="869"/>
      <c r="Z22" s="869"/>
      <c r="AA22" s="869"/>
      <c r="AB22" s="869"/>
      <c r="AC22" s="869"/>
      <c r="AD22" s="869"/>
      <c r="AE22" s="869"/>
      <c r="AF22" s="869"/>
      <c r="AG22" s="869"/>
      <c r="AH22" s="869"/>
      <c r="AI22" s="869"/>
      <c r="AJ22" s="869"/>
      <c r="AK22" s="869"/>
      <c r="AL22" s="869"/>
      <c r="AM22" s="869"/>
      <c r="AN22" s="869"/>
      <c r="AO22" s="869"/>
      <c r="AP22" s="869"/>
      <c r="AQ22" s="869"/>
      <c r="AR22" s="869"/>
      <c r="AS22" s="882" t="s">
        <v>772</v>
      </c>
      <c r="AT22" s="883"/>
      <c r="AU22" s="883"/>
      <c r="AV22" s="883"/>
      <c r="AW22" s="883"/>
      <c r="AX22" s="883"/>
      <c r="AY22" s="883"/>
      <c r="AZ22" s="883"/>
      <c r="BA22" s="883"/>
      <c r="BB22" s="883"/>
      <c r="BC22" s="883"/>
      <c r="BD22" s="883"/>
      <c r="BE22" s="883"/>
      <c r="BF22" s="883"/>
      <c r="BG22" s="883"/>
      <c r="BH22" s="883"/>
      <c r="BI22" s="883"/>
      <c r="BJ22" s="883"/>
      <c r="BK22" s="883"/>
      <c r="BL22" s="883"/>
      <c r="BM22" s="883"/>
      <c r="BN22" s="883"/>
      <c r="BO22" s="883"/>
      <c r="BP22" s="883"/>
      <c r="BQ22" s="883"/>
      <c r="BR22" s="883"/>
      <c r="BS22" s="883"/>
      <c r="BT22" s="883"/>
      <c r="BU22" s="883"/>
      <c r="BV22" s="884"/>
    </row>
    <row r="23" spans="1:104" ht="39.5" thickBot="1" x14ac:dyDescent="0.35">
      <c r="A23" s="887" t="s">
        <v>1084</v>
      </c>
      <c r="B23" s="888" t="s">
        <v>678</v>
      </c>
      <c r="C23" s="888" t="s">
        <v>679</v>
      </c>
      <c r="D23" s="888" t="s">
        <v>690</v>
      </c>
      <c r="E23" s="888" t="s">
        <v>691</v>
      </c>
      <c r="F23" s="889" t="s">
        <v>680</v>
      </c>
      <c r="G23" s="889" t="s">
        <v>692</v>
      </c>
      <c r="H23" s="1066">
        <v>2004</v>
      </c>
      <c r="I23" s="1066">
        <v>2005</v>
      </c>
      <c r="J23" s="1066">
        <v>2006</v>
      </c>
      <c r="K23" s="1066">
        <v>2007</v>
      </c>
      <c r="L23" s="1066">
        <v>2008</v>
      </c>
      <c r="M23" s="1066">
        <v>2009</v>
      </c>
      <c r="N23" s="889">
        <v>2010</v>
      </c>
      <c r="O23" s="889">
        <v>2011</v>
      </c>
      <c r="P23" s="889">
        <v>2012</v>
      </c>
      <c r="Q23" s="889">
        <v>2013</v>
      </c>
      <c r="R23" s="889">
        <v>2014</v>
      </c>
      <c r="S23" s="889">
        <v>2015</v>
      </c>
      <c r="T23" s="889">
        <v>2016</v>
      </c>
      <c r="U23" s="889">
        <v>2017</v>
      </c>
      <c r="V23" s="889">
        <v>2018</v>
      </c>
      <c r="W23" s="889">
        <v>2019</v>
      </c>
      <c r="X23" s="889">
        <v>2020</v>
      </c>
      <c r="Y23" s="889">
        <v>2021</v>
      </c>
      <c r="Z23" s="889">
        <v>2022</v>
      </c>
      <c r="AA23" s="889">
        <v>2023</v>
      </c>
      <c r="AB23" s="889">
        <v>2024</v>
      </c>
      <c r="AC23" s="889">
        <v>2025</v>
      </c>
      <c r="AD23" s="889">
        <v>2026</v>
      </c>
      <c r="AE23" s="889">
        <v>2027</v>
      </c>
      <c r="AF23" s="889">
        <v>2028</v>
      </c>
      <c r="AG23" s="889">
        <v>2029</v>
      </c>
      <c r="AH23" s="889">
        <v>2030</v>
      </c>
      <c r="AI23" s="889">
        <v>2031</v>
      </c>
      <c r="AJ23" s="889">
        <v>2032</v>
      </c>
      <c r="AK23" s="889">
        <v>2033</v>
      </c>
      <c r="AL23" s="889">
        <v>2034</v>
      </c>
      <c r="AM23" s="889">
        <v>2035</v>
      </c>
      <c r="AN23" s="889">
        <v>2036</v>
      </c>
      <c r="AO23" s="889">
        <v>2037</v>
      </c>
      <c r="AP23" s="889">
        <v>2038</v>
      </c>
      <c r="AQ23" s="889">
        <v>2039</v>
      </c>
      <c r="AR23" s="889">
        <v>2040</v>
      </c>
      <c r="AS23" s="889">
        <v>2041</v>
      </c>
      <c r="AT23" s="889">
        <v>2042</v>
      </c>
      <c r="AU23" s="889">
        <v>2043</v>
      </c>
      <c r="AV23" s="889">
        <v>2044</v>
      </c>
      <c r="AW23" s="889">
        <v>2045</v>
      </c>
      <c r="AX23" s="889">
        <v>2046</v>
      </c>
      <c r="AY23" s="889">
        <v>2047</v>
      </c>
      <c r="AZ23" s="889">
        <v>2048</v>
      </c>
      <c r="BA23" s="889">
        <v>2049</v>
      </c>
      <c r="BB23" s="889">
        <v>2050</v>
      </c>
      <c r="BC23" s="889">
        <v>2051</v>
      </c>
      <c r="BD23" s="889">
        <v>2052</v>
      </c>
      <c r="BE23" s="889">
        <v>2053</v>
      </c>
      <c r="BF23" s="889">
        <v>2054</v>
      </c>
      <c r="BG23" s="889">
        <v>2055</v>
      </c>
      <c r="BH23" s="889">
        <v>2056</v>
      </c>
      <c r="BI23" s="889">
        <v>2057</v>
      </c>
      <c r="BJ23" s="889">
        <v>2058</v>
      </c>
      <c r="BK23" s="889">
        <v>2059</v>
      </c>
      <c r="BL23" s="889">
        <v>2060</v>
      </c>
      <c r="BM23" s="889">
        <v>2061</v>
      </c>
      <c r="BN23" s="889">
        <v>2062</v>
      </c>
      <c r="BO23" s="889">
        <v>2063</v>
      </c>
      <c r="BP23" s="889">
        <v>2064</v>
      </c>
      <c r="BQ23" s="889">
        <v>2065</v>
      </c>
      <c r="BR23" s="889">
        <v>2066</v>
      </c>
      <c r="BS23" s="889">
        <v>2067</v>
      </c>
      <c r="BT23" s="889">
        <v>2068</v>
      </c>
      <c r="BU23" s="889">
        <v>2069</v>
      </c>
      <c r="BV23" s="890">
        <v>2070</v>
      </c>
      <c r="BW23" s="1398">
        <f t="shared" ref="BW23" si="60">+BV23+1</f>
        <v>2071</v>
      </c>
      <c r="BX23" s="1398">
        <f t="shared" ref="BX23" si="61">+BW23+1</f>
        <v>2072</v>
      </c>
      <c r="BY23" s="1398">
        <f t="shared" ref="BY23" si="62">+BX23+1</f>
        <v>2073</v>
      </c>
      <c r="BZ23" s="1398">
        <f t="shared" ref="BZ23" si="63">+BY23+1</f>
        <v>2074</v>
      </c>
      <c r="CA23" s="1398">
        <f t="shared" ref="CA23" si="64">+BZ23+1</f>
        <v>2075</v>
      </c>
      <c r="CB23" s="1398">
        <f t="shared" ref="CB23" si="65">+CA23+1</f>
        <v>2076</v>
      </c>
      <c r="CC23" s="1398">
        <f t="shared" ref="CC23" si="66">+CB23+1</f>
        <v>2077</v>
      </c>
      <c r="CD23" s="1398">
        <f t="shared" ref="CD23" si="67">+CC23+1</f>
        <v>2078</v>
      </c>
      <c r="CE23" s="1398">
        <f t="shared" ref="CE23" si="68">+CD23+1</f>
        <v>2079</v>
      </c>
      <c r="CF23" s="1398">
        <f t="shared" ref="CF23" si="69">+CE23+1</f>
        <v>2080</v>
      </c>
      <c r="CG23" s="1398">
        <f t="shared" ref="CG23" si="70">+CF23+1</f>
        <v>2081</v>
      </c>
      <c r="CH23" s="1398">
        <f t="shared" ref="CH23" si="71">+CG23+1</f>
        <v>2082</v>
      </c>
      <c r="CI23" s="1398">
        <f t="shared" ref="CI23" si="72">+CH23+1</f>
        <v>2083</v>
      </c>
      <c r="CJ23" s="1398">
        <f t="shared" ref="CJ23" si="73">+CI23+1</f>
        <v>2084</v>
      </c>
      <c r="CK23" s="1398">
        <f t="shared" ref="CK23" si="74">+CJ23+1</f>
        <v>2085</v>
      </c>
      <c r="CL23" s="1398">
        <f t="shared" ref="CL23" si="75">+CK23+1</f>
        <v>2086</v>
      </c>
      <c r="CM23" s="1398">
        <f t="shared" ref="CM23" si="76">+CL23+1</f>
        <v>2087</v>
      </c>
      <c r="CN23" s="1398">
        <f t="shared" ref="CN23" si="77">+CM23+1</f>
        <v>2088</v>
      </c>
      <c r="CO23" s="1398">
        <f t="shared" ref="CO23" si="78">+CN23+1</f>
        <v>2089</v>
      </c>
      <c r="CP23" s="1398">
        <f t="shared" ref="CP23" si="79">+CO23+1</f>
        <v>2090</v>
      </c>
      <c r="CQ23" s="1398">
        <f t="shared" ref="CQ23" si="80">+CP23+1</f>
        <v>2091</v>
      </c>
      <c r="CR23" s="1398">
        <f t="shared" ref="CR23" si="81">+CQ23+1</f>
        <v>2092</v>
      </c>
      <c r="CS23" s="1398">
        <f t="shared" ref="CS23" si="82">+CR23+1</f>
        <v>2093</v>
      </c>
      <c r="CT23" s="1398">
        <f t="shared" ref="CT23" si="83">+CS23+1</f>
        <v>2094</v>
      </c>
      <c r="CU23" s="1398">
        <f t="shared" ref="CU23" si="84">+CT23+1</f>
        <v>2095</v>
      </c>
      <c r="CV23" s="1398">
        <f t="shared" ref="CV23" si="85">+CU23+1</f>
        <v>2096</v>
      </c>
      <c r="CW23" s="1398">
        <f t="shared" ref="CW23" si="86">+CV23+1</f>
        <v>2097</v>
      </c>
      <c r="CX23" s="1398">
        <f t="shared" ref="CX23" si="87">+CW23+1</f>
        <v>2098</v>
      </c>
      <c r="CY23" s="1398">
        <f t="shared" ref="CY23" si="88">+CX23+1</f>
        <v>2099</v>
      </c>
      <c r="CZ23" s="1398">
        <f t="shared" ref="CZ23" si="89">+CY23+1</f>
        <v>2100</v>
      </c>
    </row>
    <row r="24" spans="1:104" ht="13" thickBot="1" x14ac:dyDescent="0.3">
      <c r="A24" s="958" t="s">
        <v>1090</v>
      </c>
      <c r="B24" s="959"/>
      <c r="C24" s="959"/>
      <c r="D24" s="959"/>
      <c r="E24" s="959"/>
      <c r="F24" s="871"/>
      <c r="G24" s="959"/>
      <c r="H24" s="959"/>
      <c r="I24" s="959"/>
      <c r="J24" s="959"/>
      <c r="K24" s="959"/>
      <c r="L24" s="959"/>
      <c r="M24" s="959"/>
      <c r="N24" s="959"/>
      <c r="O24" s="959"/>
      <c r="P24" s="959"/>
      <c r="Q24" s="959"/>
      <c r="R24" s="959"/>
      <c r="S24" s="959"/>
      <c r="T24" s="959"/>
      <c r="U24" s="959"/>
      <c r="V24" s="959"/>
      <c r="W24" s="959"/>
      <c r="X24" s="959"/>
      <c r="Y24" s="959"/>
      <c r="Z24" s="959"/>
      <c r="AA24" s="959"/>
      <c r="AB24" s="959"/>
      <c r="AC24" s="959"/>
      <c r="AD24" s="959"/>
      <c r="AE24" s="959"/>
      <c r="AF24" s="959"/>
      <c r="AG24" s="959"/>
      <c r="AH24" s="959"/>
      <c r="AI24" s="959"/>
      <c r="AJ24" s="959"/>
      <c r="AK24" s="959"/>
      <c r="AL24" s="959"/>
      <c r="AM24" s="959"/>
      <c r="AN24" s="959"/>
      <c r="AO24" s="959"/>
      <c r="AP24" s="959"/>
      <c r="AQ24" s="959"/>
      <c r="AR24" s="959"/>
      <c r="AS24" s="959"/>
      <c r="AT24" s="959"/>
      <c r="AU24" s="959"/>
      <c r="AV24" s="959"/>
      <c r="AW24" s="959"/>
      <c r="AX24" s="959"/>
      <c r="AY24" s="959"/>
      <c r="AZ24" s="959"/>
      <c r="BA24" s="959"/>
      <c r="BC24" s="959"/>
      <c r="BD24" s="959"/>
      <c r="BE24" s="959"/>
      <c r="BF24" s="959"/>
      <c r="BG24" s="959"/>
      <c r="BH24" s="959"/>
      <c r="BI24" s="959"/>
      <c r="BJ24" s="959"/>
      <c r="BK24" s="959"/>
      <c r="BL24" s="959"/>
      <c r="BM24" s="959"/>
      <c r="BN24" s="959"/>
      <c r="BO24" s="959"/>
      <c r="BP24" s="959"/>
      <c r="BR24" s="959"/>
      <c r="BS24" s="959"/>
      <c r="BT24" s="959"/>
      <c r="BU24" s="959"/>
    </row>
    <row r="25" spans="1:104" ht="13" x14ac:dyDescent="0.3">
      <c r="A25" s="978" t="str">
        <f>'HyARC Physical Property Data'!A73</f>
        <v>Residential Natural Gas</v>
      </c>
      <c r="B25" s="959">
        <v>2011</v>
      </c>
      <c r="C25" s="960">
        <f>VLOOKUP(ref_year,DeflatorTable,2,FALSE)/VLOOKUP(B25,DeflatorTable,2,FALSE)</f>
        <v>1.0784554773635862</v>
      </c>
      <c r="D25" s="1245" t="str">
        <f>'HyARC Physical Property Data'!H73</f>
        <v>mmBtu</v>
      </c>
      <c r="E25" s="960" t="s">
        <v>1058</v>
      </c>
      <c r="F25" s="959">
        <f>'HyARC Physical Property Data'!$E$6</f>
        <v>47.141269049911173</v>
      </c>
      <c r="G25" s="959">
        <f>'HyARC Physical Property Data'!$I$6</f>
        <v>52.224661236371581</v>
      </c>
      <c r="H25" s="1067">
        <v>14.386141835345208</v>
      </c>
      <c r="I25" s="1067">
        <v>14.386141835345208</v>
      </c>
      <c r="J25" s="1067">
        <v>14.386141835345208</v>
      </c>
      <c r="K25" s="1067">
        <v>13.326716630976858</v>
      </c>
      <c r="L25" s="1067">
        <v>13.627764477872551</v>
      </c>
      <c r="M25" s="1067">
        <v>11.254339733155913</v>
      </c>
      <c r="N25" s="959">
        <f t="shared" ref="N25:AR25" si="90">((N42/(mmBTU_to_GJ))*($C25))*($G25/$F25)</f>
        <v>12.864072624231563</v>
      </c>
      <c r="O25" s="959">
        <f t="shared" si="90"/>
        <v>12.23325661230241</v>
      </c>
      <c r="P25" s="959">
        <f t="shared" si="90"/>
        <v>11.850527062684614</v>
      </c>
      <c r="Q25" s="959">
        <f t="shared" si="90"/>
        <v>11.865842495866545</v>
      </c>
      <c r="R25" s="959">
        <f t="shared" si="90"/>
        <v>11.611695090166418</v>
      </c>
      <c r="S25" s="959">
        <f t="shared" si="90"/>
        <v>11.50138750593943</v>
      </c>
      <c r="T25" s="959">
        <f t="shared" si="90"/>
        <v>12.075204376866452</v>
      </c>
      <c r="U25" s="959">
        <f t="shared" si="90"/>
        <v>12.446344297440779</v>
      </c>
      <c r="V25" s="959">
        <f t="shared" si="90"/>
        <v>12.907270435435697</v>
      </c>
      <c r="W25" s="959">
        <f t="shared" si="90"/>
        <v>13.164777859640022</v>
      </c>
      <c r="X25" s="959">
        <f t="shared" si="90"/>
        <v>13.336162585082695</v>
      </c>
      <c r="Y25" s="959">
        <f t="shared" si="90"/>
        <v>13.544264034469807</v>
      </c>
      <c r="Z25" s="959">
        <f t="shared" si="90"/>
        <v>13.819651921148951</v>
      </c>
      <c r="AA25" s="959">
        <f t="shared" si="90"/>
        <v>14.079086797828554</v>
      </c>
      <c r="AB25" s="959">
        <f t="shared" si="90"/>
        <v>14.2515190517904</v>
      </c>
      <c r="AC25" s="959">
        <f t="shared" si="90"/>
        <v>14.353207458115314</v>
      </c>
      <c r="AD25" s="959">
        <f t="shared" si="90"/>
        <v>14.54298904928118</v>
      </c>
      <c r="AE25" s="959">
        <f t="shared" si="90"/>
        <v>14.646583391279357</v>
      </c>
      <c r="AF25" s="959">
        <f t="shared" si="90"/>
        <v>14.81893750527599</v>
      </c>
      <c r="AG25" s="959">
        <f t="shared" si="90"/>
        <v>14.987454833734297</v>
      </c>
      <c r="AH25" s="959">
        <f t="shared" si="90"/>
        <v>15.139899111087075</v>
      </c>
      <c r="AI25" s="959">
        <f t="shared" si="90"/>
        <v>15.341580626230741</v>
      </c>
      <c r="AJ25" s="959">
        <f t="shared" si="90"/>
        <v>15.539442342785032</v>
      </c>
      <c r="AK25" s="959">
        <f t="shared" si="90"/>
        <v>15.781889138041823</v>
      </c>
      <c r="AL25" s="959">
        <f t="shared" si="90"/>
        <v>16.136390908341905</v>
      </c>
      <c r="AM25" s="959">
        <f t="shared" si="90"/>
        <v>16.532635274551915</v>
      </c>
      <c r="AN25" s="959">
        <f t="shared" si="90"/>
        <v>17.01379173629439</v>
      </c>
      <c r="AO25" s="959">
        <f t="shared" si="90"/>
        <v>17.457934768717273</v>
      </c>
      <c r="AP25" s="959">
        <f t="shared" si="90"/>
        <v>17.940794455208763</v>
      </c>
      <c r="AQ25" s="959">
        <f t="shared" si="90"/>
        <v>18.182559507580642</v>
      </c>
      <c r="AR25" s="959">
        <f t="shared" si="90"/>
        <v>18.530579058157759</v>
      </c>
      <c r="AS25" s="959">
        <f>($BB25-$AR25)/10+AR25</f>
        <v>18.537819201300856</v>
      </c>
      <c r="AT25" s="959">
        <f t="shared" ref="AT25:BA25" si="91">($BB25-$AR25)/10+AS25</f>
        <v>18.545059344443953</v>
      </c>
      <c r="AU25" s="959">
        <f t="shared" si="91"/>
        <v>18.552299487587049</v>
      </c>
      <c r="AV25" s="959">
        <f t="shared" si="91"/>
        <v>18.559539630730146</v>
      </c>
      <c r="AW25" s="959">
        <f t="shared" si="91"/>
        <v>18.566779773873243</v>
      </c>
      <c r="AX25" s="959">
        <f t="shared" si="91"/>
        <v>18.57401991701634</v>
      </c>
      <c r="AY25" s="959">
        <f t="shared" si="91"/>
        <v>18.581260060159437</v>
      </c>
      <c r="AZ25" s="959">
        <f t="shared" si="91"/>
        <v>18.588500203302534</v>
      </c>
      <c r="BA25" s="959">
        <f t="shared" si="91"/>
        <v>18.595740346445631</v>
      </c>
      <c r="BB25" s="961">
        <f>'AEO Data'!$B$30*AM25</f>
        <v>18.602980489588727</v>
      </c>
      <c r="BC25" s="959">
        <f>($BQ25-$BB25)/15+BB25</f>
        <v>18.754563729723429</v>
      </c>
      <c r="BD25" s="959">
        <f t="shared" ref="BD25:BP25" si="92">($BQ25-$BB25)/15+BC25</f>
        <v>18.906146969858131</v>
      </c>
      <c r="BE25" s="959">
        <f t="shared" si="92"/>
        <v>19.057730209992833</v>
      </c>
      <c r="BF25" s="959">
        <f t="shared" si="92"/>
        <v>19.209313450127535</v>
      </c>
      <c r="BG25" s="959">
        <f t="shared" si="92"/>
        <v>19.360896690262237</v>
      </c>
      <c r="BH25" s="959">
        <f t="shared" si="92"/>
        <v>19.512479930396939</v>
      </c>
      <c r="BI25" s="959">
        <f t="shared" si="92"/>
        <v>19.664063170531641</v>
      </c>
      <c r="BJ25" s="959">
        <f t="shared" si="92"/>
        <v>19.815646410666343</v>
      </c>
      <c r="BK25" s="959">
        <f t="shared" si="92"/>
        <v>19.967229650801045</v>
      </c>
      <c r="BL25" s="959">
        <f t="shared" si="92"/>
        <v>20.118812890935747</v>
      </c>
      <c r="BM25" s="959">
        <f t="shared" si="92"/>
        <v>20.270396131070449</v>
      </c>
      <c r="BN25" s="959">
        <f t="shared" si="92"/>
        <v>20.42197937120515</v>
      </c>
      <c r="BO25" s="959">
        <f t="shared" si="92"/>
        <v>20.573562611339852</v>
      </c>
      <c r="BP25" s="959">
        <f t="shared" si="92"/>
        <v>20.725145851474554</v>
      </c>
      <c r="BQ25" s="961">
        <f>'AEO Data'!$C$30*BB25</f>
        <v>20.876729091609249</v>
      </c>
      <c r="BR25" s="959">
        <f>($BV25-$BQ25)/5+BQ25</f>
        <v>20.996057748553792</v>
      </c>
      <c r="BS25" s="959">
        <f>($BV25-$BQ25)/5+BR25</f>
        <v>21.115386405498334</v>
      </c>
      <c r="BT25" s="959">
        <f>($BV25-$BQ25)/5+BS25</f>
        <v>21.234715062442877</v>
      </c>
      <c r="BU25" s="959">
        <f>($BV25-$BQ25)/5+BT25</f>
        <v>21.35404371938742</v>
      </c>
      <c r="BV25" s="962">
        <f>'AEO Data'!$D$30*BQ25</f>
        <v>21.473372376331962</v>
      </c>
      <c r="BW25" s="1397">
        <f>+BV25*BW$133/BV$133</f>
        <v>21.544670286660121</v>
      </c>
      <c r="BX25" s="1397">
        <f t="shared" ref="BX25:CZ25" si="93">+BW25*BX$133/BW$133</f>
        <v>21.616204927015033</v>
      </c>
      <c r="BY25" s="1397">
        <f t="shared" si="93"/>
        <v>21.687977083409997</v>
      </c>
      <c r="BZ25" s="1397">
        <f t="shared" si="93"/>
        <v>21.759987544468107</v>
      </c>
      <c r="CA25" s="1397">
        <f t="shared" si="93"/>
        <v>21.832237101430913</v>
      </c>
      <c r="CB25" s="1397">
        <f t="shared" si="93"/>
        <v>21.878825528741867</v>
      </c>
      <c r="CC25" s="1397">
        <f t="shared" si="93"/>
        <v>21.925513372413558</v>
      </c>
      <c r="CD25" s="1397">
        <f t="shared" si="93"/>
        <v>21.972300844593363</v>
      </c>
      <c r="CE25" s="1397">
        <f t="shared" si="93"/>
        <v>22.01918815788137</v>
      </c>
      <c r="CF25" s="1397">
        <f t="shared" si="93"/>
        <v>22.066175525331335</v>
      </c>
      <c r="CG25" s="1397">
        <f t="shared" si="93"/>
        <v>22.081432025482624</v>
      </c>
      <c r="CH25" s="1397">
        <f t="shared" si="93"/>
        <v>22.096699073941053</v>
      </c>
      <c r="CI25" s="1397">
        <f t="shared" si="93"/>
        <v>22.111976677999699</v>
      </c>
      <c r="CJ25" s="1397">
        <f t="shared" si="93"/>
        <v>22.127264844956677</v>
      </c>
      <c r="CK25" s="1397">
        <f t="shared" si="93"/>
        <v>22.142563582115145</v>
      </c>
      <c r="CL25" s="1397">
        <f t="shared" si="93"/>
        <v>22.147749174896123</v>
      </c>
      <c r="CM25" s="1397">
        <f t="shared" si="93"/>
        <v>22.152935982097123</v>
      </c>
      <c r="CN25" s="1397">
        <f t="shared" si="93"/>
        <v>22.158124004002548</v>
      </c>
      <c r="CO25" s="1397">
        <f t="shared" si="93"/>
        <v>22.163313240896873</v>
      </c>
      <c r="CP25" s="1397">
        <f t="shared" si="93"/>
        <v>22.16850369306464</v>
      </c>
      <c r="CQ25" s="1397">
        <f t="shared" si="93"/>
        <v>22.176370321670593</v>
      </c>
      <c r="CR25" s="1397">
        <f t="shared" si="93"/>
        <v>22.184239741797636</v>
      </c>
      <c r="CS25" s="1397">
        <f t="shared" si="93"/>
        <v>22.19211195443636</v>
      </c>
      <c r="CT25" s="1397">
        <f t="shared" si="93"/>
        <v>22.199986960577704</v>
      </c>
      <c r="CU25" s="1397">
        <f t="shared" si="93"/>
        <v>22.207864761212956</v>
      </c>
      <c r="CV25" s="1397">
        <f t="shared" si="93"/>
        <v>22.219988729743012</v>
      </c>
      <c r="CW25" s="1397">
        <f t="shared" si="93"/>
        <v>22.232119317126994</v>
      </c>
      <c r="CX25" s="1397">
        <f t="shared" si="93"/>
        <v>22.244256526978344</v>
      </c>
      <c r="CY25" s="1397">
        <f t="shared" si="93"/>
        <v>22.256400362912476</v>
      </c>
      <c r="CZ25" s="1397">
        <f t="shared" si="93"/>
        <v>22.268550828546775</v>
      </c>
    </row>
    <row r="26" spans="1:104" ht="13" x14ac:dyDescent="0.3">
      <c r="A26" s="875" t="str">
        <f>'HyARC Physical Property Data'!A71</f>
        <v>Commercial Natural Gas</v>
      </c>
      <c r="B26" s="260">
        <v>2011</v>
      </c>
      <c r="C26" s="874">
        <f>VLOOKUP(ref_year,DeflatorTable,2,FALSE)/VLOOKUP(B26,DeflatorTable,2,FALSE)</f>
        <v>1.0784554773635862</v>
      </c>
      <c r="D26" s="1246" t="str">
        <f>'HyARC Physical Property Data'!H71</f>
        <v>mmBtu</v>
      </c>
      <c r="E26" s="874" t="s">
        <v>1058</v>
      </c>
      <c r="F26" s="260">
        <f>'HyARC Physical Property Data'!$E$6</f>
        <v>47.141269049911173</v>
      </c>
      <c r="G26" s="260">
        <f>'HyARC Physical Property Data'!$I$6</f>
        <v>52.224661236371581</v>
      </c>
      <c r="H26" s="1068">
        <v>12.491836786393147</v>
      </c>
      <c r="I26" s="1068">
        <v>12.491836786393147</v>
      </c>
      <c r="J26" s="1068">
        <v>12.491836786393147</v>
      </c>
      <c r="K26" s="1068">
        <v>11.540201846875071</v>
      </c>
      <c r="L26" s="1068">
        <v>11.906633267965836</v>
      </c>
      <c r="M26" s="1068">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39">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39">
        <f>'AEO Data'!$C$30*BB26</f>
        <v>16.705094767552271</v>
      </c>
      <c r="BR26" s="260">
        <f t="shared" ref="BR26:BU28" si="97">($BV26-$BQ26)/5+BQ26</f>
        <v>16.800578907524393</v>
      </c>
      <c r="BS26" s="260">
        <f t="shared" si="97"/>
        <v>16.896063047496515</v>
      </c>
      <c r="BT26" s="260">
        <f t="shared" si="97"/>
        <v>16.991547187468637</v>
      </c>
      <c r="BU26" s="260">
        <f t="shared" si="97"/>
        <v>17.087031327440759</v>
      </c>
      <c r="BV26" s="963">
        <f>'AEO Data'!$D$30*BQ26</f>
        <v>17.182515467412887</v>
      </c>
      <c r="BW26" s="1397">
        <f>+BV26*BW$134/BV$134</f>
        <v>17.239566471118206</v>
      </c>
      <c r="BX26" s="1397">
        <f t="shared" ref="BX26:CZ26" si="98">+BW26*BX$134/BW$134</f>
        <v>17.296806900931124</v>
      </c>
      <c r="BY26" s="1397">
        <f t="shared" si="98"/>
        <v>17.354237385802019</v>
      </c>
      <c r="BZ26" s="1397">
        <f t="shared" si="98"/>
        <v>17.41185855676957</v>
      </c>
      <c r="CA26" s="1397">
        <f t="shared" si="98"/>
        <v>17.469671046967683</v>
      </c>
      <c r="CB26" s="1397">
        <f t="shared" si="98"/>
        <v>17.506950071372589</v>
      </c>
      <c r="CC26" s="1397">
        <f t="shared" si="98"/>
        <v>17.544308646540465</v>
      </c>
      <c r="CD26" s="1397">
        <f t="shared" si="98"/>
        <v>17.581746942226928</v>
      </c>
      <c r="CE26" s="1397">
        <f t="shared" si="98"/>
        <v>17.619265128549845</v>
      </c>
      <c r="CF26" s="1397">
        <f t="shared" si="98"/>
        <v>17.656863375990099</v>
      </c>
      <c r="CG26" s="1397">
        <f t="shared" si="98"/>
        <v>17.669071288433191</v>
      </c>
      <c r="CH26" s="1397">
        <f t="shared" si="98"/>
        <v>17.681287641397287</v>
      </c>
      <c r="CI26" s="1397">
        <f t="shared" si="98"/>
        <v>17.693512440718141</v>
      </c>
      <c r="CJ26" s="1397">
        <f t="shared" si="98"/>
        <v>17.705745692235549</v>
      </c>
      <c r="CK26" s="1397">
        <f t="shared" si="98"/>
        <v>17.717987401793337</v>
      </c>
      <c r="CL26" s="1397">
        <f t="shared" si="98"/>
        <v>17.722136797920101</v>
      </c>
      <c r="CM26" s="1397">
        <f t="shared" si="98"/>
        <v>17.726287165798784</v>
      </c>
      <c r="CN26" s="1397">
        <f t="shared" si="98"/>
        <v>17.730438505656959</v>
      </c>
      <c r="CO26" s="1397">
        <f t="shared" si="98"/>
        <v>17.734590817722253</v>
      </c>
      <c r="CP26" s="1397">
        <f t="shared" si="98"/>
        <v>17.738744102222352</v>
      </c>
      <c r="CQ26" s="1397">
        <f t="shared" si="98"/>
        <v>17.745038803647411</v>
      </c>
      <c r="CR26" s="1397">
        <f t="shared" si="98"/>
        <v>17.751335738785624</v>
      </c>
      <c r="CS26" s="1397">
        <f t="shared" si="98"/>
        <v>17.75763490842964</v>
      </c>
      <c r="CT26" s="1397">
        <f t="shared" si="98"/>
        <v>17.763936313372383</v>
      </c>
      <c r="CU26" s="1397">
        <f t="shared" si="98"/>
        <v>17.770239954407064</v>
      </c>
      <c r="CV26" s="1397">
        <f t="shared" si="98"/>
        <v>17.779941284647286</v>
      </c>
      <c r="CW26" s="1397">
        <f t="shared" si="98"/>
        <v>17.789647911147362</v>
      </c>
      <c r="CX26" s="1397">
        <f t="shared" si="98"/>
        <v>17.799359836798683</v>
      </c>
      <c r="CY26" s="1397">
        <f t="shared" si="98"/>
        <v>17.809077064494225</v>
      </c>
      <c r="CZ26" s="1397">
        <f t="shared" si="98"/>
        <v>17.818799597128535</v>
      </c>
    </row>
    <row r="27" spans="1:104" ht="13" x14ac:dyDescent="0.3">
      <c r="A27" s="875" t="str">
        <f>'HyARC Physical Property Data'!A72</f>
        <v>Industrial Natural Gas</v>
      </c>
      <c r="B27" s="260">
        <v>2011</v>
      </c>
      <c r="C27" s="874">
        <f t="shared" ref="C27:C35" si="99">VLOOKUP(ref_year,DeflatorTable,2,FALSE)/VLOOKUP(B27,DeflatorTable,2,FALSE)</f>
        <v>1.0784554773635862</v>
      </c>
      <c r="D27" s="1246" t="str">
        <f>'HyARC Physical Property Data'!H72</f>
        <v>mmBtu</v>
      </c>
      <c r="E27" s="874" t="s">
        <v>1058</v>
      </c>
      <c r="F27" s="260">
        <f>'HyARC Physical Property Data'!$E$6</f>
        <v>47.141269049911173</v>
      </c>
      <c r="G27" s="260">
        <f>'HyARC Physical Property Data'!$I$6</f>
        <v>52.224661236371581</v>
      </c>
      <c r="H27" s="1068">
        <v>8.3524006010892204</v>
      </c>
      <c r="I27" s="1068">
        <v>8.3524006010892204</v>
      </c>
      <c r="J27" s="1068">
        <v>8.3524006010892204</v>
      </c>
      <c r="K27" s="1068">
        <v>7.891606632326889</v>
      </c>
      <c r="L27" s="1068">
        <v>9.2420298006250725</v>
      </c>
      <c r="M27" s="1068">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39">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39">
        <f>'AEO Data'!$C$30*BB27</f>
        <v>10.647150755989088</v>
      </c>
      <c r="BR27" s="260">
        <f t="shared" si="97"/>
        <v>10.708008479170871</v>
      </c>
      <c r="BS27" s="260">
        <f t="shared" si="97"/>
        <v>10.768866202352655</v>
      </c>
      <c r="BT27" s="260">
        <f t="shared" si="97"/>
        <v>10.829723925534438</v>
      </c>
      <c r="BU27" s="260">
        <f t="shared" si="97"/>
        <v>10.890581648716221</v>
      </c>
      <c r="BV27" s="963">
        <f>'AEO Data'!$D$30*BQ27</f>
        <v>10.951439371898008</v>
      </c>
      <c r="BW27" s="1397">
        <f>+BV27*BW$135/BV$135</f>
        <v>10.987801370778188</v>
      </c>
      <c r="BX27" s="1397">
        <f t="shared" ref="BX27:CZ27" si="102">+BW27*BX$135/BW$135</f>
        <v>11.024284102186545</v>
      </c>
      <c r="BY27" s="1397">
        <f t="shared" si="102"/>
        <v>11.060887966990576</v>
      </c>
      <c r="BZ27" s="1397">
        <f t="shared" si="102"/>
        <v>11.097613367388767</v>
      </c>
      <c r="CA27" s="1397">
        <f t="shared" si="102"/>
        <v>11.134460706915034</v>
      </c>
      <c r="CB27" s="1397">
        <f t="shared" si="102"/>
        <v>11.158220847063788</v>
      </c>
      <c r="CC27" s="1397">
        <f t="shared" si="102"/>
        <v>11.18203168964661</v>
      </c>
      <c r="CD27" s="1397">
        <f t="shared" si="102"/>
        <v>11.205893342858859</v>
      </c>
      <c r="CE27" s="1397">
        <f t="shared" si="102"/>
        <v>11.229805915126768</v>
      </c>
      <c r="CF27" s="1397">
        <f t="shared" si="102"/>
        <v>11.253769515107949</v>
      </c>
      <c r="CG27" s="1397">
        <f t="shared" si="102"/>
        <v>11.261550344011113</v>
      </c>
      <c r="CH27" s="1397">
        <f t="shared" si="102"/>
        <v>11.26933655256048</v>
      </c>
      <c r="CI27" s="1397">
        <f t="shared" si="102"/>
        <v>11.277128144475522</v>
      </c>
      <c r="CJ27" s="1397">
        <f t="shared" si="102"/>
        <v>11.284925123478285</v>
      </c>
      <c r="CK27" s="1397">
        <f t="shared" si="102"/>
        <v>11.292727493293389</v>
      </c>
      <c r="CL27" s="1397">
        <f t="shared" si="102"/>
        <v>11.295372150311067</v>
      </c>
      <c r="CM27" s="1397">
        <f t="shared" si="102"/>
        <v>11.298017426684055</v>
      </c>
      <c r="CN27" s="1397">
        <f t="shared" si="102"/>
        <v>11.300663322557401</v>
      </c>
      <c r="CO27" s="1397">
        <f t="shared" si="102"/>
        <v>11.303309838076188</v>
      </c>
      <c r="CP27" s="1397">
        <f t="shared" si="102"/>
        <v>11.305956973385531</v>
      </c>
      <c r="CQ27" s="1397">
        <f t="shared" si="102"/>
        <v>11.309968961103596</v>
      </c>
      <c r="CR27" s="1397">
        <f t="shared" si="102"/>
        <v>11.31398237249995</v>
      </c>
      <c r="CS27" s="1397">
        <f t="shared" si="102"/>
        <v>11.317997208079792</v>
      </c>
      <c r="CT27" s="1397">
        <f t="shared" si="102"/>
        <v>11.3220134683485</v>
      </c>
      <c r="CU27" s="1397">
        <f t="shared" si="102"/>
        <v>11.326031153811636</v>
      </c>
      <c r="CV27" s="1397">
        <f t="shared" si="102"/>
        <v>11.332214388749156</v>
      </c>
      <c r="CW27" s="1397">
        <f t="shared" si="102"/>
        <v>11.338400999308178</v>
      </c>
      <c r="CX27" s="1397">
        <f t="shared" si="102"/>
        <v>11.344590987331557</v>
      </c>
      <c r="CY27" s="1397">
        <f t="shared" si="102"/>
        <v>11.350784354663158</v>
      </c>
      <c r="CZ27" s="1397">
        <f t="shared" si="102"/>
        <v>11.356981103147852</v>
      </c>
    </row>
    <row r="28" spans="1:104" ht="13" x14ac:dyDescent="0.3">
      <c r="A28" s="875" t="str">
        <f>'HyARC Physical Property Data'!A74</f>
        <v>Electric Utility Natural Gas</v>
      </c>
      <c r="B28" s="260">
        <v>2011</v>
      </c>
      <c r="C28" s="874">
        <f t="shared" si="99"/>
        <v>1.0784554773635862</v>
      </c>
      <c r="D28" s="1259" t="str">
        <f>'HyARC Physical Property Data'!H74</f>
        <v>mmBtu</v>
      </c>
      <c r="E28" s="874" t="s">
        <v>1058</v>
      </c>
      <c r="F28" s="260">
        <f>'HyARC Physical Property Data'!$E$6</f>
        <v>47.141269049911173</v>
      </c>
      <c r="G28" s="260">
        <f>'HyARC Physical Property Data'!$I$6</f>
        <v>52.224661236371581</v>
      </c>
      <c r="H28" s="1068">
        <v>7.4079259090132386</v>
      </c>
      <c r="I28" s="1068">
        <v>7.4079259090132386</v>
      </c>
      <c r="J28" s="1068">
        <v>7.4079259090132386</v>
      </c>
      <c r="K28" s="1068">
        <v>7.3706710915002853</v>
      </c>
      <c r="L28" s="1068">
        <v>9.3158925097981644</v>
      </c>
      <c r="M28" s="1068">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39">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39">
        <f>'AEO Data'!$C$30*BB28</f>
        <v>9.9822321396511793</v>
      </c>
      <c r="BR28" s="260">
        <f t="shared" si="97"/>
        <v>10.039289274861693</v>
      </c>
      <c r="BS28" s="260">
        <f t="shared" si="97"/>
        <v>10.096346410072206</v>
      </c>
      <c r="BT28" s="260">
        <f t="shared" si="97"/>
        <v>10.153403545282719</v>
      </c>
      <c r="BU28" s="260">
        <f t="shared" si="97"/>
        <v>10.210460680493233</v>
      </c>
      <c r="BV28" s="963">
        <f>'AEO Data'!$D$30*BQ28</f>
        <v>10.26751781570375</v>
      </c>
      <c r="BW28" s="1397">
        <f>+BV28*BW$136/BV$136</f>
        <v>10.301608993916805</v>
      </c>
      <c r="BX28" s="1397">
        <f t="shared" ref="BX28:CZ28" si="105">+BW28*BX$136/BW$136</f>
        <v>10.335813364865709</v>
      </c>
      <c r="BY28" s="1397">
        <f t="shared" si="105"/>
        <v>10.37013130438363</v>
      </c>
      <c r="BZ28" s="1397">
        <f t="shared" si="105"/>
        <v>10.404563189551611</v>
      </c>
      <c r="CA28" s="1397">
        <f t="shared" si="105"/>
        <v>10.439109398702717</v>
      </c>
      <c r="CB28" s="1397">
        <f t="shared" si="105"/>
        <v>10.461385709057588</v>
      </c>
      <c r="CC28" s="1397">
        <f t="shared" si="105"/>
        <v>10.483709555460226</v>
      </c>
      <c r="CD28" s="1397">
        <f t="shared" si="105"/>
        <v>10.506081039349146</v>
      </c>
      <c r="CE28" s="1397">
        <f t="shared" si="105"/>
        <v>10.528500262379325</v>
      </c>
      <c r="CF28" s="1397">
        <f t="shared" si="105"/>
        <v>10.550967326422667</v>
      </c>
      <c r="CG28" s="1397">
        <f t="shared" si="105"/>
        <v>10.558262239599943</v>
      </c>
      <c r="CH28" s="1397">
        <f t="shared" si="105"/>
        <v>10.565562196462466</v>
      </c>
      <c r="CI28" s="1397">
        <f t="shared" si="105"/>
        <v>10.572867200497431</v>
      </c>
      <c r="CJ28" s="1397">
        <f t="shared" si="105"/>
        <v>10.580177255194439</v>
      </c>
      <c r="CK28" s="1397">
        <f t="shared" si="105"/>
        <v>10.587492364045506</v>
      </c>
      <c r="CL28" s="1397">
        <f t="shared" si="105"/>
        <v>10.589971861226042</v>
      </c>
      <c r="CM28" s="1397">
        <f t="shared" si="105"/>
        <v>10.592451939082915</v>
      </c>
      <c r="CN28" s="1397">
        <f t="shared" si="105"/>
        <v>10.594932597752113</v>
      </c>
      <c r="CO28" s="1397">
        <f t="shared" si="105"/>
        <v>10.597413837369656</v>
      </c>
      <c r="CP28" s="1397">
        <f t="shared" si="105"/>
        <v>10.599895658071597</v>
      </c>
      <c r="CQ28" s="1397">
        <f t="shared" si="105"/>
        <v>10.603657095629963</v>
      </c>
      <c r="CR28" s="1397">
        <f t="shared" si="105"/>
        <v>10.607419867957365</v>
      </c>
      <c r="CS28" s="1397">
        <f t="shared" si="105"/>
        <v>10.611183975527453</v>
      </c>
      <c r="CT28" s="1397">
        <f t="shared" si="105"/>
        <v>10.614949418814046</v>
      </c>
      <c r="CU28" s="1397">
        <f t="shared" si="105"/>
        <v>10.618716198291134</v>
      </c>
      <c r="CV28" s="1397">
        <f t="shared" si="105"/>
        <v>10.624513287853858</v>
      </c>
      <c r="CW28" s="1397">
        <f t="shared" si="105"/>
        <v>10.630313542229239</v>
      </c>
      <c r="CX28" s="1397">
        <f t="shared" si="105"/>
        <v>10.636116963145044</v>
      </c>
      <c r="CY28" s="1397">
        <f t="shared" si="105"/>
        <v>10.641923552329986</v>
      </c>
      <c r="CZ28" s="1397">
        <f t="shared" si="105"/>
        <v>10.647733311513726</v>
      </c>
    </row>
    <row r="29" spans="1:104" ht="13" x14ac:dyDescent="0.3">
      <c r="A29" s="875" t="str">
        <f>'HyARC Physical Property Data'!A75</f>
        <v>Bio Methane</v>
      </c>
      <c r="B29" s="260">
        <v>2007</v>
      </c>
      <c r="C29" s="874">
        <f t="shared" si="99"/>
        <v>1.1446359956438654</v>
      </c>
      <c r="D29" s="1259" t="str">
        <f>'HyARC Physical Property Data'!H75</f>
        <v>mmBtu</v>
      </c>
      <c r="E29" s="874" t="s">
        <v>1058</v>
      </c>
      <c r="F29" s="260">
        <f>'HyARC Physical Property Data'!$E$6</f>
        <v>47.141269049911173</v>
      </c>
      <c r="G29" s="260">
        <f>'HyARC Physical Property Data'!$I$6</f>
        <v>52.224661236371581</v>
      </c>
      <c r="H29" s="1068">
        <v>12.42654028436019</v>
      </c>
      <c r="I29" s="1068">
        <v>12.42654028436019</v>
      </c>
      <c r="J29" s="1068">
        <v>12.42654028436019</v>
      </c>
      <c r="K29" s="1068">
        <v>12.42654028436019</v>
      </c>
      <c r="L29" s="1068">
        <v>12.42654028436019</v>
      </c>
      <c r="M29" s="1068">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397">
        <f>+BV29*BW$136/BV$136</f>
        <v>14.271092726019944</v>
      </c>
      <c r="BX29" s="1397">
        <f t="shared" ref="BX29:CZ29" si="108">+BW29*BX$136/BW$136</f>
        <v>14.318476950147966</v>
      </c>
      <c r="BY29" s="1397">
        <f t="shared" si="108"/>
        <v>14.366018503832969</v>
      </c>
      <c r="BZ29" s="1397">
        <f t="shared" si="108"/>
        <v>14.413717909455341</v>
      </c>
      <c r="CA29" s="1397">
        <f t="shared" si="108"/>
        <v>14.461575691129934</v>
      </c>
      <c r="CB29" s="1397">
        <f t="shared" si="108"/>
        <v>14.49243565590395</v>
      </c>
      <c r="CC29" s="1397">
        <f t="shared" si="108"/>
        <v>14.523361473628309</v>
      </c>
      <c r="CD29" s="1397">
        <f t="shared" si="108"/>
        <v>14.554353284828478</v>
      </c>
      <c r="CE29" s="1397">
        <f t="shared" si="108"/>
        <v>14.585411230329802</v>
      </c>
      <c r="CF29" s="1397">
        <f t="shared" si="108"/>
        <v>14.616535451258134</v>
      </c>
      <c r="CG29" s="1397">
        <f t="shared" si="108"/>
        <v>14.626641288360148</v>
      </c>
      <c r="CH29" s="1397">
        <f t="shared" si="108"/>
        <v>14.636754112613382</v>
      </c>
      <c r="CI29" s="1397">
        <f t="shared" si="108"/>
        <v>14.646873928848736</v>
      </c>
      <c r="CJ29" s="1397">
        <f t="shared" si="108"/>
        <v>14.657000741900452</v>
      </c>
      <c r="CK29" s="1397">
        <f t="shared" si="108"/>
        <v>14.667134556606111</v>
      </c>
      <c r="CL29" s="1397">
        <f t="shared" si="108"/>
        <v>14.670569469948116</v>
      </c>
      <c r="CM29" s="1397">
        <f t="shared" si="108"/>
        <v>14.674005187716483</v>
      </c>
      <c r="CN29" s="1397">
        <f t="shared" si="108"/>
        <v>14.6774417100996</v>
      </c>
      <c r="CO29" s="1397">
        <f t="shared" si="108"/>
        <v>14.6808790372859</v>
      </c>
      <c r="CP29" s="1397">
        <f t="shared" si="108"/>
        <v>14.684317169463862</v>
      </c>
      <c r="CQ29" s="1397">
        <f t="shared" si="108"/>
        <v>14.689527988881515</v>
      </c>
      <c r="CR29" s="1397">
        <f t="shared" si="108"/>
        <v>14.69474065739019</v>
      </c>
      <c r="CS29" s="1397">
        <f t="shared" si="108"/>
        <v>14.699955175646044</v>
      </c>
      <c r="CT29" s="1397">
        <f t="shared" si="108"/>
        <v>14.705171544305472</v>
      </c>
      <c r="CU29" s="1397">
        <f t="shared" si="108"/>
        <v>14.710389764025104</v>
      </c>
      <c r="CV29" s="1397">
        <f t="shared" si="108"/>
        <v>14.718420626266095</v>
      </c>
      <c r="CW29" s="1397">
        <f t="shared" si="108"/>
        <v>14.726455872806168</v>
      </c>
      <c r="CX29" s="1397">
        <f t="shared" si="108"/>
        <v>14.734495506038849</v>
      </c>
      <c r="CY29" s="1397">
        <f t="shared" si="108"/>
        <v>14.74253952835897</v>
      </c>
      <c r="CZ29" s="1397">
        <f t="shared" si="108"/>
        <v>14.750587942162673</v>
      </c>
    </row>
    <row r="30" spans="1:104" ht="13" x14ac:dyDescent="0.3">
      <c r="A30" s="964" t="str">
        <f>'HyARC Physical Property Data'!A85</f>
        <v>Woody Biomass</v>
      </c>
      <c r="B30" s="260">
        <v>2005</v>
      </c>
      <c r="C30" s="874">
        <f>VLOOKUP(ref_year,DeflatorTable,2,FALSE)/VLOOKUP(B30,DeflatorTable,2,FALSE)</f>
        <v>1.2112501494873942</v>
      </c>
      <c r="D30" s="1259" t="str">
        <f>+'HyARC Physical Property Data'!$H$85</f>
        <v>kg</v>
      </c>
      <c r="E30" s="901" t="s">
        <v>1052</v>
      </c>
      <c r="F30" s="260">
        <f>'HyARC Physical Property Data'!$E$45</f>
        <v>19.551069237418005</v>
      </c>
      <c r="G30" s="260">
        <f>'HyARC Physical Property Data'!$I$45</f>
        <v>20.588656379262464</v>
      </c>
      <c r="H30" s="1069">
        <v>1.3438238843289665</v>
      </c>
      <c r="I30" s="1069">
        <v>1.3438238843289665</v>
      </c>
      <c r="J30" s="1069">
        <v>1.3438238843289665</v>
      </c>
      <c r="K30" s="1069">
        <v>1.3438238843289665</v>
      </c>
      <c r="L30" s="1069">
        <v>1.3438238843289665</v>
      </c>
      <c r="M30" s="1069">
        <v>1.3438238843289665</v>
      </c>
      <c r="N30" s="965">
        <f>1.27*($C$30)</f>
        <v>1.5382876898489906</v>
      </c>
      <c r="O30" s="965">
        <f>1.27*($C$30)</f>
        <v>1.5382876898489906</v>
      </c>
      <c r="P30" s="965">
        <f>1.28*($C$30)</f>
        <v>1.5504001913438645</v>
      </c>
      <c r="Q30" s="965">
        <f>1.32*($C$30)</f>
        <v>1.5988501973233604</v>
      </c>
      <c r="R30" s="965">
        <f>1.32*($C$30)</f>
        <v>1.5988501973233604</v>
      </c>
      <c r="S30" s="965">
        <f>1.34*($C$30)</f>
        <v>1.6230752003131084</v>
      </c>
      <c r="T30" s="965">
        <f>1.34*($C$30)</f>
        <v>1.6230752003131084</v>
      </c>
      <c r="U30" s="965">
        <f>1.36*($C$30)</f>
        <v>1.6473002033028561</v>
      </c>
      <c r="V30" s="965">
        <f>1.36*($C$30)</f>
        <v>1.6473002033028561</v>
      </c>
      <c r="W30" s="965">
        <f>1.38*($C$30)</f>
        <v>1.6715252062926038</v>
      </c>
      <c r="X30" s="965">
        <f>1.4*($C$30)</f>
        <v>1.6957502092823518</v>
      </c>
      <c r="Y30" s="965">
        <f>1.46*($C$30)</f>
        <v>1.7684252182515954</v>
      </c>
      <c r="Z30" s="965">
        <f>1.48*($C$30)</f>
        <v>1.7926502212413433</v>
      </c>
      <c r="AA30" s="965">
        <f>1.48*($C$30)</f>
        <v>1.7926502212413433</v>
      </c>
      <c r="AB30" s="965">
        <f>1.51*($C$30)</f>
        <v>1.8289877257259652</v>
      </c>
      <c r="AC30" s="965">
        <f>1.52*($C$30)</f>
        <v>1.8411002272208392</v>
      </c>
      <c r="AD30" s="965">
        <f>1.62*($C$30)</f>
        <v>1.9622252421695787</v>
      </c>
      <c r="AE30" s="965">
        <f>1.72*($C$30)</f>
        <v>2.083350257118318</v>
      </c>
      <c r="AF30" s="965">
        <f>1.82*($C$30)</f>
        <v>2.2044752720670573</v>
      </c>
      <c r="AG30" s="965">
        <f>1.91*($C$30)</f>
        <v>2.3134877855209228</v>
      </c>
      <c r="AH30" s="965">
        <f>2.01*($C$30)</f>
        <v>2.4346128004696621</v>
      </c>
      <c r="AI30" s="965">
        <f>2.11*($C$30)</f>
        <v>2.5557378154184014</v>
      </c>
      <c r="AJ30" s="965">
        <f>2.2*($C$30)</f>
        <v>2.6647503288722674</v>
      </c>
      <c r="AK30" s="965">
        <f>2.3*($C$30)</f>
        <v>2.7858753438210062</v>
      </c>
      <c r="AL30" s="965">
        <f>2.4*($C$30)</f>
        <v>2.9070003587697459</v>
      </c>
      <c r="AM30" s="965">
        <f>2.5*($C$30)</f>
        <v>3.0281253737184857</v>
      </c>
      <c r="AN30" s="965">
        <f>2.57*($C$30)</f>
        <v>3.1129128841826028</v>
      </c>
      <c r="AO30" s="965">
        <f>2.64*($C$30)</f>
        <v>3.1977003946467208</v>
      </c>
      <c r="AP30" s="965">
        <f>2.71*($C$30)</f>
        <v>3.282487905110838</v>
      </c>
      <c r="AQ30" s="965">
        <f>2.78*($C$30)</f>
        <v>3.3672754155749556</v>
      </c>
      <c r="AR30" s="965">
        <f>2.85*($C$30)</f>
        <v>3.4520629260390736</v>
      </c>
      <c r="AS30" s="965">
        <f>2.92*($C$30)</f>
        <v>3.5368504365031908</v>
      </c>
      <c r="AT30" s="965">
        <f>2.99*($C$30)</f>
        <v>3.6216379469673088</v>
      </c>
      <c r="AU30" s="965">
        <f>3.07*($C$30)</f>
        <v>3.7185379589263001</v>
      </c>
      <c r="AV30" s="965">
        <f>3.14*($C$30)</f>
        <v>3.8033254693904177</v>
      </c>
      <c r="AW30" s="965">
        <f>3.21*($C$30)</f>
        <v>3.8881129798545353</v>
      </c>
      <c r="AX30" s="965">
        <f>3.28*($C$30)</f>
        <v>3.9729004903186529</v>
      </c>
      <c r="AY30" s="965">
        <f>3.35*($C$30)</f>
        <v>4.0576880007827709</v>
      </c>
      <c r="AZ30" s="965">
        <f>3.42*($C$30)</f>
        <v>4.1424755112468876</v>
      </c>
      <c r="BA30" s="965">
        <f>3.49*($C$30)</f>
        <v>4.2272630217110061</v>
      </c>
      <c r="BB30" s="965">
        <f>3.56*($C$30)</f>
        <v>4.3120505321751237</v>
      </c>
      <c r="BC30" s="965">
        <f>3.64*($C$30)</f>
        <v>4.4089505441341146</v>
      </c>
      <c r="BD30" s="965">
        <f>3.71*($C$30)</f>
        <v>4.4937380545982322</v>
      </c>
      <c r="BE30" s="965">
        <f>3.78*($C$30)</f>
        <v>4.5785255650623498</v>
      </c>
      <c r="BF30" s="965">
        <f>3.85*($C$30)</f>
        <v>4.6633130755264673</v>
      </c>
      <c r="BG30" s="965">
        <f>3.92*($C$30)</f>
        <v>4.7481005859905849</v>
      </c>
      <c r="BH30" s="965">
        <f>3.99*($C$30)</f>
        <v>4.8328880964547034</v>
      </c>
      <c r="BI30" s="965">
        <f>4.06*($C$30)</f>
        <v>4.9176756069188201</v>
      </c>
      <c r="BJ30" s="965">
        <f>4.14*($C$30)</f>
        <v>5.0145756188778119</v>
      </c>
      <c r="BK30" s="965">
        <f>4.21*($C$30)</f>
        <v>5.0993631293419295</v>
      </c>
      <c r="BL30" s="965">
        <f>4.28*($C$30)</f>
        <v>5.1841506398060471</v>
      </c>
      <c r="BM30" s="965">
        <f>4.35*($C$30)</f>
        <v>5.2689381502701647</v>
      </c>
      <c r="BN30" s="965">
        <f>4.42*($C$30)</f>
        <v>5.3537256607342822</v>
      </c>
      <c r="BO30" s="965">
        <f>4.49*($C$30)</f>
        <v>5.4385131711983998</v>
      </c>
      <c r="BP30" s="965">
        <f>4.56*($C$30)</f>
        <v>5.5233006816625174</v>
      </c>
      <c r="BQ30" s="965">
        <f>4.63*($C$30)</f>
        <v>5.608088192126635</v>
      </c>
      <c r="BR30" s="965">
        <f>4.71*($C$30)</f>
        <v>5.7049882040856268</v>
      </c>
      <c r="BS30" s="965">
        <f>4.78*($C$30)</f>
        <v>5.7897757145497444</v>
      </c>
      <c r="BT30" s="965">
        <f>4.85*($C$30)</f>
        <v>5.8745632250138611</v>
      </c>
      <c r="BU30" s="965">
        <f>4.92*($C$30)</f>
        <v>5.9593507354779796</v>
      </c>
      <c r="BV30" s="966">
        <f>4.99*($C$30)</f>
        <v>6.0441382459420971</v>
      </c>
      <c r="BW30" s="1397">
        <f>+BV30*BW$137/BV$137</f>
        <v>6.0586659764672328</v>
      </c>
      <c r="BX30" s="1397">
        <f t="shared" ref="BX30:CZ30" si="109">+BW30*BX$137/BW$137</f>
        <v>6.0732286259412112</v>
      </c>
      <c r="BY30" s="1397">
        <f t="shared" si="109"/>
        <v>6.0878262782954495</v>
      </c>
      <c r="BZ30" s="1397">
        <f t="shared" si="109"/>
        <v>6.1024590176630999</v>
      </c>
      <c r="CA30" s="1397">
        <f t="shared" si="109"/>
        <v>6.1171269283795393</v>
      </c>
      <c r="CB30" s="1397">
        <f t="shared" si="109"/>
        <v>6.1299667153690152</v>
      </c>
      <c r="CC30" s="1397">
        <f t="shared" si="109"/>
        <v>6.1428334529403346</v>
      </c>
      <c r="CD30" s="1397">
        <f t="shared" si="109"/>
        <v>6.155727197662495</v>
      </c>
      <c r="CE30" s="1397">
        <f t="shared" si="109"/>
        <v>6.1686480062232301</v>
      </c>
      <c r="CF30" s="1397">
        <f t="shared" si="109"/>
        <v>6.18159593542926</v>
      </c>
      <c r="CG30" s="1397">
        <f t="shared" si="109"/>
        <v>6.197524392005751</v>
      </c>
      <c r="CH30" s="1397">
        <f t="shared" si="109"/>
        <v>6.2134938923080965</v>
      </c>
      <c r="CI30" s="1397">
        <f t="shared" si="109"/>
        <v>6.229504542095909</v>
      </c>
      <c r="CJ30" s="1397">
        <f t="shared" si="109"/>
        <v>6.245556447401321</v>
      </c>
      <c r="CK30" s="1397">
        <f t="shared" si="109"/>
        <v>6.2616497145296828</v>
      </c>
      <c r="CL30" s="1397">
        <f t="shared" si="109"/>
        <v>6.2750522655841658</v>
      </c>
      <c r="CM30" s="1397">
        <f t="shared" si="109"/>
        <v>6.2884835037072264</v>
      </c>
      <c r="CN30" s="1397">
        <f t="shared" si="109"/>
        <v>6.3019434903011975</v>
      </c>
      <c r="CO30" s="1397">
        <f t="shared" si="109"/>
        <v>6.3154322868998385</v>
      </c>
      <c r="CP30" s="1397">
        <f t="shared" si="109"/>
        <v>6.3289499551686168</v>
      </c>
      <c r="CQ30" s="1397">
        <f t="shared" si="109"/>
        <v>6.3413225489579119</v>
      </c>
      <c r="CR30" s="1397">
        <f t="shared" si="109"/>
        <v>6.3537193301840116</v>
      </c>
      <c r="CS30" s="1397">
        <f t="shared" si="109"/>
        <v>6.3661403461314299</v>
      </c>
      <c r="CT30" s="1397">
        <f t="shared" si="109"/>
        <v>6.3785856441771198</v>
      </c>
      <c r="CU30" s="1397">
        <f t="shared" si="109"/>
        <v>6.3910552717906537</v>
      </c>
      <c r="CV30" s="1397">
        <f t="shared" si="109"/>
        <v>6.4057772391562917</v>
      </c>
      <c r="CW30" s="1397">
        <f t="shared" si="109"/>
        <v>6.4205331189689208</v>
      </c>
      <c r="CX30" s="1397">
        <f t="shared" si="109"/>
        <v>6.4353229893467718</v>
      </c>
      <c r="CY30" s="1397">
        <f t="shared" si="109"/>
        <v>6.4501469285880244</v>
      </c>
      <c r="CZ30" s="1397">
        <f t="shared" si="109"/>
        <v>6.4650050151712186</v>
      </c>
    </row>
    <row r="31" spans="1:104" ht="13" x14ac:dyDescent="0.3">
      <c r="A31" s="964" t="str">
        <f>'HyARC Physical Property Data'!$A$87</f>
        <v>Woody Biomass MYPP</v>
      </c>
      <c r="B31" s="260">
        <v>2007</v>
      </c>
      <c r="C31" s="874">
        <f>VLOOKUP(ref_year,DeflatorTable,2,FALSE)/VLOOKUP(B31,DeflatorTable,2,FALSE)</f>
        <v>1.1446359956438654</v>
      </c>
      <c r="D31" s="1259" t="str">
        <f>+'HyARC Physical Property Data'!$H$87</f>
        <v>kg</v>
      </c>
      <c r="E31" s="901" t="s">
        <v>1052</v>
      </c>
      <c r="F31" s="260">
        <v>18.608000000000001</v>
      </c>
      <c r="G31" s="260"/>
      <c r="H31" s="1068">
        <v>4.4443250214961303</v>
      </c>
      <c r="I31" s="1068">
        <v>4.4443250214961303</v>
      </c>
      <c r="J31" s="1068">
        <v>4.4443250214961303</v>
      </c>
      <c r="K31" s="1068">
        <v>4.4443250214961303</v>
      </c>
      <c r="L31" s="1068">
        <v>4.4443250214961303</v>
      </c>
      <c r="M31" s="1068">
        <v>4.4443250214961303</v>
      </c>
      <c r="N31" s="260">
        <f>4.44432502149613*$C$31</f>
        <v>5.0871343959451663</v>
      </c>
      <c r="O31" s="965">
        <f t="shared" ref="O31:T31" si="110">N31-($N$31-$U$31)/7</f>
        <v>4.9664808197552768</v>
      </c>
      <c r="P31" s="965">
        <f t="shared" si="110"/>
        <v>4.8458272435653873</v>
      </c>
      <c r="Q31" s="965">
        <f t="shared" si="110"/>
        <v>4.7251736673754978</v>
      </c>
      <c r="R31" s="965">
        <f t="shared" si="110"/>
        <v>4.6045200911856083</v>
      </c>
      <c r="S31" s="965">
        <f t="shared" si="110"/>
        <v>4.4838665149957189</v>
      </c>
      <c r="T31" s="965">
        <f t="shared" si="110"/>
        <v>4.3632129388058294</v>
      </c>
      <c r="U31" s="965">
        <f>3.70647033533964*$C$31</f>
        <v>4.2425593626159408</v>
      </c>
      <c r="V31" s="965">
        <f t="shared" ref="V31:BV31" si="111">3.70647033533964*$C$31</f>
        <v>4.2425593626159408</v>
      </c>
      <c r="W31" s="965">
        <f t="shared" si="111"/>
        <v>4.2425593626159408</v>
      </c>
      <c r="X31" s="965">
        <f t="shared" si="111"/>
        <v>4.2425593626159408</v>
      </c>
      <c r="Y31" s="965">
        <f t="shared" si="111"/>
        <v>4.2425593626159408</v>
      </c>
      <c r="Z31" s="965">
        <f t="shared" si="111"/>
        <v>4.2425593626159408</v>
      </c>
      <c r="AA31" s="965">
        <f t="shared" si="111"/>
        <v>4.2425593626159408</v>
      </c>
      <c r="AB31" s="965">
        <f t="shared" si="111"/>
        <v>4.2425593626159408</v>
      </c>
      <c r="AC31" s="965">
        <f t="shared" si="111"/>
        <v>4.2425593626159408</v>
      </c>
      <c r="AD31" s="965">
        <f t="shared" si="111"/>
        <v>4.2425593626159408</v>
      </c>
      <c r="AE31" s="965">
        <f t="shared" si="111"/>
        <v>4.2425593626159408</v>
      </c>
      <c r="AF31" s="965">
        <f t="shared" si="111"/>
        <v>4.2425593626159408</v>
      </c>
      <c r="AG31" s="965">
        <f t="shared" si="111"/>
        <v>4.2425593626159408</v>
      </c>
      <c r="AH31" s="965">
        <f t="shared" si="111"/>
        <v>4.2425593626159408</v>
      </c>
      <c r="AI31" s="965">
        <f t="shared" si="111"/>
        <v>4.2425593626159408</v>
      </c>
      <c r="AJ31" s="965">
        <f t="shared" si="111"/>
        <v>4.2425593626159408</v>
      </c>
      <c r="AK31" s="965">
        <f t="shared" si="111"/>
        <v>4.2425593626159408</v>
      </c>
      <c r="AL31" s="965">
        <f t="shared" si="111"/>
        <v>4.2425593626159408</v>
      </c>
      <c r="AM31" s="965">
        <f t="shared" si="111"/>
        <v>4.2425593626159408</v>
      </c>
      <c r="AN31" s="965">
        <f t="shared" si="111"/>
        <v>4.2425593626159408</v>
      </c>
      <c r="AO31" s="965">
        <f t="shared" si="111"/>
        <v>4.2425593626159408</v>
      </c>
      <c r="AP31" s="965">
        <f t="shared" si="111"/>
        <v>4.2425593626159408</v>
      </c>
      <c r="AQ31" s="965">
        <f t="shared" si="111"/>
        <v>4.2425593626159408</v>
      </c>
      <c r="AR31" s="965">
        <f t="shared" si="111"/>
        <v>4.2425593626159408</v>
      </c>
      <c r="AS31" s="965">
        <f t="shared" si="111"/>
        <v>4.2425593626159408</v>
      </c>
      <c r="AT31" s="965">
        <f t="shared" si="111"/>
        <v>4.2425593626159408</v>
      </c>
      <c r="AU31" s="965">
        <f t="shared" si="111"/>
        <v>4.2425593626159408</v>
      </c>
      <c r="AV31" s="965">
        <f t="shared" si="111"/>
        <v>4.2425593626159408</v>
      </c>
      <c r="AW31" s="965">
        <f t="shared" si="111"/>
        <v>4.2425593626159408</v>
      </c>
      <c r="AX31" s="965">
        <f t="shared" si="111"/>
        <v>4.2425593626159408</v>
      </c>
      <c r="AY31" s="965">
        <f t="shared" si="111"/>
        <v>4.2425593626159408</v>
      </c>
      <c r="AZ31" s="965">
        <f t="shared" si="111"/>
        <v>4.2425593626159408</v>
      </c>
      <c r="BA31" s="965">
        <f t="shared" si="111"/>
        <v>4.2425593626159408</v>
      </c>
      <c r="BB31" s="965">
        <f t="shared" si="111"/>
        <v>4.2425593626159408</v>
      </c>
      <c r="BC31" s="965">
        <f t="shared" si="111"/>
        <v>4.2425593626159408</v>
      </c>
      <c r="BD31" s="965">
        <f t="shared" si="111"/>
        <v>4.2425593626159408</v>
      </c>
      <c r="BE31" s="965">
        <f t="shared" si="111"/>
        <v>4.2425593626159408</v>
      </c>
      <c r="BF31" s="965">
        <f t="shared" si="111"/>
        <v>4.2425593626159408</v>
      </c>
      <c r="BG31" s="965">
        <f t="shared" si="111"/>
        <v>4.2425593626159408</v>
      </c>
      <c r="BH31" s="965">
        <f t="shared" si="111"/>
        <v>4.2425593626159408</v>
      </c>
      <c r="BI31" s="965">
        <f t="shared" si="111"/>
        <v>4.2425593626159408</v>
      </c>
      <c r="BJ31" s="965">
        <f t="shared" si="111"/>
        <v>4.2425593626159408</v>
      </c>
      <c r="BK31" s="965">
        <f t="shared" si="111"/>
        <v>4.2425593626159408</v>
      </c>
      <c r="BL31" s="965">
        <f t="shared" si="111"/>
        <v>4.2425593626159408</v>
      </c>
      <c r="BM31" s="965">
        <f t="shared" si="111"/>
        <v>4.2425593626159408</v>
      </c>
      <c r="BN31" s="965">
        <f t="shared" si="111"/>
        <v>4.2425593626159408</v>
      </c>
      <c r="BO31" s="965">
        <f t="shared" si="111"/>
        <v>4.2425593626159408</v>
      </c>
      <c r="BP31" s="965">
        <f t="shared" si="111"/>
        <v>4.2425593626159408</v>
      </c>
      <c r="BQ31" s="965">
        <f t="shared" si="111"/>
        <v>4.2425593626159408</v>
      </c>
      <c r="BR31" s="965">
        <f t="shared" si="111"/>
        <v>4.2425593626159408</v>
      </c>
      <c r="BS31" s="965">
        <f t="shared" si="111"/>
        <v>4.2425593626159408</v>
      </c>
      <c r="BT31" s="965">
        <f t="shared" si="111"/>
        <v>4.2425593626159408</v>
      </c>
      <c r="BU31" s="965">
        <f t="shared" si="111"/>
        <v>4.2425593626159408</v>
      </c>
      <c r="BV31" s="965">
        <f t="shared" si="111"/>
        <v>4.2425593626159408</v>
      </c>
      <c r="BW31" s="1397">
        <f>+BV31*BW$137/BV$137</f>
        <v>4.2527568062628252</v>
      </c>
      <c r="BX31" s="1397">
        <f t="shared" ref="BX31:CZ31" si="112">+BW31*BX$137/BW$137</f>
        <v>4.2629787605524712</v>
      </c>
      <c r="BY31" s="1397">
        <f t="shared" si="112"/>
        <v>4.2732252843988219</v>
      </c>
      <c r="BZ31" s="1397">
        <f t="shared" si="112"/>
        <v>4.2834964368574244</v>
      </c>
      <c r="CA31" s="1397">
        <f t="shared" si="112"/>
        <v>4.2937922771257746</v>
      </c>
      <c r="CB31" s="1397">
        <f t="shared" si="112"/>
        <v>4.302804903291757</v>
      </c>
      <c r="CC31" s="1397">
        <f t="shared" si="112"/>
        <v>4.3118364468680763</v>
      </c>
      <c r="CD31" s="1397">
        <f t="shared" si="112"/>
        <v>4.3208869475621841</v>
      </c>
      <c r="CE31" s="1397">
        <f t="shared" si="112"/>
        <v>4.3299564451648767</v>
      </c>
      <c r="CF31" s="1397">
        <f t="shared" si="112"/>
        <v>4.3390449795504713</v>
      </c>
      <c r="CG31" s="1397">
        <f t="shared" si="112"/>
        <v>4.3502256342328796</v>
      </c>
      <c r="CH31" s="1397">
        <f t="shared" si="112"/>
        <v>4.361435098720146</v>
      </c>
      <c r="CI31" s="1397">
        <f t="shared" si="112"/>
        <v>4.3726734472480695</v>
      </c>
      <c r="CJ31" s="1397">
        <f t="shared" si="112"/>
        <v>4.3839407542437394</v>
      </c>
      <c r="CK31" s="1397">
        <f t="shared" si="112"/>
        <v>4.3952370943260251</v>
      </c>
      <c r="CL31" s="1397">
        <f t="shared" si="112"/>
        <v>4.4046447412304142</v>
      </c>
      <c r="CM31" s="1397">
        <f t="shared" si="112"/>
        <v>4.4140725244365262</v>
      </c>
      <c r="CN31" s="1397">
        <f t="shared" si="112"/>
        <v>4.4235204870444758</v>
      </c>
      <c r="CO31" s="1397">
        <f t="shared" si="112"/>
        <v>4.4329886722466272</v>
      </c>
      <c r="CP31" s="1397">
        <f t="shared" si="112"/>
        <v>4.4424771233277953</v>
      </c>
      <c r="CQ31" s="1397">
        <f t="shared" si="112"/>
        <v>4.4511618127714661</v>
      </c>
      <c r="CR31" s="1397">
        <f t="shared" si="112"/>
        <v>4.4598634800922632</v>
      </c>
      <c r="CS31" s="1397">
        <f t="shared" si="112"/>
        <v>4.4685821584805847</v>
      </c>
      <c r="CT31" s="1397">
        <f t="shared" si="112"/>
        <v>4.4773178811917154</v>
      </c>
      <c r="CU31" s="1397">
        <f t="shared" si="112"/>
        <v>4.486070681545951</v>
      </c>
      <c r="CV31" s="1397">
        <f t="shared" si="112"/>
        <v>4.4964044657748525</v>
      </c>
      <c r="CW31" s="1397">
        <f t="shared" si="112"/>
        <v>4.5067620541531026</v>
      </c>
      <c r="CX31" s="1397">
        <f t="shared" si="112"/>
        <v>4.5171435015141972</v>
      </c>
      <c r="CY31" s="1397">
        <f t="shared" si="112"/>
        <v>4.5275488628179446</v>
      </c>
      <c r="CZ31" s="1397">
        <f t="shared" si="112"/>
        <v>4.537978193150753</v>
      </c>
    </row>
    <row r="32" spans="1:104" ht="13" x14ac:dyDescent="0.3">
      <c r="A32" s="970" t="str">
        <f>'HyARC Physical Property Data'!A79</f>
        <v>Electric Utility Steam Coal</v>
      </c>
      <c r="B32" s="260">
        <v>2011</v>
      </c>
      <c r="C32" s="874">
        <f>VLOOKUP(ref_year,DeflatorTable,2,FALSE)/VLOOKUP(B32,DeflatorTable,2,FALSE)</f>
        <v>1.0784554773635862</v>
      </c>
      <c r="D32" s="1259" t="str">
        <f>+'HyARC Physical Property Data'!$H$79</f>
        <v>kg</v>
      </c>
      <c r="E32" s="901" t="s">
        <v>1052</v>
      </c>
      <c r="F32" s="260">
        <f>'HyARC Physical Property Data'!E42</f>
        <v>22.7322030001394</v>
      </c>
      <c r="G32" s="260">
        <f>'HyARC Physical Property Data'!I42</f>
        <v>23.967615189707661</v>
      </c>
      <c r="H32" s="1068">
        <v>1.7344499599167666</v>
      </c>
      <c r="I32" s="1068">
        <v>1.7344499599167666</v>
      </c>
      <c r="J32" s="1068">
        <v>1.7344499599167666</v>
      </c>
      <c r="K32" s="1068">
        <v>1.7788973636542149</v>
      </c>
      <c r="L32" s="1068">
        <v>1.9298772179141501</v>
      </c>
      <c r="M32" s="1068">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39">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39">
        <f>('AEO Data'!$C$28*BB32)</f>
        <v>3.6036422854995251</v>
      </c>
      <c r="BR32" s="260">
        <f>(($BV$32-$BQ$32)/5+BQ32)</f>
        <v>3.6151952056451568</v>
      </c>
      <c r="BS32" s="260">
        <f>(($BV$32-$BQ$32)/5+BR32)</f>
        <v>3.6267481257907885</v>
      </c>
      <c r="BT32" s="260">
        <f>(($BV$32-$BQ$32)/5+BS32)</f>
        <v>3.6383010459364202</v>
      </c>
      <c r="BU32" s="260">
        <f>(($BV$32-$BQ$32)/5+BT32)</f>
        <v>3.6498539660820519</v>
      </c>
      <c r="BV32" s="963">
        <f>('AEO Data'!$D$28*BQ32)</f>
        <v>3.6614068862276832</v>
      </c>
      <c r="BW32" s="1397">
        <f>+BV32*BW$138/BV$138</f>
        <v>3.6737859390461725</v>
      </c>
      <c r="BX32" s="1397">
        <f t="shared" ref="BX32:CZ32" si="116">+BW32*BX$138/BW$138</f>
        <v>3.6862068448882255</v>
      </c>
      <c r="BY32" s="1397">
        <f t="shared" si="116"/>
        <v>3.6986697452570407</v>
      </c>
      <c r="BZ32" s="1397">
        <f t="shared" si="116"/>
        <v>3.7111747821342336</v>
      </c>
      <c r="CA32" s="1397">
        <f t="shared" si="116"/>
        <v>3.7237220979814545</v>
      </c>
      <c r="CB32" s="1397">
        <f t="shared" si="116"/>
        <v>3.7343836989714818</v>
      </c>
      <c r="CC32" s="1397">
        <f t="shared" si="116"/>
        <v>3.7450758257990131</v>
      </c>
      <c r="CD32" s="1397">
        <f t="shared" si="116"/>
        <v>3.7557985658643127</v>
      </c>
      <c r="CE32" s="1397">
        <f t="shared" si="116"/>
        <v>3.766552006817887</v>
      </c>
      <c r="CF32" s="1397">
        <f t="shared" si="116"/>
        <v>3.7773362365611991</v>
      </c>
      <c r="CG32" s="1397">
        <f t="shared" si="116"/>
        <v>3.7855700072018039</v>
      </c>
      <c r="CH32" s="1397">
        <f t="shared" si="116"/>
        <v>3.7938217256698499</v>
      </c>
      <c r="CI32" s="1397">
        <f t="shared" si="116"/>
        <v>3.8020914310876934</v>
      </c>
      <c r="CJ32" s="1397">
        <f t="shared" si="116"/>
        <v>3.8103791626629699</v>
      </c>
      <c r="CK32" s="1397">
        <f t="shared" si="116"/>
        <v>3.818684959688778</v>
      </c>
      <c r="CL32" s="1397">
        <f t="shared" si="116"/>
        <v>3.8243155975254672</v>
      </c>
      <c r="CM32" s="1397">
        <f t="shared" si="116"/>
        <v>3.8299545377182778</v>
      </c>
      <c r="CN32" s="1397">
        <f t="shared" si="116"/>
        <v>3.8356017925090047</v>
      </c>
      <c r="CO32" s="1397">
        <f t="shared" si="116"/>
        <v>3.841257374157494</v>
      </c>
      <c r="CP32" s="1397">
        <f t="shared" si="116"/>
        <v>3.846921294941668</v>
      </c>
      <c r="CQ32" s="1397">
        <f t="shared" si="116"/>
        <v>3.8488180534393406</v>
      </c>
      <c r="CR32" s="1397">
        <f t="shared" si="116"/>
        <v>3.8507157471505309</v>
      </c>
      <c r="CS32" s="1397">
        <f t="shared" si="116"/>
        <v>3.852614376536355</v>
      </c>
      <c r="CT32" s="1397">
        <f t="shared" si="116"/>
        <v>3.8545139420581549</v>
      </c>
      <c r="CU32" s="1397">
        <f t="shared" si="116"/>
        <v>3.8564144441775015</v>
      </c>
      <c r="CV32" s="1397">
        <f t="shared" si="116"/>
        <v>3.853683012772128</v>
      </c>
      <c r="CW32" s="1397">
        <f t="shared" si="116"/>
        <v>3.8509535159922028</v>
      </c>
      <c r="CX32" s="1397">
        <f t="shared" si="116"/>
        <v>3.8482259524674642</v>
      </c>
      <c r="CY32" s="1397">
        <f t="shared" si="116"/>
        <v>3.8455003208286209</v>
      </c>
      <c r="CZ32" s="1397">
        <f t="shared" si="116"/>
        <v>3.8427766197073518</v>
      </c>
    </row>
    <row r="33" spans="1:106" ht="13" x14ac:dyDescent="0.3">
      <c r="A33" s="964" t="str">
        <f>'HyARC Physical Property Data'!A76</f>
        <v>Commercial Electricity</v>
      </c>
      <c r="B33" s="260">
        <v>2011</v>
      </c>
      <c r="C33" s="874">
        <f t="shared" si="99"/>
        <v>1.0784554773635862</v>
      </c>
      <c r="D33" s="1259" t="str">
        <f>'HyARC Physical Property Data'!$H$76</f>
        <v>kWh</v>
      </c>
      <c r="E33" s="874" t="s">
        <v>1071</v>
      </c>
      <c r="F33" s="874"/>
      <c r="G33" s="874"/>
      <c r="H33" s="1068">
        <v>26.896922396257633</v>
      </c>
      <c r="I33" s="1068">
        <v>26.896922396257633</v>
      </c>
      <c r="J33" s="1068">
        <v>26.896922396257633</v>
      </c>
      <c r="K33" s="1068">
        <v>26.568469730033652</v>
      </c>
      <c r="L33" s="1068">
        <v>27.542479456318485</v>
      </c>
      <c r="M33" s="1068">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29.116216623080415</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39">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39">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63">
        <f>'AEO Data'!$D$33*BQ33</f>
        <v>29.720041181041928</v>
      </c>
      <c r="BW33" s="1397">
        <f>+BV33*BW$139/BV$139</f>
        <v>29.706955334848292</v>
      </c>
      <c r="BX33" s="1397">
        <f t="shared" ref="BX33:CZ33" si="121">+BW33*BX$139/BW$139</f>
        <v>29.693875250402076</v>
      </c>
      <c r="BY33" s="1397">
        <f t="shared" si="121"/>
        <v>29.680800925166359</v>
      </c>
      <c r="BZ33" s="1397">
        <f t="shared" si="121"/>
        <v>29.667732356605345</v>
      </c>
      <c r="CA33" s="1397">
        <f t="shared" si="121"/>
        <v>29.654669542184347</v>
      </c>
      <c r="CB33" s="1397">
        <f t="shared" si="121"/>
        <v>29.630916614985676</v>
      </c>
      <c r="CC33" s="1397">
        <f t="shared" si="121"/>
        <v>29.607182713510749</v>
      </c>
      <c r="CD33" s="1397">
        <f t="shared" si="121"/>
        <v>29.583467822520262</v>
      </c>
      <c r="CE33" s="1397">
        <f t="shared" si="121"/>
        <v>29.559771926787111</v>
      </c>
      <c r="CF33" s="1397">
        <f t="shared" si="121"/>
        <v>29.536095011096396</v>
      </c>
      <c r="CG33" s="1397">
        <f t="shared" si="121"/>
        <v>29.503478732865982</v>
      </c>
      <c r="CH33" s="1397">
        <f t="shared" si="121"/>
        <v>29.470898472315131</v>
      </c>
      <c r="CI33" s="1397">
        <f t="shared" si="121"/>
        <v>29.438354189670047</v>
      </c>
      <c r="CJ33" s="1397">
        <f t="shared" si="121"/>
        <v>29.405845845200851</v>
      </c>
      <c r="CK33" s="1397">
        <f t="shared" si="121"/>
        <v>29.373373399221538</v>
      </c>
      <c r="CL33" s="1397">
        <f t="shared" si="121"/>
        <v>29.33797049714088</v>
      </c>
      <c r="CM33" s="1397">
        <f t="shared" si="121"/>
        <v>29.302610265183901</v>
      </c>
      <c r="CN33" s="1397">
        <f t="shared" si="121"/>
        <v>29.267292651921498</v>
      </c>
      <c r="CO33" s="1397">
        <f t="shared" si="121"/>
        <v>29.232017605986552</v>
      </c>
      <c r="CP33" s="1397">
        <f t="shared" si="121"/>
        <v>29.196785076073859</v>
      </c>
      <c r="CQ33" s="1397">
        <f t="shared" si="121"/>
        <v>29.155976606392862</v>
      </c>
      <c r="CR33" s="1397">
        <f t="shared" si="121"/>
        <v>29.115225174882106</v>
      </c>
      <c r="CS33" s="1397">
        <f t="shared" si="121"/>
        <v>29.074530701819103</v>
      </c>
      <c r="CT33" s="1397">
        <f t="shared" si="121"/>
        <v>29.033893107592792</v>
      </c>
      <c r="CU33" s="1397">
        <f t="shared" si="121"/>
        <v>28.993312312703377</v>
      </c>
      <c r="CV33" s="1397">
        <f t="shared" si="121"/>
        <v>28.95369823223389</v>
      </c>
      <c r="CW33" s="1397">
        <f t="shared" si="121"/>
        <v>28.914138277190098</v>
      </c>
      <c r="CX33" s="1397">
        <f t="shared" si="121"/>
        <v>28.874632373619477</v>
      </c>
      <c r="CY33" s="1397">
        <f t="shared" si="121"/>
        <v>28.835180447670528</v>
      </c>
      <c r="CZ33" s="1397">
        <f t="shared" si="121"/>
        <v>28.795782425592659</v>
      </c>
    </row>
    <row r="34" spans="1:106" ht="13" x14ac:dyDescent="0.3">
      <c r="A34" s="964" t="str">
        <f>'HyARC Physical Property Data'!A77</f>
        <v>Industrial Electricity</v>
      </c>
      <c r="B34" s="260">
        <v>2011</v>
      </c>
      <c r="C34" s="874">
        <f t="shared" si="99"/>
        <v>1.0784554773635862</v>
      </c>
      <c r="D34" s="1247" t="str">
        <f>'HyARC Physical Property Data'!$H$77</f>
        <v>kWh</v>
      </c>
      <c r="E34" s="874" t="s">
        <v>1071</v>
      </c>
      <c r="F34" s="874"/>
      <c r="G34" s="874"/>
      <c r="H34" s="1068">
        <v>17.44160584363896</v>
      </c>
      <c r="I34" s="1068">
        <v>17.44160584363896</v>
      </c>
      <c r="J34" s="1068">
        <v>17.44160584363896</v>
      </c>
      <c r="K34" s="1068">
        <v>17.651840860809763</v>
      </c>
      <c r="L34" s="1068">
        <v>19.274322003549859</v>
      </c>
      <c r="M34" s="1068">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39">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39">
        <f>'AEO Data'!$C$33*BB34</f>
        <v>20.908579364602893</v>
      </c>
      <c r="BR34" s="260">
        <f t="shared" si="120"/>
        <v>20.894500568115706</v>
      </c>
      <c r="BS34" s="260">
        <f t="shared" si="120"/>
        <v>20.880421771628519</v>
      </c>
      <c r="BT34" s="260">
        <f t="shared" si="120"/>
        <v>20.866342975141333</v>
      </c>
      <c r="BU34" s="260">
        <f t="shared" si="120"/>
        <v>20.852264178654146</v>
      </c>
      <c r="BV34" s="963">
        <f>'AEO Data'!$D$33*BQ34</f>
        <v>20.838185382166952</v>
      </c>
      <c r="BW34" s="1397">
        <f>+BV34*BW$140/BV$140</f>
        <v>20.844481841022439</v>
      </c>
      <c r="BX34" s="1397">
        <f t="shared" ref="BX34:CZ34" si="125">+BW34*BX$140/BW$140</f>
        <v>20.850780202413748</v>
      </c>
      <c r="BY34" s="1397">
        <f t="shared" si="125"/>
        <v>20.857080466915747</v>
      </c>
      <c r="BZ34" s="1397">
        <f t="shared" si="125"/>
        <v>20.863382635103481</v>
      </c>
      <c r="CA34" s="1397">
        <f t="shared" si="125"/>
        <v>20.869686707552159</v>
      </c>
      <c r="CB34" s="1397">
        <f t="shared" si="125"/>
        <v>20.867326506359717</v>
      </c>
      <c r="CC34" s="1397">
        <f t="shared" si="125"/>
        <v>20.864966572087891</v>
      </c>
      <c r="CD34" s="1397">
        <f t="shared" si="125"/>
        <v>20.862606904706492</v>
      </c>
      <c r="CE34" s="1397">
        <f t="shared" si="125"/>
        <v>20.860247504185345</v>
      </c>
      <c r="CF34" s="1397">
        <f t="shared" si="125"/>
        <v>20.857888370494265</v>
      </c>
      <c r="CG34" s="1397">
        <f t="shared" si="125"/>
        <v>20.848427047697971</v>
      </c>
      <c r="CH34" s="1397">
        <f t="shared" si="125"/>
        <v>20.838970016641447</v>
      </c>
      <c r="CI34" s="1397">
        <f t="shared" si="125"/>
        <v>20.829517275377921</v>
      </c>
      <c r="CJ34" s="1397">
        <f t="shared" si="125"/>
        <v>20.82006882196151</v>
      </c>
      <c r="CK34" s="1397">
        <f t="shared" si="125"/>
        <v>20.810624654447203</v>
      </c>
      <c r="CL34" s="1397">
        <f t="shared" si="125"/>
        <v>20.799038600799683</v>
      </c>
      <c r="CM34" s="1397">
        <f t="shared" si="125"/>
        <v>20.787458997541872</v>
      </c>
      <c r="CN34" s="1397">
        <f t="shared" si="125"/>
        <v>20.775885841082598</v>
      </c>
      <c r="CO34" s="1397">
        <f t="shared" si="125"/>
        <v>20.764319127832685</v>
      </c>
      <c r="CP34" s="1397">
        <f t="shared" si="125"/>
        <v>20.752758854204956</v>
      </c>
      <c r="CQ34" s="1397">
        <f t="shared" si="125"/>
        <v>20.736920704111466</v>
      </c>
      <c r="CR34" s="1397">
        <f t="shared" si="125"/>
        <v>20.721094641422845</v>
      </c>
      <c r="CS34" s="1397">
        <f t="shared" si="125"/>
        <v>20.705280656914191</v>
      </c>
      <c r="CT34" s="1397">
        <f t="shared" si="125"/>
        <v>20.689478741367644</v>
      </c>
      <c r="CU34" s="1397">
        <f t="shared" si="125"/>
        <v>20.673688885572378</v>
      </c>
      <c r="CV34" s="1397">
        <f t="shared" si="125"/>
        <v>20.658843427163145</v>
      </c>
      <c r="CW34" s="1397">
        <f t="shared" si="125"/>
        <v>20.644008629049544</v>
      </c>
      <c r="CX34" s="1397">
        <f t="shared" si="125"/>
        <v>20.629184483576587</v>
      </c>
      <c r="CY34" s="1397">
        <f t="shared" si="125"/>
        <v>20.614370983094769</v>
      </c>
      <c r="CZ34" s="1397">
        <f t="shared" si="125"/>
        <v>20.59956811996009</v>
      </c>
    </row>
    <row r="35" spans="1:106" ht="13.5" thickBot="1" x14ac:dyDescent="0.35">
      <c r="A35" s="967" t="str">
        <f>'HyARC Physical Property Data'!A78</f>
        <v>Residential Electricity</v>
      </c>
      <c r="B35" s="880">
        <v>2011</v>
      </c>
      <c r="C35" s="881">
        <f t="shared" si="99"/>
        <v>1.0784554773635862</v>
      </c>
      <c r="D35" s="1248" t="str">
        <f>'HyARC Physical Property Data'!$H$78</f>
        <v>kWh</v>
      </c>
      <c r="E35" s="881" t="s">
        <v>1071</v>
      </c>
      <c r="F35" s="880"/>
      <c r="G35" s="880"/>
      <c r="H35" s="1070">
        <v>29.579885763014694</v>
      </c>
      <c r="I35" s="1070">
        <v>29.579885763014694</v>
      </c>
      <c r="J35" s="1070">
        <v>29.579885763014694</v>
      </c>
      <c r="K35" s="1070">
        <v>29.556357578078675</v>
      </c>
      <c r="L35" s="1070">
        <v>30.116416605727963</v>
      </c>
      <c r="M35" s="1070">
        <v>29.134443020933652</v>
      </c>
      <c r="N35" s="880">
        <f t="shared" ref="N35:AR35" si="126">(N53/(mmBTU_to_GJ))*($C35)</f>
        <v>35.290357875264071</v>
      </c>
      <c r="O35" s="880">
        <f t="shared" si="126"/>
        <v>35.099254542442559</v>
      </c>
      <c r="P35" s="880">
        <f t="shared" si="126"/>
        <v>34.006324250330664</v>
      </c>
      <c r="Q35" s="880">
        <f t="shared" si="126"/>
        <v>33.273068571129983</v>
      </c>
      <c r="R35" s="880">
        <f t="shared" si="126"/>
        <v>33.741332917168577</v>
      </c>
      <c r="S35" s="880">
        <f t="shared" si="126"/>
        <v>33.797427935481679</v>
      </c>
      <c r="T35" s="880">
        <f t="shared" si="126"/>
        <v>34.324839686615753</v>
      </c>
      <c r="U35" s="880">
        <f t="shared" si="126"/>
        <v>34.578308413009267</v>
      </c>
      <c r="V35" s="880">
        <f t="shared" si="126"/>
        <v>34.586867567238613</v>
      </c>
      <c r="W35" s="880">
        <f t="shared" si="126"/>
        <v>34.390554936680012</v>
      </c>
      <c r="X35" s="880">
        <f t="shared" si="126"/>
        <v>34.362805408349665</v>
      </c>
      <c r="Y35" s="880">
        <f t="shared" si="126"/>
        <v>34.407138617447096</v>
      </c>
      <c r="Z35" s="880">
        <f t="shared" si="126"/>
        <v>34.440296778887124</v>
      </c>
      <c r="AA35" s="880">
        <f t="shared" si="126"/>
        <v>34.452805840191871</v>
      </c>
      <c r="AB35" s="880">
        <f t="shared" si="126"/>
        <v>34.592323223051601</v>
      </c>
      <c r="AC35" s="880">
        <f t="shared" si="126"/>
        <v>34.714384960668241</v>
      </c>
      <c r="AD35" s="880">
        <f t="shared" si="126"/>
        <v>34.884790126185806</v>
      </c>
      <c r="AE35" s="880">
        <f t="shared" si="126"/>
        <v>35.027523453056702</v>
      </c>
      <c r="AF35" s="880">
        <f t="shared" si="126"/>
        <v>35.17875868912688</v>
      </c>
      <c r="AG35" s="880">
        <f t="shared" si="126"/>
        <v>35.278238284610403</v>
      </c>
      <c r="AH35" s="880">
        <f t="shared" si="126"/>
        <v>35.329988814033648</v>
      </c>
      <c r="AI35" s="880">
        <f t="shared" si="126"/>
        <v>35.457572652587459</v>
      </c>
      <c r="AJ35" s="880">
        <f t="shared" si="126"/>
        <v>35.581268940259363</v>
      </c>
      <c r="AK35" s="880">
        <f t="shared" si="126"/>
        <v>35.700168912196872</v>
      </c>
      <c r="AL35" s="880">
        <f t="shared" si="126"/>
        <v>35.86250559517147</v>
      </c>
      <c r="AM35" s="880">
        <f t="shared" si="126"/>
        <v>36.208798160069257</v>
      </c>
      <c r="AN35" s="880">
        <f t="shared" si="126"/>
        <v>36.632705785658793</v>
      </c>
      <c r="AO35" s="880">
        <f t="shared" si="126"/>
        <v>36.980264896847054</v>
      </c>
      <c r="AP35" s="880">
        <f t="shared" si="126"/>
        <v>37.31435507024409</v>
      </c>
      <c r="AQ35" s="880">
        <f t="shared" si="126"/>
        <v>37.726607198816652</v>
      </c>
      <c r="AR35" s="880">
        <f t="shared" si="126"/>
        <v>37.92339618980413</v>
      </c>
      <c r="AS35" s="880">
        <f t="shared" ref="AS35:BA35" si="127">($BB35-$AR35)/10+AR35</f>
        <v>37.661673404423048</v>
      </c>
      <c r="AT35" s="880">
        <f t="shared" si="127"/>
        <v>37.399950619041967</v>
      </c>
      <c r="AU35" s="880">
        <f t="shared" si="127"/>
        <v>37.138227833660885</v>
      </c>
      <c r="AV35" s="880">
        <f t="shared" si="127"/>
        <v>36.876505048279803</v>
      </c>
      <c r="AW35" s="880">
        <f t="shared" si="127"/>
        <v>36.614782262898721</v>
      </c>
      <c r="AX35" s="880">
        <f t="shared" si="127"/>
        <v>36.35305947751764</v>
      </c>
      <c r="AY35" s="880">
        <f t="shared" si="127"/>
        <v>36.091336692136558</v>
      </c>
      <c r="AZ35" s="880">
        <f t="shared" si="127"/>
        <v>35.829613906755476</v>
      </c>
      <c r="BA35" s="880">
        <f t="shared" si="127"/>
        <v>35.567891121374394</v>
      </c>
      <c r="BB35" s="968">
        <f>'AEO Data'!$B$33*AM35</f>
        <v>35.306168335993306</v>
      </c>
      <c r="BC35" s="880">
        <f t="shared" ref="BC35:BP35" si="128">($BQ35-$BB35)/15+BB35</f>
        <v>35.326738550364603</v>
      </c>
      <c r="BD35" s="880">
        <f t="shared" si="128"/>
        <v>35.347308764735899</v>
      </c>
      <c r="BE35" s="880">
        <f t="shared" si="128"/>
        <v>35.367878979107196</v>
      </c>
      <c r="BF35" s="880">
        <f t="shared" si="128"/>
        <v>35.388449193478493</v>
      </c>
      <c r="BG35" s="880">
        <f t="shared" si="128"/>
        <v>35.40901940784979</v>
      </c>
      <c r="BH35" s="880">
        <f t="shared" si="128"/>
        <v>35.429589622221087</v>
      </c>
      <c r="BI35" s="880">
        <f t="shared" si="128"/>
        <v>35.450159836592384</v>
      </c>
      <c r="BJ35" s="880">
        <f t="shared" si="128"/>
        <v>35.470730050963681</v>
      </c>
      <c r="BK35" s="880">
        <f t="shared" si="128"/>
        <v>35.491300265334978</v>
      </c>
      <c r="BL35" s="880">
        <f t="shared" si="128"/>
        <v>35.511870479706275</v>
      </c>
      <c r="BM35" s="880">
        <f t="shared" si="128"/>
        <v>35.532440694077572</v>
      </c>
      <c r="BN35" s="880">
        <f t="shared" si="128"/>
        <v>35.553010908448869</v>
      </c>
      <c r="BO35" s="880">
        <f t="shared" si="128"/>
        <v>35.573581122820165</v>
      </c>
      <c r="BP35" s="880">
        <f t="shared" si="128"/>
        <v>35.594151337191462</v>
      </c>
      <c r="BQ35" s="968">
        <f>'AEO Data'!$C$33*BB35</f>
        <v>35.614721551562717</v>
      </c>
      <c r="BR35" s="880">
        <f t="shared" si="120"/>
        <v>35.590740371018178</v>
      </c>
      <c r="BS35" s="880">
        <f t="shared" si="120"/>
        <v>35.56675919047364</v>
      </c>
      <c r="BT35" s="880">
        <f t="shared" si="120"/>
        <v>35.542778009929101</v>
      </c>
      <c r="BU35" s="880">
        <f t="shared" si="120"/>
        <v>35.518796829384563</v>
      </c>
      <c r="BV35" s="969">
        <f>'AEO Data'!$D$33*BQ35</f>
        <v>35.494815648840024</v>
      </c>
      <c r="BW35" s="1397">
        <f>+BV35*BW$141/BV$141</f>
        <v>35.479187147674004</v>
      </c>
      <c r="BX35" s="1397">
        <f t="shared" ref="BX35:CZ35" si="129">+BW35*BX$141/BW$141</f>
        <v>35.463565527795978</v>
      </c>
      <c r="BY35" s="1397">
        <f t="shared" si="129"/>
        <v>35.447950786176087</v>
      </c>
      <c r="BZ35" s="1397">
        <f t="shared" si="129"/>
        <v>35.432342919785803</v>
      </c>
      <c r="CA35" s="1397">
        <f t="shared" si="129"/>
        <v>35.41674192559794</v>
      </c>
      <c r="CB35" s="1397">
        <f t="shared" si="129"/>
        <v>35.388373668404036</v>
      </c>
      <c r="CC35" s="1397">
        <f t="shared" si="129"/>
        <v>35.360028133741132</v>
      </c>
      <c r="CD35" s="1397">
        <f t="shared" si="129"/>
        <v>35.331705303408839</v>
      </c>
      <c r="CE35" s="1397">
        <f t="shared" si="129"/>
        <v>35.303405159221327</v>
      </c>
      <c r="CF35" s="1397">
        <f t="shared" si="129"/>
        <v>35.275127683007355</v>
      </c>
      <c r="CG35" s="1397">
        <f t="shared" si="129"/>
        <v>35.236173874838393</v>
      </c>
      <c r="CH35" s="1397">
        <f t="shared" si="129"/>
        <v>35.197263082790727</v>
      </c>
      <c r="CI35" s="1397">
        <f t="shared" si="129"/>
        <v>35.158395259362273</v>
      </c>
      <c r="CJ35" s="1397">
        <f t="shared" si="129"/>
        <v>35.119570357103413</v>
      </c>
      <c r="CK35" s="1397">
        <f t="shared" si="129"/>
        <v>35.080788328616926</v>
      </c>
      <c r="CL35" s="1397">
        <f t="shared" si="129"/>
        <v>35.03850643960029</v>
      </c>
      <c r="CM35" s="1397">
        <f t="shared" si="129"/>
        <v>34.996275511757105</v>
      </c>
      <c r="CN35" s="1397">
        <f t="shared" si="129"/>
        <v>34.954095483665299</v>
      </c>
      <c r="CO35" s="1397">
        <f t="shared" si="129"/>
        <v>34.911966293976825</v>
      </c>
      <c r="CP35" s="1397">
        <f t="shared" si="129"/>
        <v>34.869887881417597</v>
      </c>
      <c r="CQ35" s="1397">
        <f t="shared" si="129"/>
        <v>34.82115009201096</v>
      </c>
      <c r="CR35" s="1397">
        <f t="shared" si="129"/>
        <v>34.772480423618198</v>
      </c>
      <c r="CS35" s="1397">
        <f t="shared" si="129"/>
        <v>34.723878781026279</v>
      </c>
      <c r="CT35" s="1397">
        <f t="shared" si="129"/>
        <v>34.675345069155263</v>
      </c>
      <c r="CU35" s="1397">
        <f t="shared" si="129"/>
        <v>34.626879193058095</v>
      </c>
      <c r="CV35" s="1397">
        <f t="shared" si="129"/>
        <v>34.579567869537456</v>
      </c>
      <c r="CW35" s="1397">
        <f t="shared" si="129"/>
        <v>34.532321188323188</v>
      </c>
      <c r="CX35" s="1397">
        <f t="shared" si="129"/>
        <v>34.485139061093349</v>
      </c>
      <c r="CY35" s="1397">
        <f t="shared" si="129"/>
        <v>34.438021399646672</v>
      </c>
      <c r="CZ35" s="1397">
        <f t="shared" si="129"/>
        <v>34.39096811590241</v>
      </c>
    </row>
    <row r="36" spans="1:106" ht="13" thickTop="1" x14ac:dyDescent="0.25">
      <c r="A36" s="877"/>
      <c r="B36" s="260"/>
      <c r="C36" s="874"/>
      <c r="D36" s="1249"/>
      <c r="E36" s="874"/>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5">
      <c r="A37" s="877"/>
      <c r="B37" s="260"/>
      <c r="C37" s="874"/>
      <c r="D37" s="1250"/>
      <c r="E37" s="874"/>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 thickBot="1" x14ac:dyDescent="0.3">
      <c r="A38" s="977"/>
      <c r="B38" s="260"/>
      <c r="C38" s="874"/>
      <c r="D38" s="1250"/>
      <c r="E38" s="874"/>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52" customFormat="1" ht="13" x14ac:dyDescent="0.3">
      <c r="A39" s="1048" t="s">
        <v>1108</v>
      </c>
      <c r="B39" s="1049"/>
      <c r="C39" s="1050"/>
      <c r="D39" s="1251"/>
      <c r="E39" s="1050"/>
      <c r="F39" s="1049"/>
      <c r="G39" s="1049"/>
      <c r="H39" s="1049"/>
      <c r="I39" s="1049"/>
      <c r="J39" s="1049"/>
      <c r="K39" s="1049"/>
      <c r="L39" s="1049"/>
      <c r="M39" s="1049"/>
      <c r="N39" s="1049"/>
      <c r="O39" s="1049"/>
      <c r="P39" s="1049"/>
      <c r="Q39" s="1049"/>
      <c r="R39" s="1049"/>
      <c r="S39" s="1049"/>
      <c r="T39" s="1049"/>
      <c r="U39" s="1049"/>
      <c r="V39" s="1049"/>
      <c r="W39" s="1049"/>
      <c r="X39" s="1049"/>
      <c r="Y39" s="1049"/>
      <c r="Z39" s="1049"/>
      <c r="AA39" s="1049"/>
      <c r="AB39" s="1049"/>
      <c r="AC39" s="1049"/>
      <c r="AD39" s="1049"/>
      <c r="AE39" s="1049"/>
      <c r="AF39" s="1049"/>
      <c r="AG39" s="1049"/>
      <c r="AH39" s="1049"/>
      <c r="AI39" s="1049"/>
      <c r="AJ39" s="1049"/>
      <c r="AK39" s="1049"/>
      <c r="AL39" s="1049"/>
      <c r="AM39" s="1049"/>
      <c r="AN39" s="1049"/>
      <c r="AO39" s="1049"/>
      <c r="AP39" s="1049"/>
      <c r="AQ39" s="1049"/>
      <c r="AR39" s="1049"/>
      <c r="AS39" s="1049"/>
      <c r="AT39" s="1049"/>
      <c r="AU39" s="1049"/>
      <c r="AV39" s="1049"/>
      <c r="AW39" s="1049"/>
      <c r="AX39" s="1049"/>
      <c r="AY39" s="1049"/>
      <c r="AZ39" s="1049"/>
      <c r="BA39" s="1049"/>
      <c r="BB39" s="1049"/>
      <c r="BC39" s="1049"/>
      <c r="BD39" s="1049"/>
      <c r="BE39" s="1049"/>
      <c r="BF39" s="1049"/>
      <c r="BG39" s="1049"/>
      <c r="BH39" s="1049"/>
      <c r="BI39" s="1049"/>
      <c r="BJ39" s="1049"/>
      <c r="BK39" s="1049"/>
      <c r="BL39" s="1049"/>
      <c r="BM39" s="1049"/>
      <c r="BN39" s="1049"/>
      <c r="BO39" s="1049"/>
      <c r="BP39" s="1049"/>
      <c r="BQ39" s="1049"/>
      <c r="BR39" s="1049"/>
      <c r="BS39" s="1049"/>
      <c r="BT39" s="1049"/>
      <c r="BU39" s="1049"/>
      <c r="BV39" s="1051"/>
    </row>
    <row r="40" spans="1:106" s="1052" customFormat="1" ht="13" x14ac:dyDescent="0.3">
      <c r="A40" s="1053" t="s">
        <v>1109</v>
      </c>
      <c r="B40" s="1054"/>
      <c r="C40" s="1055"/>
      <c r="D40" s="1252"/>
      <c r="E40" s="1055"/>
      <c r="F40" s="1054"/>
      <c r="G40" s="1054"/>
      <c r="H40" s="1054"/>
      <c r="I40" s="1054"/>
      <c r="J40" s="1054"/>
      <c r="K40" s="1054"/>
      <c r="L40" s="1054"/>
      <c r="M40" s="1054"/>
      <c r="N40" s="1054"/>
      <c r="O40" s="1054"/>
      <c r="P40" s="1054"/>
      <c r="Q40" s="1054"/>
      <c r="R40" s="1054"/>
      <c r="S40" s="1054"/>
      <c r="T40" s="1054"/>
      <c r="U40" s="1054"/>
      <c r="V40" s="1054"/>
      <c r="W40" s="1054"/>
      <c r="X40" s="1054"/>
      <c r="Y40" s="1054"/>
      <c r="Z40" s="1054"/>
      <c r="AA40" s="1054"/>
      <c r="AB40" s="1054"/>
      <c r="AC40" s="1054"/>
      <c r="AD40" s="1054"/>
      <c r="AE40" s="1054"/>
      <c r="AF40" s="1054"/>
      <c r="AG40" s="1054"/>
      <c r="AH40" s="1054"/>
      <c r="AI40" s="1054"/>
      <c r="AJ40" s="1054"/>
      <c r="AK40" s="1054"/>
      <c r="AL40" s="1054"/>
      <c r="AM40" s="1054"/>
      <c r="AN40" s="1054"/>
      <c r="AO40" s="1054"/>
      <c r="AP40" s="1054"/>
      <c r="AQ40" s="1054"/>
      <c r="AR40" s="1054"/>
      <c r="AS40" s="1054"/>
      <c r="AT40" s="1054"/>
      <c r="AU40" s="1054"/>
      <c r="AV40" s="1054"/>
      <c r="AW40" s="1054"/>
      <c r="AX40" s="1054"/>
      <c r="AY40" s="1054"/>
      <c r="AZ40" s="1054"/>
      <c r="BA40" s="1054"/>
      <c r="BB40" s="1054"/>
      <c r="BC40" s="1054"/>
      <c r="BD40" s="1054"/>
      <c r="BE40" s="1054"/>
      <c r="BF40" s="1054"/>
      <c r="BG40" s="1054"/>
      <c r="BH40" s="1054"/>
      <c r="BI40" s="1054"/>
      <c r="BJ40" s="1054"/>
      <c r="BK40" s="1054"/>
      <c r="BL40" s="1054"/>
      <c r="BM40" s="1054"/>
      <c r="BN40" s="1054"/>
      <c r="BO40" s="1054"/>
      <c r="BP40" s="1054"/>
      <c r="BQ40" s="1054"/>
      <c r="BR40" s="1054"/>
      <c r="BS40" s="1054"/>
      <c r="BT40" s="1054"/>
      <c r="BU40" s="1054"/>
      <c r="BV40" s="1056"/>
    </row>
    <row r="41" spans="1:106" s="1052" customFormat="1" x14ac:dyDescent="0.25">
      <c r="A41" s="1057"/>
      <c r="B41" s="1054"/>
      <c r="C41" s="1055"/>
      <c r="D41" s="1252"/>
      <c r="E41" s="1055"/>
      <c r="F41" s="1054"/>
      <c r="G41" s="1054"/>
      <c r="H41" s="1054"/>
      <c r="I41" s="1054"/>
      <c r="J41" s="1054"/>
      <c r="K41" s="1054"/>
      <c r="L41" s="1054"/>
      <c r="M41" s="1054"/>
      <c r="N41" s="1054"/>
      <c r="O41" s="1054"/>
      <c r="P41" s="1054"/>
      <c r="Q41" s="1054"/>
      <c r="R41" s="1054"/>
      <c r="S41" s="1054"/>
      <c r="T41" s="1054"/>
      <c r="U41" s="1054"/>
      <c r="V41" s="1054"/>
      <c r="W41" s="1054"/>
      <c r="X41" s="1054"/>
      <c r="Y41" s="1054"/>
      <c r="Z41" s="1054"/>
      <c r="AA41" s="1054"/>
      <c r="AB41" s="1054"/>
      <c r="AC41" s="1054"/>
      <c r="AD41" s="1054"/>
      <c r="AE41" s="1054"/>
      <c r="AF41" s="1054"/>
      <c r="AG41" s="1054"/>
      <c r="AH41" s="1054"/>
      <c r="AI41" s="1054"/>
      <c r="AJ41" s="1054"/>
      <c r="AK41" s="1054"/>
      <c r="AL41" s="1054"/>
      <c r="AM41" s="1054"/>
      <c r="AN41" s="1054"/>
      <c r="AO41" s="1054"/>
      <c r="AP41" s="1054"/>
      <c r="AQ41" s="1054"/>
      <c r="AR41" s="1054"/>
      <c r="AS41" s="1054"/>
      <c r="AT41" s="1054"/>
      <c r="AU41" s="1054"/>
      <c r="AV41" s="1054"/>
      <c r="AW41" s="1054"/>
      <c r="AX41" s="1054"/>
      <c r="AY41" s="1054"/>
      <c r="AZ41" s="1054"/>
      <c r="BA41" s="1054"/>
      <c r="BB41" s="1054"/>
      <c r="BC41" s="1054"/>
      <c r="BD41" s="1054"/>
      <c r="BE41" s="1054"/>
      <c r="BF41" s="1054"/>
      <c r="BG41" s="1054"/>
      <c r="BH41" s="1054"/>
      <c r="BI41" s="1054"/>
      <c r="BJ41" s="1054"/>
      <c r="BK41" s="1054"/>
      <c r="BL41" s="1054"/>
      <c r="BM41" s="1054"/>
      <c r="BN41" s="1054"/>
      <c r="BO41" s="1054"/>
      <c r="BP41" s="1054"/>
      <c r="BQ41" s="1054"/>
      <c r="BR41" s="1054"/>
      <c r="BS41" s="1054"/>
      <c r="BT41" s="1054"/>
      <c r="BU41" s="1054"/>
      <c r="BV41" s="1056"/>
    </row>
    <row r="42" spans="1:106" s="1052" customFormat="1" x14ac:dyDescent="0.25">
      <c r="A42" s="1057" t="s">
        <v>681</v>
      </c>
      <c r="B42" s="1054"/>
      <c r="C42" s="1055"/>
      <c r="D42" s="1252"/>
      <c r="E42" s="1055"/>
      <c r="F42" s="1054"/>
      <c r="G42" s="1054"/>
      <c r="H42" s="1054"/>
      <c r="I42" s="1054"/>
      <c r="J42" s="1054"/>
      <c r="K42" s="1054"/>
      <c r="L42" s="1054"/>
      <c r="M42" s="1054"/>
      <c r="N42" s="1058">
        <v>11.359373</v>
      </c>
      <c r="O42" s="1058">
        <v>10.802343</v>
      </c>
      <c r="P42" s="1058">
        <v>10.464380999999999</v>
      </c>
      <c r="Q42" s="1058">
        <v>10.477905</v>
      </c>
      <c r="R42" s="1058">
        <v>10.253485</v>
      </c>
      <c r="S42" s="1058">
        <v>10.156079999999999</v>
      </c>
      <c r="T42" s="1058">
        <v>10.662777999999999</v>
      </c>
      <c r="U42" s="1058">
        <v>10.990506</v>
      </c>
      <c r="V42" s="1058">
        <v>11.397518</v>
      </c>
      <c r="W42" s="1058">
        <v>11.624905</v>
      </c>
      <c r="X42" s="1058">
        <v>11.776242999999999</v>
      </c>
      <c r="Y42" s="1058">
        <v>11.960003</v>
      </c>
      <c r="Z42" s="1058">
        <v>12.203179</v>
      </c>
      <c r="AA42" s="1058">
        <v>12.432268000000001</v>
      </c>
      <c r="AB42" s="1058">
        <v>12.584531</v>
      </c>
      <c r="AC42" s="1058">
        <v>12.674325</v>
      </c>
      <c r="AD42" s="1058">
        <v>12.841908</v>
      </c>
      <c r="AE42" s="1058">
        <v>12.933384999999999</v>
      </c>
      <c r="AF42" s="1058">
        <v>13.085578999999999</v>
      </c>
      <c r="AG42" s="1058">
        <v>13.234385</v>
      </c>
      <c r="AH42" s="1058">
        <v>13.368997999999999</v>
      </c>
      <c r="AI42" s="1058">
        <v>13.547089</v>
      </c>
      <c r="AJ42" s="1058">
        <v>13.721807</v>
      </c>
      <c r="AK42" s="1058">
        <v>13.935895</v>
      </c>
      <c r="AL42" s="1058">
        <v>14.248931000000001</v>
      </c>
      <c r="AM42" s="1058">
        <v>14.598827</v>
      </c>
      <c r="AN42" s="1058">
        <v>15.023702999999999</v>
      </c>
      <c r="AO42" s="1058">
        <v>15.415895000000001</v>
      </c>
      <c r="AP42" s="1058">
        <v>15.842275000000001</v>
      </c>
      <c r="AQ42" s="1058">
        <v>16.055761</v>
      </c>
      <c r="AR42" s="1058">
        <v>16.363073</v>
      </c>
      <c r="AS42" s="1054"/>
      <c r="AT42" s="1054"/>
      <c r="AU42" s="1054"/>
      <c r="AV42" s="1054"/>
      <c r="AW42" s="1054"/>
      <c r="AX42" s="1054"/>
      <c r="AY42" s="1054"/>
      <c r="AZ42" s="1054"/>
      <c r="BA42" s="1054"/>
      <c r="BB42" s="1054"/>
      <c r="BC42" s="1054"/>
      <c r="BD42" s="1054"/>
      <c r="BE42" s="1054"/>
      <c r="BF42" s="1054"/>
      <c r="BG42" s="1054"/>
      <c r="BH42" s="1054"/>
      <c r="BI42" s="1054"/>
      <c r="BJ42" s="1054"/>
      <c r="BK42" s="1054"/>
      <c r="BL42" s="1054"/>
      <c r="BM42" s="1054"/>
      <c r="BN42" s="1054"/>
      <c r="BO42" s="1054"/>
      <c r="BP42" s="1054"/>
      <c r="BQ42" s="1054"/>
      <c r="BR42" s="1054"/>
      <c r="BS42" s="1054"/>
      <c r="BT42" s="1054"/>
      <c r="BU42" s="1054"/>
      <c r="BV42" s="1056"/>
    </row>
    <row r="43" spans="1:106" s="1052" customFormat="1" x14ac:dyDescent="0.25">
      <c r="A43" s="1057" t="s">
        <v>1085</v>
      </c>
      <c r="B43" s="1054"/>
      <c r="C43" s="1055"/>
      <c r="D43" s="1252"/>
      <c r="E43" s="1055"/>
      <c r="F43" s="1054"/>
      <c r="G43" s="1054"/>
      <c r="H43" s="1054"/>
      <c r="I43" s="1054"/>
      <c r="J43" s="1054"/>
      <c r="K43" s="1054"/>
      <c r="L43" s="1054"/>
      <c r="M43" s="1054"/>
      <c r="N43" s="1058">
        <v>9.3969749999999994</v>
      </c>
      <c r="O43" s="1058">
        <v>8.8368610000000007</v>
      </c>
      <c r="P43" s="1058">
        <v>8.0727960000000003</v>
      </c>
      <c r="Q43" s="1058">
        <v>8.4627339999999993</v>
      </c>
      <c r="R43" s="1058">
        <v>8.2352620000000005</v>
      </c>
      <c r="S43" s="1058">
        <v>8.1043620000000001</v>
      </c>
      <c r="T43" s="1058">
        <v>8.5610389999999992</v>
      </c>
      <c r="U43" s="1058">
        <v>8.8247909999999994</v>
      </c>
      <c r="V43" s="1058">
        <v>9.1722800000000007</v>
      </c>
      <c r="W43" s="1058">
        <v>9.3508150000000008</v>
      </c>
      <c r="X43" s="1058">
        <v>9.4680210000000002</v>
      </c>
      <c r="Y43" s="1058">
        <v>9.6109419999999997</v>
      </c>
      <c r="Z43" s="1058">
        <v>9.8191819999999996</v>
      </c>
      <c r="AA43" s="1058">
        <v>10.011597999999999</v>
      </c>
      <c r="AB43" s="1058">
        <v>10.133018</v>
      </c>
      <c r="AC43" s="1058">
        <v>10.193654</v>
      </c>
      <c r="AD43" s="1058">
        <v>10.33554</v>
      </c>
      <c r="AE43" s="1058">
        <v>10.388019</v>
      </c>
      <c r="AF43" s="1058">
        <v>10.500005</v>
      </c>
      <c r="AG43" s="1058">
        <v>10.605323</v>
      </c>
      <c r="AH43" s="1058">
        <v>10.697221000000001</v>
      </c>
      <c r="AI43" s="1058">
        <v>10.832411</v>
      </c>
      <c r="AJ43" s="1058">
        <v>10.954602</v>
      </c>
      <c r="AK43" s="1058">
        <v>11.11848</v>
      </c>
      <c r="AL43" s="1058">
        <v>11.383407</v>
      </c>
      <c r="AM43" s="1058">
        <v>11.681657</v>
      </c>
      <c r="AN43" s="1058">
        <v>12.061093</v>
      </c>
      <c r="AO43" s="1058">
        <v>12.401303</v>
      </c>
      <c r="AP43" s="1058">
        <v>12.781521</v>
      </c>
      <c r="AQ43" s="1058">
        <v>12.948893999999999</v>
      </c>
      <c r="AR43" s="1058">
        <v>13.212922000000001</v>
      </c>
      <c r="AS43" s="1054"/>
      <c r="AT43" s="1054"/>
      <c r="AU43" s="1054"/>
      <c r="AV43" s="1054"/>
      <c r="AW43" s="1054"/>
      <c r="AX43" s="1054"/>
      <c r="AY43" s="1054"/>
      <c r="AZ43" s="1054"/>
      <c r="BA43" s="1054"/>
      <c r="BB43" s="1054"/>
      <c r="BC43" s="1054"/>
      <c r="BD43" s="1054"/>
      <c r="BE43" s="1054"/>
      <c r="BF43" s="1054"/>
      <c r="BG43" s="1054"/>
      <c r="BH43" s="1054"/>
      <c r="BI43" s="1054"/>
      <c r="BJ43" s="1054"/>
      <c r="BK43" s="1054"/>
      <c r="BL43" s="1054"/>
      <c r="BM43" s="1054"/>
      <c r="BN43" s="1054"/>
      <c r="BO43" s="1054"/>
      <c r="BP43" s="1054"/>
      <c r="BQ43" s="1054"/>
      <c r="BR43" s="1054"/>
      <c r="BS43" s="1054"/>
      <c r="BT43" s="1054"/>
      <c r="BU43" s="1054"/>
      <c r="BV43" s="1056"/>
    </row>
    <row r="44" spans="1:106" s="1052" customFormat="1" x14ac:dyDescent="0.25">
      <c r="A44" s="1057" t="s">
        <v>283</v>
      </c>
      <c r="B44" s="1054"/>
      <c r="C44" s="1055"/>
      <c r="D44" s="1252"/>
      <c r="E44" s="1055"/>
      <c r="F44" s="1054"/>
      <c r="G44" s="1054"/>
      <c r="H44" s="1054"/>
      <c r="I44" s="1054"/>
      <c r="J44" s="1054"/>
      <c r="K44" s="1054"/>
      <c r="L44" s="1054"/>
      <c r="M44" s="1054"/>
      <c r="N44" s="1058">
        <v>5.4839599999999997</v>
      </c>
      <c r="O44" s="1058">
        <v>4.8898130000000002</v>
      </c>
      <c r="P44" s="1058">
        <v>3.7596859999999999</v>
      </c>
      <c r="Q44" s="1058">
        <v>4.3339879999999997</v>
      </c>
      <c r="R44" s="1058">
        <v>4.3750520000000002</v>
      </c>
      <c r="S44" s="1058">
        <v>4.4225349999999999</v>
      </c>
      <c r="T44" s="1058">
        <v>4.8660360000000003</v>
      </c>
      <c r="U44" s="1058">
        <v>5.0679410000000003</v>
      </c>
      <c r="V44" s="1058">
        <v>5.3212570000000001</v>
      </c>
      <c r="W44" s="1058">
        <v>5.4497980000000004</v>
      </c>
      <c r="X44" s="1058">
        <v>5.5294119999999998</v>
      </c>
      <c r="Y44" s="1058">
        <v>5.6406840000000003</v>
      </c>
      <c r="Z44" s="1058">
        <v>5.8277749999999999</v>
      </c>
      <c r="AA44" s="1058">
        <v>6.0107049999999997</v>
      </c>
      <c r="AB44" s="1058">
        <v>6.1100089999999998</v>
      </c>
      <c r="AC44" s="1058">
        <v>6.1511990000000001</v>
      </c>
      <c r="AD44" s="1058">
        <v>6.2557600000000004</v>
      </c>
      <c r="AE44" s="1058">
        <v>6.2949159999999997</v>
      </c>
      <c r="AF44" s="1058">
        <v>6.396782</v>
      </c>
      <c r="AG44" s="1058">
        <v>6.4862520000000004</v>
      </c>
      <c r="AH44" s="1058">
        <v>6.561483</v>
      </c>
      <c r="AI44" s="1058">
        <v>6.6766310000000004</v>
      </c>
      <c r="AJ44" s="1058">
        <v>6.771134</v>
      </c>
      <c r="AK44" s="1058">
        <v>6.9159920000000001</v>
      </c>
      <c r="AL44" s="1058">
        <v>7.1687539999999998</v>
      </c>
      <c r="AM44" s="1058">
        <v>7.4454149999999997</v>
      </c>
      <c r="AN44" s="1058">
        <v>7.813205</v>
      </c>
      <c r="AO44" s="1058">
        <v>8.1536600000000004</v>
      </c>
      <c r="AP44" s="1058">
        <v>8.4989190000000008</v>
      </c>
      <c r="AQ44" s="1058">
        <v>8.6393810000000002</v>
      </c>
      <c r="AR44" s="1058">
        <v>8.8810929999999999</v>
      </c>
      <c r="AS44" s="1054"/>
      <c r="AT44" s="1054"/>
      <c r="AU44" s="1054"/>
      <c r="AV44" s="1054"/>
      <c r="AW44" s="1054"/>
      <c r="AX44" s="1054"/>
      <c r="AY44" s="1054"/>
      <c r="AZ44" s="1054"/>
      <c r="BA44" s="1054"/>
      <c r="BB44" s="1054"/>
      <c r="BC44" s="1054"/>
      <c r="BD44" s="1054"/>
      <c r="BE44" s="1054"/>
      <c r="BF44" s="1054"/>
      <c r="BG44" s="1054"/>
      <c r="BH44" s="1054"/>
      <c r="BI44" s="1054"/>
      <c r="BJ44" s="1054"/>
      <c r="BK44" s="1054"/>
      <c r="BL44" s="1054"/>
      <c r="BM44" s="1054"/>
      <c r="BN44" s="1054"/>
      <c r="BO44" s="1054"/>
      <c r="BP44" s="1054"/>
      <c r="BQ44" s="1054"/>
      <c r="BR44" s="1054"/>
      <c r="BS44" s="1054"/>
      <c r="BT44" s="1054"/>
      <c r="BU44" s="1054"/>
      <c r="BV44" s="1056"/>
    </row>
    <row r="45" spans="1:106" s="1052" customFormat="1" x14ac:dyDescent="0.25">
      <c r="A45" s="1059" t="str">
        <f>'HyARC Physical Property Data'!$A$74</f>
        <v>Electric Utility Natural Gas</v>
      </c>
      <c r="B45" s="1054"/>
      <c r="C45" s="1055"/>
      <c r="D45" s="1252"/>
      <c r="E45" s="1055"/>
      <c r="F45" s="1054"/>
      <c r="G45" s="1054"/>
      <c r="H45" s="1054"/>
      <c r="I45" s="1054"/>
      <c r="J45" s="1054"/>
      <c r="K45" s="1054"/>
      <c r="L45" s="1054"/>
      <c r="M45" s="1054"/>
      <c r="N45" s="1058">
        <v>5.258165</v>
      </c>
      <c r="O45" s="1058">
        <v>4.7747140000000003</v>
      </c>
      <c r="P45" s="1058">
        <v>3.3217560000000002</v>
      </c>
      <c r="Q45" s="1058">
        <v>3.7155300000000002</v>
      </c>
      <c r="R45" s="1058">
        <v>3.758219</v>
      </c>
      <c r="S45" s="1058">
        <v>3.8420709999999998</v>
      </c>
      <c r="T45" s="1058">
        <v>4.2826180000000003</v>
      </c>
      <c r="U45" s="1058">
        <v>4.4486730000000003</v>
      </c>
      <c r="V45" s="1058">
        <v>4.7026110000000001</v>
      </c>
      <c r="W45" s="1058">
        <v>4.8222319999999996</v>
      </c>
      <c r="X45" s="1058">
        <v>4.8967590000000003</v>
      </c>
      <c r="Y45" s="1058">
        <v>5.0074189999999996</v>
      </c>
      <c r="Z45" s="1058">
        <v>5.20235</v>
      </c>
      <c r="AA45" s="1058">
        <v>5.388776</v>
      </c>
      <c r="AB45" s="1058">
        <v>5.5179349999999996</v>
      </c>
      <c r="AC45" s="1058">
        <v>5.5779610000000002</v>
      </c>
      <c r="AD45" s="1058">
        <v>5.7088080000000003</v>
      </c>
      <c r="AE45" s="1058">
        <v>5.7607720000000002</v>
      </c>
      <c r="AF45" s="1058">
        <v>5.8668440000000004</v>
      </c>
      <c r="AG45" s="1058">
        <v>5.9650189999999998</v>
      </c>
      <c r="AH45" s="1058">
        <v>6.0528500000000003</v>
      </c>
      <c r="AI45" s="1058">
        <v>6.1836820000000001</v>
      </c>
      <c r="AJ45" s="1058">
        <v>6.2931780000000002</v>
      </c>
      <c r="AK45" s="1058">
        <v>6.4458729999999997</v>
      </c>
      <c r="AL45" s="1058">
        <v>6.6983480000000002</v>
      </c>
      <c r="AM45" s="1058">
        <v>6.9804459999999997</v>
      </c>
      <c r="AN45" s="1058">
        <v>7.345173</v>
      </c>
      <c r="AO45" s="1058">
        <v>7.6749489999999998</v>
      </c>
      <c r="AP45" s="1058">
        <v>8.0219799999999992</v>
      </c>
      <c r="AQ45" s="1058">
        <v>8.1549879999999995</v>
      </c>
      <c r="AR45" s="1058">
        <v>8.3777830000000009</v>
      </c>
      <c r="AS45" s="1054"/>
      <c r="AT45" s="1054"/>
      <c r="AU45" s="1054"/>
      <c r="AV45" s="1054"/>
      <c r="AW45" s="1054"/>
      <c r="AX45" s="1054"/>
      <c r="AY45" s="1054"/>
      <c r="AZ45" s="1054"/>
      <c r="BA45" s="1054"/>
      <c r="BB45" s="1054"/>
      <c r="BC45" s="1054"/>
      <c r="BD45" s="1054"/>
      <c r="BE45" s="1054"/>
      <c r="BF45" s="1054"/>
      <c r="BG45" s="1054"/>
      <c r="BH45" s="1054"/>
      <c r="BI45" s="1054"/>
      <c r="BJ45" s="1054"/>
      <c r="BK45" s="1054"/>
      <c r="BL45" s="1054"/>
      <c r="BM45" s="1054"/>
      <c r="BN45" s="1054"/>
      <c r="BO45" s="1054"/>
      <c r="BP45" s="1054"/>
      <c r="BQ45" s="1054"/>
      <c r="BR45" s="1054"/>
      <c r="BS45" s="1054"/>
      <c r="BT45" s="1054"/>
      <c r="BU45" s="1054"/>
      <c r="BV45" s="1056"/>
    </row>
    <row r="46" spans="1:106" s="1052" customFormat="1" x14ac:dyDescent="0.25">
      <c r="A46" s="1057" t="str">
        <f>'HyARC Physical Property Data'!$A$85</f>
        <v>Woody Biomass</v>
      </c>
      <c r="B46" s="1054"/>
      <c r="C46" s="1055"/>
      <c r="D46" s="1252"/>
      <c r="E46" s="1055"/>
      <c r="F46" s="1054"/>
      <c r="G46" s="1054"/>
      <c r="H46" s="1054"/>
      <c r="I46" s="1054"/>
      <c r="J46" s="1054"/>
      <c r="K46" s="1054"/>
      <c r="L46" s="1054"/>
      <c r="M46" s="1054"/>
      <c r="N46" s="1058"/>
      <c r="O46" s="1058"/>
      <c r="P46" s="1058"/>
      <c r="Q46" s="1058"/>
      <c r="R46" s="1058"/>
      <c r="S46" s="1058"/>
      <c r="T46" s="1058"/>
      <c r="U46" s="1058"/>
      <c r="V46" s="1058"/>
      <c r="W46" s="1058"/>
      <c r="X46" s="1058"/>
      <c r="Y46" s="1058"/>
      <c r="Z46" s="1058"/>
      <c r="AA46" s="1058"/>
      <c r="AB46" s="1058"/>
      <c r="AC46" s="1058"/>
      <c r="AD46" s="1058"/>
      <c r="AE46" s="1058"/>
      <c r="AF46" s="1058"/>
      <c r="AG46" s="1058"/>
      <c r="AH46" s="1058"/>
      <c r="AI46" s="1058"/>
      <c r="AJ46" s="1058"/>
      <c r="AK46" s="1058"/>
      <c r="AL46" s="1058"/>
      <c r="AM46" s="1058"/>
      <c r="AN46" s="1058"/>
      <c r="AO46" s="1058"/>
      <c r="AP46" s="1058"/>
      <c r="AQ46" s="1058"/>
      <c r="AR46" s="1058"/>
      <c r="AS46" s="1054"/>
      <c r="AT46" s="1054"/>
      <c r="AU46" s="1054"/>
      <c r="AV46" s="1054"/>
      <c r="AW46" s="1054"/>
      <c r="AX46" s="1054"/>
      <c r="AY46" s="1054"/>
      <c r="AZ46" s="1054"/>
      <c r="BA46" s="1054"/>
      <c r="BB46" s="1054"/>
      <c r="BC46" s="1054"/>
      <c r="BD46" s="1054"/>
      <c r="BE46" s="1054"/>
      <c r="BF46" s="1054"/>
      <c r="BG46" s="1054"/>
      <c r="BH46" s="1054"/>
      <c r="BI46" s="1054"/>
      <c r="BJ46" s="1054"/>
      <c r="BK46" s="1054"/>
      <c r="BL46" s="1054"/>
      <c r="BM46" s="1054"/>
      <c r="BN46" s="1054"/>
      <c r="BO46" s="1054"/>
      <c r="BP46" s="1054"/>
      <c r="BQ46" s="1054"/>
      <c r="BR46" s="1054"/>
      <c r="BS46" s="1054"/>
      <c r="BT46" s="1054"/>
      <c r="BU46" s="1054"/>
      <c r="BV46" s="1056"/>
    </row>
    <row r="47" spans="1:106" s="1052" customFormat="1" x14ac:dyDescent="0.25">
      <c r="A47" s="1057" t="s">
        <v>1110</v>
      </c>
      <c r="B47" s="1054"/>
      <c r="C47" s="1055"/>
      <c r="D47" s="1252"/>
      <c r="E47" s="1055"/>
      <c r="F47" s="1054"/>
      <c r="G47" s="1054"/>
      <c r="H47" s="1054"/>
      <c r="I47" s="1054"/>
      <c r="J47" s="1054"/>
      <c r="K47" s="1054"/>
      <c r="L47" s="1054"/>
      <c r="M47" s="1054"/>
      <c r="N47" s="1058">
        <v>13.6</v>
      </c>
      <c r="O47" s="1058">
        <v>13.6</v>
      </c>
      <c r="P47" s="1058">
        <v>13.6</v>
      </c>
      <c r="Q47" s="1058">
        <v>13.6</v>
      </c>
      <c r="R47" s="1058">
        <v>13.6</v>
      </c>
      <c r="S47" s="1058">
        <v>13.6</v>
      </c>
      <c r="T47" s="1058">
        <v>13.6</v>
      </c>
      <c r="U47" s="1058">
        <v>14.11</v>
      </c>
      <c r="V47" s="1058">
        <v>14.11</v>
      </c>
      <c r="W47" s="1058">
        <v>14.11</v>
      </c>
      <c r="X47" s="1058">
        <v>14.11</v>
      </c>
      <c r="Y47" s="1058">
        <v>14.11</v>
      </c>
      <c r="Z47" s="1058">
        <v>14.11</v>
      </c>
      <c r="AA47" s="1058">
        <v>14.11</v>
      </c>
      <c r="AB47" s="1058">
        <v>14.11</v>
      </c>
      <c r="AC47" s="1058">
        <v>14.11</v>
      </c>
      <c r="AD47" s="1058">
        <v>14.11</v>
      </c>
      <c r="AE47" s="1058">
        <v>14.11</v>
      </c>
      <c r="AF47" s="1058">
        <v>14.11</v>
      </c>
      <c r="AG47" s="1058">
        <v>14.11</v>
      </c>
      <c r="AH47" s="1058">
        <v>14.11</v>
      </c>
      <c r="AI47" s="1058">
        <v>14.11</v>
      </c>
      <c r="AJ47" s="1058">
        <v>14.11</v>
      </c>
      <c r="AK47" s="1058">
        <v>14.11</v>
      </c>
      <c r="AL47" s="1058">
        <v>14.11</v>
      </c>
      <c r="AM47" s="1058">
        <v>14.11</v>
      </c>
      <c r="AN47" s="1058">
        <v>14.11</v>
      </c>
      <c r="AO47" s="1058">
        <v>14.11</v>
      </c>
      <c r="AP47" s="1058">
        <v>14.11</v>
      </c>
      <c r="AQ47" s="1058">
        <v>14.11</v>
      </c>
      <c r="AR47" s="1058">
        <v>14.11</v>
      </c>
      <c r="AS47" s="1058">
        <v>14.11</v>
      </c>
      <c r="AT47" s="1058">
        <v>14.11</v>
      </c>
      <c r="AU47" s="1058">
        <v>14.11</v>
      </c>
      <c r="AV47" s="1058">
        <v>14.11</v>
      </c>
      <c r="AW47" s="1058">
        <v>14.11</v>
      </c>
      <c r="AX47" s="1058">
        <v>14.11</v>
      </c>
      <c r="AY47" s="1058">
        <v>14.11</v>
      </c>
      <c r="AZ47" s="1058">
        <v>14.11</v>
      </c>
      <c r="BA47" s="1058">
        <v>14.11</v>
      </c>
      <c r="BB47" s="1058">
        <v>14.11</v>
      </c>
      <c r="BC47" s="1058">
        <v>14.11</v>
      </c>
      <c r="BD47" s="1058">
        <v>14.11</v>
      </c>
      <c r="BE47" s="1058">
        <v>14.11</v>
      </c>
      <c r="BF47" s="1058">
        <v>14.11</v>
      </c>
      <c r="BG47" s="1058">
        <v>14.11</v>
      </c>
      <c r="BH47" s="1058">
        <v>14.11</v>
      </c>
      <c r="BI47" s="1058">
        <v>14.11</v>
      </c>
      <c r="BJ47" s="1058">
        <v>14.11</v>
      </c>
      <c r="BK47" s="1058">
        <v>14.11</v>
      </c>
      <c r="BL47" s="1058">
        <v>14.11</v>
      </c>
      <c r="BM47" s="1058">
        <v>14.11</v>
      </c>
      <c r="BN47" s="1058">
        <v>14.11</v>
      </c>
      <c r="BO47" s="1058">
        <v>14.11</v>
      </c>
      <c r="BP47" s="1058">
        <v>14.11</v>
      </c>
      <c r="BQ47" s="1058">
        <v>14.11</v>
      </c>
      <c r="BR47" s="1058">
        <v>14.11</v>
      </c>
      <c r="BS47" s="1058">
        <v>14.11</v>
      </c>
      <c r="BT47" s="1058">
        <v>14.11</v>
      </c>
      <c r="BU47" s="1058">
        <v>14.11</v>
      </c>
      <c r="BV47" s="1060">
        <v>14.11</v>
      </c>
    </row>
    <row r="48" spans="1:106" s="1052" customFormat="1" x14ac:dyDescent="0.25">
      <c r="A48" s="1057" t="s">
        <v>311</v>
      </c>
      <c r="B48" s="1054"/>
      <c r="C48" s="1055"/>
      <c r="D48" s="1252"/>
      <c r="E48" s="1055"/>
      <c r="F48" s="1054"/>
      <c r="G48" s="1054"/>
      <c r="H48" s="1054"/>
      <c r="I48" s="1054"/>
      <c r="J48" s="1054"/>
      <c r="K48" s="1054"/>
      <c r="L48" s="1054"/>
      <c r="M48" s="1054"/>
      <c r="N48" s="1058">
        <v>23.6</v>
      </c>
      <c r="O48" s="1058">
        <v>23.6</v>
      </c>
      <c r="P48" s="1058">
        <v>23.6</v>
      </c>
      <c r="Q48" s="1058">
        <v>23.6</v>
      </c>
      <c r="R48" s="1058">
        <v>23.6</v>
      </c>
      <c r="S48" s="1058">
        <v>23.6</v>
      </c>
      <c r="T48" s="1058">
        <v>23.6</v>
      </c>
      <c r="U48" s="1058">
        <v>23.6</v>
      </c>
      <c r="V48" s="1058">
        <v>23.6</v>
      </c>
      <c r="W48" s="1058">
        <v>23.6</v>
      </c>
      <c r="X48" s="1058">
        <v>23.6</v>
      </c>
      <c r="Y48" s="1058">
        <v>23.6</v>
      </c>
      <c r="Z48" s="1058">
        <v>23.6</v>
      </c>
      <c r="AA48" s="1058">
        <v>23.6</v>
      </c>
      <c r="AB48" s="1058">
        <v>23.6</v>
      </c>
      <c r="AC48" s="1058">
        <v>23.6</v>
      </c>
      <c r="AD48" s="1058">
        <v>23.6</v>
      </c>
      <c r="AE48" s="1058">
        <v>23.6</v>
      </c>
      <c r="AF48" s="1058">
        <v>23.6</v>
      </c>
      <c r="AG48" s="1058">
        <v>23.6</v>
      </c>
      <c r="AH48" s="1058">
        <v>23.6</v>
      </c>
      <c r="AI48" s="1058">
        <v>23.6</v>
      </c>
      <c r="AJ48" s="1058">
        <v>23.6</v>
      </c>
      <c r="AK48" s="1058">
        <v>23.6</v>
      </c>
      <c r="AL48" s="1058">
        <v>23.6</v>
      </c>
      <c r="AM48" s="1058">
        <v>23.6</v>
      </c>
      <c r="AN48" s="1058">
        <v>23.6</v>
      </c>
      <c r="AO48" s="1058">
        <v>23.6</v>
      </c>
      <c r="AP48" s="1058">
        <v>23.6</v>
      </c>
      <c r="AQ48" s="1058">
        <v>23.6</v>
      </c>
      <c r="AR48" s="1058">
        <v>23.6</v>
      </c>
      <c r="AS48" s="1058">
        <v>23.6</v>
      </c>
      <c r="AT48" s="1058">
        <v>23.6</v>
      </c>
      <c r="AU48" s="1058">
        <v>23.6</v>
      </c>
      <c r="AV48" s="1058">
        <v>23.6</v>
      </c>
      <c r="AW48" s="1058">
        <v>23.6</v>
      </c>
      <c r="AX48" s="1058">
        <v>23.6</v>
      </c>
      <c r="AY48" s="1058">
        <v>23.6</v>
      </c>
      <c r="AZ48" s="1058">
        <v>23.6</v>
      </c>
      <c r="BA48" s="1058">
        <v>23.6</v>
      </c>
      <c r="BB48" s="1058">
        <v>23.6</v>
      </c>
      <c r="BC48" s="1058">
        <v>23.6</v>
      </c>
      <c r="BD48" s="1058">
        <v>23.6</v>
      </c>
      <c r="BE48" s="1058">
        <v>23.6</v>
      </c>
      <c r="BF48" s="1058">
        <v>23.6</v>
      </c>
      <c r="BG48" s="1058">
        <v>23.6</v>
      </c>
      <c r="BH48" s="1058">
        <v>23.6</v>
      </c>
      <c r="BI48" s="1058">
        <v>23.6</v>
      </c>
      <c r="BJ48" s="1058">
        <v>23.6</v>
      </c>
      <c r="BK48" s="1058">
        <v>23.6</v>
      </c>
      <c r="BL48" s="1058">
        <v>23.6</v>
      </c>
      <c r="BM48" s="1058">
        <v>23.6</v>
      </c>
      <c r="BN48" s="1058">
        <v>23.6</v>
      </c>
      <c r="BO48" s="1058">
        <v>23.6</v>
      </c>
      <c r="BP48" s="1058">
        <v>23.6</v>
      </c>
      <c r="BQ48" s="1058">
        <v>23.6</v>
      </c>
      <c r="BR48" s="1058">
        <v>23.6</v>
      </c>
      <c r="BS48" s="1058">
        <v>23.6</v>
      </c>
      <c r="BT48" s="1058">
        <v>23.6</v>
      </c>
      <c r="BU48" s="1058">
        <v>23.6</v>
      </c>
      <c r="BV48" s="1060">
        <v>23.6</v>
      </c>
    </row>
    <row r="49" spans="1:104" s="1052" customFormat="1" x14ac:dyDescent="0.25">
      <c r="A49" s="1059" t="s">
        <v>1111</v>
      </c>
      <c r="B49" s="1054"/>
      <c r="C49" s="1055"/>
      <c r="D49" s="1252"/>
      <c r="E49" s="1055"/>
      <c r="F49" s="1054"/>
      <c r="G49" s="1054"/>
      <c r="H49" s="1054"/>
      <c r="I49" s="1054"/>
      <c r="J49" s="1054"/>
      <c r="K49" s="1054"/>
      <c r="L49" s="1054"/>
      <c r="M49" s="1054"/>
      <c r="N49" s="1058">
        <v>25.561684</v>
      </c>
      <c r="O49" s="1058">
        <v>25.303816000000001</v>
      </c>
      <c r="P49" s="1058">
        <v>33.642014000000003</v>
      </c>
      <c r="Q49" s="1058">
        <v>31.120284999999999</v>
      </c>
      <c r="R49" s="1058">
        <v>24.805427999999999</v>
      </c>
      <c r="S49" s="1058">
        <v>24.941547</v>
      </c>
      <c r="T49" s="1058">
        <v>24.510408000000002</v>
      </c>
      <c r="U49" s="1058">
        <v>24.773121</v>
      </c>
      <c r="V49" s="1058">
        <v>25.840997999999999</v>
      </c>
      <c r="W49" s="1058">
        <v>26.808551999999999</v>
      </c>
      <c r="X49" s="1058">
        <v>29.644617</v>
      </c>
      <c r="Y49" s="1058">
        <v>29.383793000000001</v>
      </c>
      <c r="Z49" s="1058">
        <v>28.224442</v>
      </c>
      <c r="AA49" s="1058">
        <v>28.253482999999999</v>
      </c>
      <c r="AB49" s="1058">
        <v>27.145426</v>
      </c>
      <c r="AC49" s="1058">
        <v>27.272445999999999</v>
      </c>
      <c r="AD49" s="1058">
        <v>27.519344</v>
      </c>
      <c r="AE49" s="1058">
        <v>26.363682000000001</v>
      </c>
      <c r="AF49" s="1058">
        <v>26.241467</v>
      </c>
      <c r="AG49" s="1058">
        <v>26.599018000000001</v>
      </c>
      <c r="AH49" s="1058">
        <v>26.941008</v>
      </c>
      <c r="AI49" s="1058">
        <v>27.294556</v>
      </c>
      <c r="AJ49" s="1058">
        <v>27.667862</v>
      </c>
      <c r="AK49" s="1058">
        <v>28.194492</v>
      </c>
      <c r="AL49" s="1058">
        <v>28.632065000000001</v>
      </c>
      <c r="AM49" s="1058">
        <v>29.186733</v>
      </c>
      <c r="AN49" s="1058">
        <v>29.790071000000001</v>
      </c>
      <c r="AO49" s="1058">
        <v>30.397635000000001</v>
      </c>
      <c r="AP49" s="1058">
        <v>30.990224999999999</v>
      </c>
      <c r="AQ49" s="1058">
        <v>31.671036000000001</v>
      </c>
      <c r="AR49" s="1058">
        <v>30.576360999999999</v>
      </c>
      <c r="AS49" s="1054"/>
      <c r="AT49" s="1054"/>
      <c r="AU49" s="1054"/>
      <c r="AV49" s="1054"/>
      <c r="AW49" s="1054"/>
      <c r="AX49" s="1054"/>
      <c r="AY49" s="1054"/>
      <c r="AZ49" s="1054"/>
      <c r="BA49" s="1054"/>
      <c r="BB49" s="1054"/>
      <c r="BC49" s="1054"/>
      <c r="BD49" s="1054"/>
      <c r="BE49" s="1054"/>
      <c r="BF49" s="1054"/>
      <c r="BG49" s="1054"/>
      <c r="BH49" s="1054"/>
      <c r="BI49" s="1054"/>
      <c r="BJ49" s="1054"/>
      <c r="BK49" s="1054"/>
      <c r="BL49" s="1054"/>
      <c r="BM49" s="1054"/>
      <c r="BN49" s="1054"/>
      <c r="BO49" s="1054"/>
      <c r="BP49" s="1054"/>
      <c r="BQ49" s="1054"/>
      <c r="BR49" s="1054"/>
      <c r="BS49" s="1054"/>
      <c r="BT49" s="1054"/>
      <c r="BU49" s="1054"/>
      <c r="BV49" s="1056"/>
    </row>
    <row r="50" spans="1:104" s="1052" customFormat="1" x14ac:dyDescent="0.25">
      <c r="A50" s="1057" t="s">
        <v>1087</v>
      </c>
      <c r="B50" s="1054"/>
      <c r="C50" s="1055"/>
      <c r="D50" s="1252"/>
      <c r="E50" s="1055"/>
      <c r="F50" s="1054"/>
      <c r="G50" s="1054"/>
      <c r="H50" s="1054"/>
      <c r="I50" s="1054"/>
      <c r="J50" s="1054"/>
      <c r="K50" s="1054"/>
      <c r="L50" s="1054"/>
      <c r="M50" s="1054"/>
      <c r="N50" s="1058">
        <v>2.2979889999999998</v>
      </c>
      <c r="O50" s="1058">
        <v>2.38</v>
      </c>
      <c r="P50" s="1058">
        <v>2.4052739999999999</v>
      </c>
      <c r="Q50" s="1058">
        <v>2.3369110000000002</v>
      </c>
      <c r="R50" s="1058">
        <v>2.3950149999999999</v>
      </c>
      <c r="S50" s="1058">
        <v>2.3961070000000002</v>
      </c>
      <c r="T50" s="1058">
        <v>2.4583050000000002</v>
      </c>
      <c r="U50" s="1058">
        <v>2.472283</v>
      </c>
      <c r="V50" s="1058">
        <v>2.4802620000000002</v>
      </c>
      <c r="W50" s="1058">
        <v>2.4838239999999998</v>
      </c>
      <c r="X50" s="1058">
        <v>2.516057</v>
      </c>
      <c r="Y50" s="1058">
        <v>2.5464560000000001</v>
      </c>
      <c r="Z50" s="1058">
        <v>2.591459</v>
      </c>
      <c r="AA50" s="1058">
        <v>2.6280779999999999</v>
      </c>
      <c r="AB50" s="1058">
        <v>2.6593969999999998</v>
      </c>
      <c r="AC50" s="1058">
        <v>2.691643</v>
      </c>
      <c r="AD50" s="1058">
        <v>2.7285810000000001</v>
      </c>
      <c r="AE50" s="1058">
        <v>2.7618779999999998</v>
      </c>
      <c r="AF50" s="1058">
        <v>2.7919909999999999</v>
      </c>
      <c r="AG50" s="1058">
        <v>2.8282630000000002</v>
      </c>
      <c r="AH50" s="1058">
        <v>2.8670900000000001</v>
      </c>
      <c r="AI50" s="1058">
        <v>2.8969999999999998</v>
      </c>
      <c r="AJ50" s="1058">
        <v>2.9238430000000002</v>
      </c>
      <c r="AK50" s="1058">
        <v>2.954224</v>
      </c>
      <c r="AL50" s="1058">
        <v>2.98759</v>
      </c>
      <c r="AM50" s="1058">
        <v>3.030205</v>
      </c>
      <c r="AN50" s="1058">
        <v>3.0670109999999999</v>
      </c>
      <c r="AO50" s="1058">
        <v>3.1012659999999999</v>
      </c>
      <c r="AP50" s="1058">
        <v>3.134995</v>
      </c>
      <c r="AQ50" s="1058">
        <v>3.169994</v>
      </c>
      <c r="AR50" s="1058">
        <v>3.2015440000000002</v>
      </c>
      <c r="AS50" s="1054"/>
      <c r="AT50" s="1054"/>
      <c r="AU50" s="1054"/>
      <c r="AV50" s="1054"/>
      <c r="AW50" s="1054"/>
      <c r="AX50" s="1054"/>
      <c r="AY50" s="1054"/>
      <c r="AZ50" s="1054"/>
      <c r="BA50" s="1054"/>
      <c r="BB50" s="1054"/>
      <c r="BC50" s="1054"/>
      <c r="BD50" s="1054"/>
      <c r="BE50" s="1054"/>
      <c r="BF50" s="1054"/>
      <c r="BG50" s="1054"/>
      <c r="BH50" s="1054"/>
      <c r="BI50" s="1054"/>
      <c r="BJ50" s="1054"/>
      <c r="BK50" s="1054"/>
      <c r="BL50" s="1054"/>
      <c r="BM50" s="1054"/>
      <c r="BN50" s="1054"/>
      <c r="BO50" s="1054"/>
      <c r="BP50" s="1054"/>
      <c r="BQ50" s="1054"/>
      <c r="BR50" s="1054"/>
      <c r="BS50" s="1054"/>
      <c r="BT50" s="1054"/>
      <c r="BU50" s="1054"/>
      <c r="BV50" s="1056"/>
    </row>
    <row r="51" spans="1:104" s="1052" customFormat="1" x14ac:dyDescent="0.25">
      <c r="A51" s="1057" t="s">
        <v>683</v>
      </c>
      <c r="B51" s="1054"/>
      <c r="C51" s="1055"/>
      <c r="D51" s="1252"/>
      <c r="E51" s="1055"/>
      <c r="F51" s="1054"/>
      <c r="G51" s="1054"/>
      <c r="H51" s="1054"/>
      <c r="I51" s="1054"/>
      <c r="J51" s="1054"/>
      <c r="K51" s="1054"/>
      <c r="L51" s="1054"/>
      <c r="M51" s="1054"/>
      <c r="N51" s="1058">
        <v>30.492578999999999</v>
      </c>
      <c r="O51" s="1058">
        <v>29.980651999999999</v>
      </c>
      <c r="P51" s="1058">
        <v>28.463469</v>
      </c>
      <c r="Q51" s="1058">
        <v>27.770492999999998</v>
      </c>
      <c r="R51" s="1058">
        <v>27.844252000000001</v>
      </c>
      <c r="S51" s="1058">
        <v>27.733993999999999</v>
      </c>
      <c r="T51" s="1058">
        <v>28.230274000000001</v>
      </c>
      <c r="U51" s="1058">
        <v>28.517765000000001</v>
      </c>
      <c r="V51" s="1058">
        <v>28.644997</v>
      </c>
      <c r="W51" s="1058">
        <v>28.576813000000001</v>
      </c>
      <c r="X51" s="1058">
        <v>28.566559000000002</v>
      </c>
      <c r="Y51" s="1058">
        <v>28.675744999999999</v>
      </c>
      <c r="Z51" s="1058">
        <v>28.66461</v>
      </c>
      <c r="AA51" s="1058">
        <v>28.628443000000001</v>
      </c>
      <c r="AB51" s="1058">
        <v>28.632759</v>
      </c>
      <c r="AC51" s="1058">
        <v>28.485842000000002</v>
      </c>
      <c r="AD51" s="1058">
        <v>28.378672000000002</v>
      </c>
      <c r="AE51" s="1058">
        <v>28.369689999999999</v>
      </c>
      <c r="AF51" s="1058">
        <v>28.482963999999999</v>
      </c>
      <c r="AG51" s="1058">
        <v>28.577332999999999</v>
      </c>
      <c r="AH51" s="1058">
        <v>28.652301999999999</v>
      </c>
      <c r="AI51" s="1058">
        <v>28.781072999999999</v>
      </c>
      <c r="AJ51" s="1058">
        <v>28.912566999999999</v>
      </c>
      <c r="AK51" s="1058">
        <v>29.081726</v>
      </c>
      <c r="AL51" s="1058">
        <v>29.271111999999999</v>
      </c>
      <c r="AM51" s="1058">
        <v>29.658476</v>
      </c>
      <c r="AN51" s="1058">
        <v>30.101704000000002</v>
      </c>
      <c r="AO51" s="1058">
        <v>30.503069</v>
      </c>
      <c r="AP51" s="1058">
        <v>30.944068999999999</v>
      </c>
      <c r="AQ51" s="1058">
        <v>31.476562000000001</v>
      </c>
      <c r="AR51" s="1058">
        <v>31.747146999999998</v>
      </c>
      <c r="AS51" s="1054"/>
      <c r="AT51" s="1054"/>
      <c r="AU51" s="1054"/>
      <c r="AV51" s="1054"/>
      <c r="AW51" s="1054"/>
      <c r="AX51" s="1054"/>
      <c r="AY51" s="1054"/>
      <c r="AZ51" s="1054"/>
      <c r="BA51" s="1054"/>
      <c r="BB51" s="1054"/>
      <c r="BC51" s="1054"/>
      <c r="BD51" s="1054"/>
      <c r="BE51" s="1054"/>
      <c r="BF51" s="1054"/>
      <c r="BG51" s="1054"/>
      <c r="BH51" s="1054"/>
      <c r="BI51" s="1054"/>
      <c r="BJ51" s="1054"/>
      <c r="BK51" s="1054"/>
      <c r="BL51" s="1054"/>
      <c r="BM51" s="1054"/>
      <c r="BN51" s="1054"/>
      <c r="BO51" s="1054"/>
      <c r="BP51" s="1054"/>
      <c r="BQ51" s="1054"/>
      <c r="BR51" s="1054"/>
      <c r="BS51" s="1054"/>
      <c r="BT51" s="1054"/>
      <c r="BU51" s="1054"/>
      <c r="BV51" s="1056"/>
    </row>
    <row r="52" spans="1:104" s="1052" customFormat="1" x14ac:dyDescent="0.25">
      <c r="A52" s="1057" t="s">
        <v>698</v>
      </c>
      <c r="B52" s="1054"/>
      <c r="C52" s="1055"/>
      <c r="D52" s="1252"/>
      <c r="E52" s="1055"/>
      <c r="F52" s="1054"/>
      <c r="G52" s="1054"/>
      <c r="H52" s="1054"/>
      <c r="I52" s="1054"/>
      <c r="J52" s="1054"/>
      <c r="K52" s="1054"/>
      <c r="L52" s="1054"/>
      <c r="M52" s="1054"/>
      <c r="N52" s="1058">
        <v>20.260442999999999</v>
      </c>
      <c r="O52" s="1058">
        <v>19.975739999999998</v>
      </c>
      <c r="P52" s="1058">
        <v>18.436015999999999</v>
      </c>
      <c r="Q52" s="1058">
        <v>18.142965</v>
      </c>
      <c r="R52" s="1058">
        <v>18.046112000000001</v>
      </c>
      <c r="S52" s="1058">
        <v>17.884491000000001</v>
      </c>
      <c r="T52" s="1058">
        <v>18.368113000000001</v>
      </c>
      <c r="U52" s="1058">
        <v>18.636278000000001</v>
      </c>
      <c r="V52" s="1058">
        <v>18.783104000000002</v>
      </c>
      <c r="W52" s="1058">
        <v>18.727132999999998</v>
      </c>
      <c r="X52" s="1058">
        <v>18.720291</v>
      </c>
      <c r="Y52" s="1058">
        <v>18.854441000000001</v>
      </c>
      <c r="Z52" s="1058">
        <v>18.961594000000002</v>
      </c>
      <c r="AA52" s="1058">
        <v>19.089853000000002</v>
      </c>
      <c r="AB52" s="1058">
        <v>19.158766</v>
      </c>
      <c r="AC52" s="1058">
        <v>19.181961000000001</v>
      </c>
      <c r="AD52" s="1058">
        <v>19.274345</v>
      </c>
      <c r="AE52" s="1058">
        <v>19.362473000000001</v>
      </c>
      <c r="AF52" s="1058">
        <v>19.467001</v>
      </c>
      <c r="AG52" s="1058">
        <v>19.610374</v>
      </c>
      <c r="AH52" s="1058">
        <v>19.726358000000001</v>
      </c>
      <c r="AI52" s="1058">
        <v>19.866886000000001</v>
      </c>
      <c r="AJ52" s="1058">
        <v>20.029399999999999</v>
      </c>
      <c r="AK52" s="1058">
        <v>20.204810999999999</v>
      </c>
      <c r="AL52" s="1058">
        <v>20.42868</v>
      </c>
      <c r="AM52" s="1058">
        <v>20.795019</v>
      </c>
      <c r="AN52" s="1058">
        <v>21.263971000000002</v>
      </c>
      <c r="AO52" s="1058">
        <v>21.670811</v>
      </c>
      <c r="AP52" s="1058">
        <v>22.067454999999999</v>
      </c>
      <c r="AQ52" s="1058">
        <v>22.488647</v>
      </c>
      <c r="AR52" s="1058">
        <v>22.744430999999999</v>
      </c>
      <c r="AS52" s="1054"/>
      <c r="AT52" s="1054"/>
      <c r="AU52" s="1054"/>
      <c r="AV52" s="1054"/>
      <c r="AW52" s="1054"/>
      <c r="AX52" s="1054"/>
      <c r="AY52" s="1054"/>
      <c r="AZ52" s="1054"/>
      <c r="BA52" s="1054"/>
      <c r="BB52" s="1054"/>
      <c r="BC52" s="1054"/>
      <c r="BD52" s="1054"/>
      <c r="BE52" s="1054"/>
      <c r="BF52" s="1054"/>
      <c r="BG52" s="1054"/>
      <c r="BH52" s="1054"/>
      <c r="BI52" s="1054"/>
      <c r="BJ52" s="1054"/>
      <c r="BK52" s="1054"/>
      <c r="BL52" s="1054"/>
      <c r="BM52" s="1054"/>
      <c r="BN52" s="1054"/>
      <c r="BO52" s="1054"/>
      <c r="BP52" s="1054"/>
      <c r="BQ52" s="1054"/>
      <c r="BR52" s="1054"/>
      <c r="BS52" s="1054"/>
      <c r="BT52" s="1054"/>
      <c r="BU52" s="1054"/>
      <c r="BV52" s="1056"/>
    </row>
    <row r="53" spans="1:104" s="1052" customFormat="1" ht="13" thickBot="1" x14ac:dyDescent="0.3">
      <c r="A53" s="1061" t="s">
        <v>684</v>
      </c>
      <c r="B53" s="1062"/>
      <c r="C53" s="1063"/>
      <c r="D53" s="1253"/>
      <c r="E53" s="1063"/>
      <c r="F53" s="1062"/>
      <c r="G53" s="1062"/>
      <c r="H53" s="1062"/>
      <c r="I53" s="1062"/>
      <c r="J53" s="1062"/>
      <c r="K53" s="1062"/>
      <c r="L53" s="1062"/>
      <c r="M53" s="1062"/>
      <c r="N53" s="1064">
        <v>34.522823000000002</v>
      </c>
      <c r="O53" s="1064">
        <v>34.335875999999999</v>
      </c>
      <c r="P53" s="1064">
        <v>33.266716000000002</v>
      </c>
      <c r="Q53" s="1064">
        <v>32.549408</v>
      </c>
      <c r="R53" s="1064">
        <v>33.007488000000002</v>
      </c>
      <c r="S53" s="1064">
        <v>33.062362999999998</v>
      </c>
      <c r="T53" s="1064">
        <v>33.578304000000003</v>
      </c>
      <c r="U53" s="1064">
        <v>33.826259999999998</v>
      </c>
      <c r="V53" s="1064">
        <v>33.834632999999997</v>
      </c>
      <c r="W53" s="1064">
        <v>33.642589999999998</v>
      </c>
      <c r="X53" s="1064">
        <v>33.615443999999997</v>
      </c>
      <c r="Y53" s="1064">
        <v>33.658813000000002</v>
      </c>
      <c r="Z53" s="1064">
        <v>33.691249999999997</v>
      </c>
      <c r="AA53" s="1064">
        <v>33.703487000000003</v>
      </c>
      <c r="AB53" s="1064">
        <v>33.839970000000001</v>
      </c>
      <c r="AC53" s="1064">
        <v>33.959377000000003</v>
      </c>
      <c r="AD53" s="1064">
        <v>34.126075999999998</v>
      </c>
      <c r="AE53" s="1064">
        <v>34.265704999999997</v>
      </c>
      <c r="AF53" s="1064">
        <v>34.413651000000002</v>
      </c>
      <c r="AG53" s="1064">
        <v>34.510967000000001</v>
      </c>
      <c r="AH53" s="1064">
        <v>34.561591999999997</v>
      </c>
      <c r="AI53" s="1064">
        <v>34.686400999999996</v>
      </c>
      <c r="AJ53" s="1064">
        <v>34.807406999999998</v>
      </c>
      <c r="AK53" s="1064">
        <v>34.923721</v>
      </c>
      <c r="AL53" s="1064">
        <v>35.082526999999999</v>
      </c>
      <c r="AM53" s="1064">
        <v>35.421287999999997</v>
      </c>
      <c r="AN53" s="1064">
        <v>35.835976000000002</v>
      </c>
      <c r="AO53" s="1064">
        <v>36.175975999999999</v>
      </c>
      <c r="AP53" s="1064">
        <v>36.502800000000001</v>
      </c>
      <c r="AQ53" s="1064">
        <v>36.906086000000002</v>
      </c>
      <c r="AR53" s="1064">
        <v>37.098595000000003</v>
      </c>
      <c r="AS53" s="1062"/>
      <c r="AT53" s="1062"/>
      <c r="AU53" s="1062"/>
      <c r="AV53" s="1062"/>
      <c r="AW53" s="1062"/>
      <c r="AX53" s="1062"/>
      <c r="AY53" s="1062"/>
      <c r="AZ53" s="1062"/>
      <c r="BA53" s="1062"/>
      <c r="BB53" s="1062"/>
      <c r="BC53" s="1062"/>
      <c r="BD53" s="1062"/>
      <c r="BE53" s="1062"/>
      <c r="BF53" s="1062"/>
      <c r="BG53" s="1062"/>
      <c r="BH53" s="1062"/>
      <c r="BI53" s="1062"/>
      <c r="BJ53" s="1062"/>
      <c r="BK53" s="1062"/>
      <c r="BL53" s="1062"/>
      <c r="BM53" s="1062"/>
      <c r="BN53" s="1062"/>
      <c r="BO53" s="1062"/>
      <c r="BP53" s="1062"/>
      <c r="BQ53" s="1062"/>
      <c r="BR53" s="1062"/>
      <c r="BS53" s="1062"/>
      <c r="BT53" s="1062"/>
      <c r="BU53" s="1062"/>
      <c r="BV53" s="1065"/>
    </row>
    <row r="54" spans="1:104" x14ac:dyDescent="0.25">
      <c r="A54" s="877"/>
      <c r="B54" s="260"/>
      <c r="C54" s="874"/>
      <c r="D54" s="1250"/>
      <c r="E54" s="874"/>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76"/>
    </row>
    <row r="55" spans="1:104" ht="13" thickBot="1" x14ac:dyDescent="0.3">
      <c r="A55" s="877"/>
      <c r="B55" s="260"/>
      <c r="C55" s="874"/>
      <c r="D55" s="1250"/>
      <c r="E55" s="881"/>
      <c r="F55" s="88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76"/>
    </row>
    <row r="56" spans="1:104" ht="13.5" thickTop="1" x14ac:dyDescent="0.3">
      <c r="A56" s="867" t="s">
        <v>1106</v>
      </c>
      <c r="B56" s="868" t="str">
        <f>"Prices are in $(" &amp; ref_year&amp;")/GJ LHV"</f>
        <v>Prices are in $(2016)/GJ LHV</v>
      </c>
      <c r="C56" s="868"/>
      <c r="D56" s="1254"/>
      <c r="E56" s="868"/>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869"/>
      <c r="AK56" s="869"/>
      <c r="AL56" s="869"/>
      <c r="AM56" s="869"/>
      <c r="AN56" s="869"/>
      <c r="AO56" s="869"/>
      <c r="AP56" s="869"/>
      <c r="AQ56" s="869"/>
      <c r="AR56" s="869"/>
      <c r="AS56" s="882" t="s">
        <v>772</v>
      </c>
      <c r="AT56" s="883"/>
      <c r="AU56" s="883"/>
      <c r="AV56" s="883"/>
      <c r="AW56" s="883"/>
      <c r="AX56" s="883"/>
      <c r="AY56" s="883"/>
      <c r="AZ56" s="883"/>
      <c r="BA56" s="883"/>
      <c r="BB56" s="883"/>
      <c r="BC56" s="883"/>
      <c r="BD56" s="883"/>
      <c r="BE56" s="883"/>
      <c r="BF56" s="883"/>
      <c r="BG56" s="883"/>
      <c r="BH56" s="883"/>
      <c r="BI56" s="883"/>
      <c r="BJ56" s="883"/>
      <c r="BK56" s="883"/>
      <c r="BL56" s="883"/>
      <c r="BM56" s="883"/>
      <c r="BN56" s="883"/>
      <c r="BO56" s="883"/>
      <c r="BP56" s="883"/>
      <c r="BQ56" s="883"/>
      <c r="BR56" s="883"/>
      <c r="BS56" s="883"/>
      <c r="BT56" s="883"/>
      <c r="BU56" s="883"/>
      <c r="BV56" s="884"/>
    </row>
    <row r="57" spans="1:104" ht="39.5" thickBot="1" x14ac:dyDescent="0.35">
      <c r="A57" s="1121" t="s">
        <v>1084</v>
      </c>
      <c r="B57" s="1122" t="s">
        <v>678</v>
      </c>
      <c r="C57" s="1122" t="s">
        <v>679</v>
      </c>
      <c r="D57" s="1255" t="s">
        <v>690</v>
      </c>
      <c r="E57" s="1122" t="s">
        <v>691</v>
      </c>
      <c r="F57" s="1123" t="s">
        <v>680</v>
      </c>
      <c r="G57" s="1123" t="s">
        <v>692</v>
      </c>
      <c r="H57" s="1066">
        <v>2004</v>
      </c>
      <c r="I57" s="1066">
        <v>2005</v>
      </c>
      <c r="J57" s="1066">
        <v>2006</v>
      </c>
      <c r="K57" s="1066">
        <v>2007</v>
      </c>
      <c r="L57" s="1066">
        <v>2008</v>
      </c>
      <c r="M57" s="1066">
        <v>2009</v>
      </c>
      <c r="N57" s="1123">
        <v>2010</v>
      </c>
      <c r="O57" s="1123">
        <v>2011</v>
      </c>
      <c r="P57" s="1123">
        <v>2012</v>
      </c>
      <c r="Q57" s="1123">
        <v>2013</v>
      </c>
      <c r="R57" s="1123">
        <v>2014</v>
      </c>
      <c r="S57" s="1123">
        <v>2015</v>
      </c>
      <c r="T57" s="1123">
        <v>2016</v>
      </c>
      <c r="U57" s="1123">
        <v>2017</v>
      </c>
      <c r="V57" s="1123">
        <v>2018</v>
      </c>
      <c r="W57" s="1123">
        <v>2019</v>
      </c>
      <c r="X57" s="1123">
        <v>2020</v>
      </c>
      <c r="Y57" s="1123">
        <v>2021</v>
      </c>
      <c r="Z57" s="1123">
        <v>2022</v>
      </c>
      <c r="AA57" s="1123">
        <v>2023</v>
      </c>
      <c r="AB57" s="1123">
        <v>2024</v>
      </c>
      <c r="AC57" s="1123">
        <v>2025</v>
      </c>
      <c r="AD57" s="1123">
        <v>2026</v>
      </c>
      <c r="AE57" s="1123">
        <v>2027</v>
      </c>
      <c r="AF57" s="1123">
        <v>2028</v>
      </c>
      <c r="AG57" s="1123">
        <v>2029</v>
      </c>
      <c r="AH57" s="1123">
        <v>2030</v>
      </c>
      <c r="AI57" s="1123">
        <v>2031</v>
      </c>
      <c r="AJ57" s="1123">
        <v>2032</v>
      </c>
      <c r="AK57" s="1123">
        <v>2033</v>
      </c>
      <c r="AL57" s="1123">
        <v>2034</v>
      </c>
      <c r="AM57" s="1123">
        <v>2035</v>
      </c>
      <c r="AN57" s="1123">
        <v>2036</v>
      </c>
      <c r="AO57" s="1123">
        <v>2037</v>
      </c>
      <c r="AP57" s="1123">
        <v>2038</v>
      </c>
      <c r="AQ57" s="1123">
        <v>2039</v>
      </c>
      <c r="AR57" s="1123">
        <v>2040</v>
      </c>
      <c r="AS57" s="1123">
        <v>2041</v>
      </c>
      <c r="AT57" s="1123">
        <v>2042</v>
      </c>
      <c r="AU57" s="1123">
        <v>2043</v>
      </c>
      <c r="AV57" s="1123">
        <v>2044</v>
      </c>
      <c r="AW57" s="1123">
        <v>2045</v>
      </c>
      <c r="AX57" s="1123">
        <v>2046</v>
      </c>
      <c r="AY57" s="1123">
        <v>2047</v>
      </c>
      <c r="AZ57" s="1123">
        <v>2048</v>
      </c>
      <c r="BA57" s="1123">
        <v>2049</v>
      </c>
      <c r="BB57" s="1123">
        <v>2050</v>
      </c>
      <c r="BC57" s="1123">
        <v>2051</v>
      </c>
      <c r="BD57" s="1123">
        <v>2052</v>
      </c>
      <c r="BE57" s="1123">
        <v>2053</v>
      </c>
      <c r="BF57" s="1123">
        <v>2054</v>
      </c>
      <c r="BG57" s="1123">
        <v>2055</v>
      </c>
      <c r="BH57" s="1123">
        <v>2056</v>
      </c>
      <c r="BI57" s="1123">
        <v>2057</v>
      </c>
      <c r="BJ57" s="1123">
        <v>2058</v>
      </c>
      <c r="BK57" s="1123">
        <v>2059</v>
      </c>
      <c r="BL57" s="1123">
        <v>2060</v>
      </c>
      <c r="BM57" s="1123">
        <v>2061</v>
      </c>
      <c r="BN57" s="1123">
        <v>2062</v>
      </c>
      <c r="BO57" s="1123">
        <v>2063</v>
      </c>
      <c r="BP57" s="1123">
        <v>2064</v>
      </c>
      <c r="BQ57" s="1123">
        <v>2065</v>
      </c>
      <c r="BR57" s="1123">
        <v>2066</v>
      </c>
      <c r="BS57" s="1123">
        <v>2067</v>
      </c>
      <c r="BT57" s="1123">
        <v>2068</v>
      </c>
      <c r="BU57" s="1123">
        <v>2069</v>
      </c>
      <c r="BV57" s="1124">
        <v>2070</v>
      </c>
      <c r="BW57" s="1398">
        <f t="shared" ref="BW57" si="130">+BV57+1</f>
        <v>2071</v>
      </c>
      <c r="BX57" s="1398">
        <f t="shared" ref="BX57" si="131">+BW57+1</f>
        <v>2072</v>
      </c>
      <c r="BY57" s="1398">
        <f t="shared" ref="BY57" si="132">+BX57+1</f>
        <v>2073</v>
      </c>
      <c r="BZ57" s="1398">
        <f t="shared" ref="BZ57" si="133">+BY57+1</f>
        <v>2074</v>
      </c>
      <c r="CA57" s="1398">
        <f t="shared" ref="CA57" si="134">+BZ57+1</f>
        <v>2075</v>
      </c>
      <c r="CB57" s="1398">
        <f t="shared" ref="CB57" si="135">+CA57+1</f>
        <v>2076</v>
      </c>
      <c r="CC57" s="1398">
        <f t="shared" ref="CC57" si="136">+CB57+1</f>
        <v>2077</v>
      </c>
      <c r="CD57" s="1398">
        <f t="shared" ref="CD57" si="137">+CC57+1</f>
        <v>2078</v>
      </c>
      <c r="CE57" s="1398">
        <f t="shared" ref="CE57" si="138">+CD57+1</f>
        <v>2079</v>
      </c>
      <c r="CF57" s="1398">
        <f t="shared" ref="CF57" si="139">+CE57+1</f>
        <v>2080</v>
      </c>
      <c r="CG57" s="1398">
        <f t="shared" ref="CG57" si="140">+CF57+1</f>
        <v>2081</v>
      </c>
      <c r="CH57" s="1398">
        <f t="shared" ref="CH57" si="141">+CG57+1</f>
        <v>2082</v>
      </c>
      <c r="CI57" s="1398">
        <f t="shared" ref="CI57" si="142">+CH57+1</f>
        <v>2083</v>
      </c>
      <c r="CJ57" s="1398">
        <f t="shared" ref="CJ57" si="143">+CI57+1</f>
        <v>2084</v>
      </c>
      <c r="CK57" s="1398">
        <f t="shared" ref="CK57" si="144">+CJ57+1</f>
        <v>2085</v>
      </c>
      <c r="CL57" s="1398">
        <f t="shared" ref="CL57" si="145">+CK57+1</f>
        <v>2086</v>
      </c>
      <c r="CM57" s="1398">
        <f t="shared" ref="CM57" si="146">+CL57+1</f>
        <v>2087</v>
      </c>
      <c r="CN57" s="1398">
        <f t="shared" ref="CN57" si="147">+CM57+1</f>
        <v>2088</v>
      </c>
      <c r="CO57" s="1398">
        <f t="shared" ref="CO57" si="148">+CN57+1</f>
        <v>2089</v>
      </c>
      <c r="CP57" s="1398">
        <f t="shared" ref="CP57" si="149">+CO57+1</f>
        <v>2090</v>
      </c>
      <c r="CQ57" s="1398">
        <f t="shared" ref="CQ57" si="150">+CP57+1</f>
        <v>2091</v>
      </c>
      <c r="CR57" s="1398">
        <f t="shared" ref="CR57" si="151">+CQ57+1</f>
        <v>2092</v>
      </c>
      <c r="CS57" s="1398">
        <f t="shared" ref="CS57" si="152">+CR57+1</f>
        <v>2093</v>
      </c>
      <c r="CT57" s="1398">
        <f t="shared" ref="CT57" si="153">+CS57+1</f>
        <v>2094</v>
      </c>
      <c r="CU57" s="1398">
        <f t="shared" ref="CU57" si="154">+CT57+1</f>
        <v>2095</v>
      </c>
      <c r="CV57" s="1398">
        <f t="shared" ref="CV57" si="155">+CU57+1</f>
        <v>2096</v>
      </c>
      <c r="CW57" s="1398">
        <f t="shared" ref="CW57" si="156">+CV57+1</f>
        <v>2097</v>
      </c>
      <c r="CX57" s="1398">
        <f t="shared" ref="CX57" si="157">+CW57+1</f>
        <v>2098</v>
      </c>
      <c r="CY57" s="1398">
        <f t="shared" ref="CY57" si="158">+CX57+1</f>
        <v>2099</v>
      </c>
      <c r="CZ57" s="1398">
        <f t="shared" ref="CZ57" si="159">+CY57+1</f>
        <v>2100</v>
      </c>
    </row>
    <row r="58" spans="1:104" ht="13" thickBot="1" x14ac:dyDescent="0.3">
      <c r="A58" s="870" t="s">
        <v>1090</v>
      </c>
      <c r="B58" s="871"/>
      <c r="C58" s="871"/>
      <c r="D58" s="1256"/>
      <c r="E58" s="871"/>
      <c r="F58" s="871"/>
      <c r="G58" s="871"/>
      <c r="H58" s="871"/>
      <c r="I58" s="871"/>
      <c r="J58" s="871"/>
      <c r="K58" s="871"/>
      <c r="L58" s="871"/>
      <c r="M58" s="871"/>
      <c r="N58" s="871"/>
      <c r="O58" s="871"/>
      <c r="P58" s="871"/>
      <c r="Q58" s="871"/>
      <c r="R58" s="871"/>
      <c r="S58" s="871"/>
      <c r="T58" s="871"/>
      <c r="U58" s="871"/>
      <c r="V58" s="871"/>
      <c r="W58" s="871"/>
      <c r="X58" s="871"/>
      <c r="Y58" s="871"/>
      <c r="Z58" s="871"/>
      <c r="AA58" s="871"/>
      <c r="AB58" s="871"/>
      <c r="AC58" s="871"/>
      <c r="AD58" s="871"/>
      <c r="AE58" s="871"/>
      <c r="AF58" s="871"/>
      <c r="AG58" s="871"/>
      <c r="AH58" s="871"/>
      <c r="AI58" s="871"/>
      <c r="AJ58" s="871"/>
      <c r="AK58" s="871"/>
      <c r="AL58" s="871"/>
      <c r="AM58" s="871"/>
      <c r="AN58" s="871"/>
      <c r="AO58" s="871"/>
      <c r="AP58" s="871"/>
      <c r="AQ58" s="871"/>
      <c r="AR58" s="871"/>
      <c r="AS58" s="871"/>
      <c r="AT58" s="871"/>
      <c r="AU58" s="871"/>
      <c r="AV58" s="871"/>
      <c r="AW58" s="871"/>
      <c r="AX58" s="871"/>
      <c r="AY58" s="871"/>
      <c r="AZ58" s="871"/>
      <c r="BA58" s="871"/>
      <c r="BB58" s="871"/>
      <c r="BC58" s="871"/>
      <c r="BD58" s="871"/>
      <c r="BE58" s="871"/>
      <c r="BF58" s="871"/>
      <c r="BG58" s="871"/>
      <c r="BH58" s="871"/>
      <c r="BI58" s="871"/>
      <c r="BJ58" s="871"/>
      <c r="BK58" s="871"/>
      <c r="BL58" s="871"/>
      <c r="BM58" s="871"/>
      <c r="BN58" s="871"/>
      <c r="BO58" s="871"/>
      <c r="BP58" s="871"/>
      <c r="BQ58" s="871"/>
      <c r="BR58" s="871"/>
      <c r="BS58" s="871"/>
      <c r="BT58" s="871"/>
      <c r="BU58" s="871"/>
      <c r="BV58" s="872"/>
    </row>
    <row r="59" spans="1:104" ht="13" x14ac:dyDescent="0.3">
      <c r="A59" s="873" t="str">
        <f>'HyARC Physical Property Data'!A73</f>
        <v>Residential Natural Gas</v>
      </c>
      <c r="B59" s="260">
        <v>2011</v>
      </c>
      <c r="C59" s="874">
        <f>VLOOKUP(ref_year,DeflatorTable,2,FALSE)/VLOOKUP(B59,DeflatorTable,2,FALSE)</f>
        <v>1.0784554773635862</v>
      </c>
      <c r="D59" s="1257" t="str">
        <f>'HyARC Physical Property Data'!H73</f>
        <v>mmBtu</v>
      </c>
      <c r="E59" s="874" t="s">
        <v>1058</v>
      </c>
      <c r="F59" s="260">
        <f>'HyARC Physical Property Data'!$E$6</f>
        <v>47.141269049911173</v>
      </c>
      <c r="G59" s="260">
        <f>'HyARC Physical Property Data'!$I$6</f>
        <v>52.224661236371581</v>
      </c>
      <c r="H59" s="1068">
        <v>13.568796522291001</v>
      </c>
      <c r="I59" s="1068">
        <v>13.568796522291001</v>
      </c>
      <c r="J59" s="1068">
        <v>13.568796522291001</v>
      </c>
      <c r="K59" s="1068">
        <v>12.569562315288914</v>
      </c>
      <c r="L59" s="1068">
        <v>12.891154499364562</v>
      </c>
      <c r="M59" s="1068">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59">
        <f t="shared" si="160"/>
        <v>16.116906877885302</v>
      </c>
      <c r="AJ59" s="959">
        <f t="shared" si="160"/>
        <v>16.508795790382088</v>
      </c>
      <c r="AK59" s="959">
        <f t="shared" si="160"/>
        <v>16.937809113598334</v>
      </c>
      <c r="AL59" s="959">
        <f t="shared" si="160"/>
        <v>17.381004274269273</v>
      </c>
      <c r="AM59" s="959">
        <f t="shared" si="160"/>
        <v>17.788911879634913</v>
      </c>
      <c r="AN59" s="959">
        <f t="shared" si="160"/>
        <v>18.311687498791546</v>
      </c>
      <c r="AO59" s="959">
        <f t="shared" si="160"/>
        <v>18.65334373828842</v>
      </c>
      <c r="AP59" s="959">
        <f t="shared" si="160"/>
        <v>19.195162859691969</v>
      </c>
      <c r="AQ59" s="959">
        <f t="shared" si="160"/>
        <v>19.682735858288098</v>
      </c>
      <c r="AR59" s="959">
        <f t="shared" si="160"/>
        <v>20.015032288908259</v>
      </c>
      <c r="AS59" s="959">
        <f>($BB59-$AR59)/10+AR59</f>
        <v>20.01518684253227</v>
      </c>
      <c r="AT59" s="959">
        <f t="shared" ref="AT59:BA59" si="161">($BB59-$AR59)/10+AS59</f>
        <v>20.01534139615628</v>
      </c>
      <c r="AU59" s="959">
        <f t="shared" si="161"/>
        <v>20.015495949780291</v>
      </c>
      <c r="AV59" s="959">
        <f t="shared" si="161"/>
        <v>20.015650503404302</v>
      </c>
      <c r="AW59" s="959">
        <f t="shared" si="161"/>
        <v>20.015805057028313</v>
      </c>
      <c r="AX59" s="959">
        <f t="shared" si="161"/>
        <v>20.015959610652324</v>
      </c>
      <c r="AY59" s="959">
        <f t="shared" si="161"/>
        <v>20.016114164276335</v>
      </c>
      <c r="AZ59" s="959">
        <f t="shared" si="161"/>
        <v>20.016268717900346</v>
      </c>
      <c r="BA59" s="959">
        <f t="shared" si="161"/>
        <v>20.016423271524356</v>
      </c>
      <c r="BB59" s="961">
        <f>'AEO Data'!$B$30*AM59</f>
        <v>20.01657782514836</v>
      </c>
      <c r="BC59" s="959">
        <f>($BQ59-$BB59)/15+BB59</f>
        <v>20.179679524085394</v>
      </c>
      <c r="BD59" s="959">
        <f t="shared" ref="BD59:BP62" si="162">($BQ59-$BB59)/15+BC59</f>
        <v>20.342781223022428</v>
      </c>
      <c r="BE59" s="959">
        <f t="shared" si="162"/>
        <v>20.505882921959461</v>
      </c>
      <c r="BF59" s="959">
        <f t="shared" si="162"/>
        <v>20.668984620896495</v>
      </c>
      <c r="BG59" s="959">
        <f t="shared" si="162"/>
        <v>20.832086319833529</v>
      </c>
      <c r="BH59" s="959">
        <f t="shared" si="162"/>
        <v>20.995188018770563</v>
      </c>
      <c r="BI59" s="959">
        <f t="shared" si="162"/>
        <v>21.158289717707596</v>
      </c>
      <c r="BJ59" s="959">
        <f t="shared" si="162"/>
        <v>21.32139141664463</v>
      </c>
      <c r="BK59" s="959">
        <f t="shared" si="162"/>
        <v>21.484493115581664</v>
      </c>
      <c r="BL59" s="959">
        <f t="shared" si="162"/>
        <v>21.647594814518698</v>
      </c>
      <c r="BM59" s="959">
        <f t="shared" si="162"/>
        <v>21.810696513455731</v>
      </c>
      <c r="BN59" s="959">
        <f t="shared" si="162"/>
        <v>21.973798212392765</v>
      </c>
      <c r="BO59" s="959">
        <f t="shared" si="162"/>
        <v>22.136899911329799</v>
      </c>
      <c r="BP59" s="959">
        <f t="shared" si="162"/>
        <v>22.300001610266833</v>
      </c>
      <c r="BQ59" s="961">
        <f>'AEO Data'!$C$30*BB59</f>
        <v>22.463103309203859</v>
      </c>
      <c r="BR59" s="958">
        <f>($BV59-$BQ59)/5+BQ59</f>
        <v>22.591499473992489</v>
      </c>
      <c r="BS59" s="959">
        <f t="shared" ref="BS59:BU62" si="163">($BV59-$BQ59)/5+BR59</f>
        <v>22.719895638781118</v>
      </c>
      <c r="BT59" s="959">
        <f t="shared" si="163"/>
        <v>22.848291803569747</v>
      </c>
      <c r="BU59" s="959">
        <f t="shared" si="163"/>
        <v>22.976687968358377</v>
      </c>
      <c r="BV59" s="962">
        <f>'AEO Data'!$D$30*BQ59</f>
        <v>23.105084133146999</v>
      </c>
      <c r="BW59" s="1397">
        <f>+BV59*BW$133/BV$133</f>
        <v>23.181799806296944</v>
      </c>
      <c r="BX59" s="1397">
        <f t="shared" ref="BX59:CZ59" si="164">+BW59*BX$133/BW$133</f>
        <v>23.258770198039247</v>
      </c>
      <c r="BY59" s="1397">
        <f t="shared" si="164"/>
        <v>23.335996154114543</v>
      </c>
      <c r="BZ59" s="1397">
        <f t="shared" si="164"/>
        <v>23.413478523071561</v>
      </c>
      <c r="CA59" s="1397">
        <f t="shared" si="164"/>
        <v>23.491218156276457</v>
      </c>
      <c r="CB59" s="1397">
        <f t="shared" si="164"/>
        <v>23.541346730111329</v>
      </c>
      <c r="CC59" s="1397">
        <f t="shared" si="164"/>
        <v>23.591582274725578</v>
      </c>
      <c r="CD59" s="1397">
        <f t="shared" si="164"/>
        <v>23.641925018387173</v>
      </c>
      <c r="CE59" s="1397">
        <f t="shared" si="164"/>
        <v>23.692375189851191</v>
      </c>
      <c r="CF59" s="1397">
        <f t="shared" si="164"/>
        <v>23.742933018360848</v>
      </c>
      <c r="CG59" s="1397">
        <f t="shared" si="164"/>
        <v>23.759348824569351</v>
      </c>
      <c r="CH59" s="1397">
        <f t="shared" si="164"/>
        <v>23.775775980626385</v>
      </c>
      <c r="CI59" s="1397">
        <f t="shared" si="164"/>
        <v>23.792214494379209</v>
      </c>
      <c r="CJ59" s="1397">
        <f t="shared" si="164"/>
        <v>23.808664373680507</v>
      </c>
      <c r="CK59" s="1397">
        <f t="shared" si="164"/>
        <v>23.825125626388392</v>
      </c>
      <c r="CL59" s="1397">
        <f t="shared" si="164"/>
        <v>23.830705260336195</v>
      </c>
      <c r="CM59" s="1397">
        <f t="shared" si="164"/>
        <v>23.836286200984979</v>
      </c>
      <c r="CN59" s="1397">
        <f t="shared" si="164"/>
        <v>23.841868448640763</v>
      </c>
      <c r="CO59" s="1397">
        <f t="shared" si="164"/>
        <v>23.847452003609632</v>
      </c>
      <c r="CP59" s="1397">
        <f t="shared" si="164"/>
        <v>23.853036866197748</v>
      </c>
      <c r="CQ59" s="1397">
        <f t="shared" si="164"/>
        <v>23.861501261663879</v>
      </c>
      <c r="CR59" s="1397">
        <f t="shared" si="164"/>
        <v>23.869968660772315</v>
      </c>
      <c r="CS59" s="1397">
        <f t="shared" si="164"/>
        <v>23.878439064588914</v>
      </c>
      <c r="CT59" s="1397">
        <f t="shared" si="164"/>
        <v>23.886912474179919</v>
      </c>
      <c r="CU59" s="1397">
        <f t="shared" si="164"/>
        <v>23.89538889061194</v>
      </c>
      <c r="CV59" s="1397">
        <f t="shared" si="164"/>
        <v>23.908434131387597</v>
      </c>
      <c r="CW59" s="1397">
        <f t="shared" si="164"/>
        <v>23.921486493968537</v>
      </c>
      <c r="CX59" s="1397">
        <f t="shared" si="164"/>
        <v>23.934545982242778</v>
      </c>
      <c r="CY59" s="1397">
        <f t="shared" si="164"/>
        <v>23.947612600100459</v>
      </c>
      <c r="CZ59" s="1397">
        <f t="shared" si="164"/>
        <v>23.960686351433843</v>
      </c>
    </row>
    <row r="60" spans="1:104" ht="13" x14ac:dyDescent="0.3">
      <c r="A60" s="873" t="str">
        <f>'HyARC Physical Property Data'!A71</f>
        <v>Commercial Natural Gas</v>
      </c>
      <c r="B60" s="260">
        <v>2011</v>
      </c>
      <c r="C60" s="874">
        <f t="shared" ref="C60:C68" si="165">VLOOKUP(ref_year,DeflatorTable,2,FALSE)/VLOOKUP(B60,DeflatorTable,2,FALSE)</f>
        <v>1.0784554773635862</v>
      </c>
      <c r="D60" s="1257" t="str">
        <f>'HyARC Physical Property Data'!H71</f>
        <v>mmBtu</v>
      </c>
      <c r="E60" s="874" t="s">
        <v>1058</v>
      </c>
      <c r="F60" s="260">
        <f>'HyARC Physical Property Data'!$E$6</f>
        <v>47.141269049911173</v>
      </c>
      <c r="G60" s="260">
        <f>'HyARC Physical Property Data'!$I$6</f>
        <v>52.224661236371581</v>
      </c>
      <c r="H60" s="1068">
        <v>11.78211597551449</v>
      </c>
      <c r="I60" s="1068">
        <v>11.78211597551449</v>
      </c>
      <c r="J60" s="1068">
        <v>11.78211597551449</v>
      </c>
      <c r="K60" s="1068">
        <v>10.884547954455588</v>
      </c>
      <c r="L60" s="1068">
        <v>11.412186165255939</v>
      </c>
      <c r="M60" s="1068">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39">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39">
        <f>'AEO Data'!$C$30*BB60</f>
        <v>18.227834176141503</v>
      </c>
      <c r="BR60" s="873">
        <f>($BV60-$BQ60)/5+BQ60</f>
        <v>18.332022095700271</v>
      </c>
      <c r="BS60" s="260">
        <f t="shared" si="163"/>
        <v>18.436210015259039</v>
      </c>
      <c r="BT60" s="260">
        <f t="shared" si="163"/>
        <v>18.540397934817808</v>
      </c>
      <c r="BU60" s="260">
        <f t="shared" si="163"/>
        <v>18.644585854376576</v>
      </c>
      <c r="BV60" s="963">
        <f>'AEO Data'!$D$30*BQ60</f>
        <v>18.748773773935348</v>
      </c>
      <c r="BW60" s="1397">
        <f>+BV60*BW$134/BV$134</f>
        <v>18.811025215761521</v>
      </c>
      <c r="BX60" s="1397">
        <f t="shared" ref="BX60:CZ60" si="168">+BW60*BX$134/BW$134</f>
        <v>18.873483350678995</v>
      </c>
      <c r="BY60" s="1397">
        <f t="shared" si="168"/>
        <v>18.93614886496961</v>
      </c>
      <c r="BZ60" s="1397">
        <f t="shared" si="168"/>
        <v>18.999022447193862</v>
      </c>
      <c r="CA60" s="1397">
        <f t="shared" si="168"/>
        <v>19.062104788198472</v>
      </c>
      <c r="CB60" s="1397">
        <f t="shared" si="168"/>
        <v>19.102781951935423</v>
      </c>
      <c r="CC60" s="1397">
        <f t="shared" si="168"/>
        <v>19.143545917820827</v>
      </c>
      <c r="CD60" s="1397">
        <f t="shared" si="168"/>
        <v>19.184396871084243</v>
      </c>
      <c r="CE60" s="1397">
        <f t="shared" si="168"/>
        <v>19.22533499735049</v>
      </c>
      <c r="CF60" s="1397">
        <f t="shared" si="168"/>
        <v>19.266360482640504</v>
      </c>
      <c r="CG60" s="1397">
        <f t="shared" si="168"/>
        <v>19.279681197473067</v>
      </c>
      <c r="CH60" s="1397">
        <f t="shared" si="168"/>
        <v>19.293011122215507</v>
      </c>
      <c r="CI60" s="1397">
        <f t="shared" si="168"/>
        <v>19.306350263235526</v>
      </c>
      <c r="CJ60" s="1397">
        <f t="shared" si="168"/>
        <v>19.319698626905243</v>
      </c>
      <c r="CK60" s="1397">
        <f t="shared" si="168"/>
        <v>19.333056219601172</v>
      </c>
      <c r="CL60" s="1397">
        <f t="shared" si="168"/>
        <v>19.337583850577364</v>
      </c>
      <c r="CM60" s="1397">
        <f t="shared" si="168"/>
        <v>19.342112541884731</v>
      </c>
      <c r="CN60" s="1397">
        <f t="shared" si="168"/>
        <v>19.346642293771598</v>
      </c>
      <c r="CO60" s="1397">
        <f t="shared" si="168"/>
        <v>19.351173106486343</v>
      </c>
      <c r="CP60" s="1397">
        <f t="shared" si="168"/>
        <v>19.355704980277398</v>
      </c>
      <c r="CQ60" s="1397">
        <f t="shared" si="168"/>
        <v>19.362573470122019</v>
      </c>
      <c r="CR60" s="1397">
        <f t="shared" si="168"/>
        <v>19.369444397292106</v>
      </c>
      <c r="CS60" s="1397">
        <f t="shared" si="168"/>
        <v>19.376317762652565</v>
      </c>
      <c r="CT60" s="1397">
        <f t="shared" si="168"/>
        <v>19.383193567068602</v>
      </c>
      <c r="CU60" s="1397">
        <f t="shared" si="168"/>
        <v>19.390071811405733</v>
      </c>
      <c r="CV60" s="1397">
        <f t="shared" si="168"/>
        <v>19.400657458561128</v>
      </c>
      <c r="CW60" s="1397">
        <f t="shared" si="168"/>
        <v>19.411248884752663</v>
      </c>
      <c r="CX60" s="1397">
        <f t="shared" si="168"/>
        <v>19.42184609313529</v>
      </c>
      <c r="CY60" s="1397">
        <f t="shared" si="168"/>
        <v>19.432449086865692</v>
      </c>
      <c r="CZ60" s="1397">
        <f t="shared" si="168"/>
        <v>19.443057869102269</v>
      </c>
    </row>
    <row r="61" spans="1:104" ht="13" x14ac:dyDescent="0.3">
      <c r="A61" s="873" t="str">
        <f>'HyARC Physical Property Data'!A72</f>
        <v>Industrial Natural Gas</v>
      </c>
      <c r="B61" s="260">
        <v>2011</v>
      </c>
      <c r="C61" s="874">
        <f t="shared" si="165"/>
        <v>1.0784554773635862</v>
      </c>
      <c r="D61" s="1257" t="str">
        <f>'HyARC Physical Property Data'!H72</f>
        <v>mmBtu</v>
      </c>
      <c r="E61" s="874" t="s">
        <v>1058</v>
      </c>
      <c r="F61" s="260">
        <f>'HyARC Physical Property Data'!$E$6</f>
        <v>47.141269049911173</v>
      </c>
      <c r="G61" s="260">
        <f>'HyARC Physical Property Data'!$I$6</f>
        <v>52.224661236371581</v>
      </c>
      <c r="H61" s="1068">
        <v>7.8800725307970341</v>
      </c>
      <c r="I61" s="1068">
        <v>7.8800725307970341</v>
      </c>
      <c r="J61" s="1068">
        <v>7.8800725307970341</v>
      </c>
      <c r="K61" s="1068">
        <v>7.4431315976064605</v>
      </c>
      <c r="L61" s="1068">
        <v>8.8750360136942668</v>
      </c>
      <c r="M61" s="1068">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39">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39">
        <f>'AEO Data'!$C$30*BB61</f>
        <v>12.19817897537731</v>
      </c>
      <c r="BR61" s="873">
        <f>($BV61-$BQ61)/5+BQ61</f>
        <v>12.26790217329369</v>
      </c>
      <c r="BS61" s="260">
        <f t="shared" si="163"/>
        <v>12.33762537121007</v>
      </c>
      <c r="BT61" s="260">
        <f t="shared" si="163"/>
        <v>12.40734856912645</v>
      </c>
      <c r="BU61" s="260">
        <f t="shared" si="163"/>
        <v>12.47707176704283</v>
      </c>
      <c r="BV61" s="963">
        <f>'AEO Data'!$D$30*BQ61</f>
        <v>12.546794964959213</v>
      </c>
      <c r="BW61" s="1397">
        <f>+BV61*BW$135/BV$135</f>
        <v>12.588454013507333</v>
      </c>
      <c r="BX61" s="1397">
        <f t="shared" ref="BX61:CZ61" si="171">+BW61*BX$135/BW$135</f>
        <v>12.630251382346072</v>
      </c>
      <c r="BY61" s="1397">
        <f t="shared" si="171"/>
        <v>12.672187530739475</v>
      </c>
      <c r="BZ61" s="1397">
        <f t="shared" si="171"/>
        <v>12.714262919476461</v>
      </c>
      <c r="CA61" s="1397">
        <f t="shared" si="171"/>
        <v>12.75647801087592</v>
      </c>
      <c r="CB61" s="1397">
        <f t="shared" si="171"/>
        <v>12.78369941955669</v>
      </c>
      <c r="CC61" s="1397">
        <f t="shared" si="171"/>
        <v>12.810978916770198</v>
      </c>
      <c r="CD61" s="1397">
        <f t="shared" si="171"/>
        <v>12.838316626473205</v>
      </c>
      <c r="CE61" s="1397">
        <f t="shared" si="171"/>
        <v>12.865712672886987</v>
      </c>
      <c r="CF61" s="1397">
        <f t="shared" si="171"/>
        <v>12.893167180497899</v>
      </c>
      <c r="CG61" s="1397">
        <f t="shared" si="171"/>
        <v>12.90208148496421</v>
      </c>
      <c r="CH61" s="1397">
        <f t="shared" si="171"/>
        <v>12.911001952758973</v>
      </c>
      <c r="CI61" s="1397">
        <f t="shared" si="171"/>
        <v>12.919928588143499</v>
      </c>
      <c r="CJ61" s="1397">
        <f t="shared" si="171"/>
        <v>12.928861395382043</v>
      </c>
      <c r="CK61" s="1397">
        <f t="shared" si="171"/>
        <v>12.937800378741811</v>
      </c>
      <c r="CL61" s="1397">
        <f t="shared" si="171"/>
        <v>12.940830297296499</v>
      </c>
      <c r="CM61" s="1397">
        <f t="shared" si="171"/>
        <v>12.943860925431345</v>
      </c>
      <c r="CN61" s="1397">
        <f t="shared" si="171"/>
        <v>12.946892263312527</v>
      </c>
      <c r="CO61" s="1397">
        <f t="shared" si="171"/>
        <v>12.949924311106264</v>
      </c>
      <c r="CP61" s="1397">
        <f t="shared" si="171"/>
        <v>12.952957068978808</v>
      </c>
      <c r="CQ61" s="1397">
        <f t="shared" si="171"/>
        <v>12.957553504715802</v>
      </c>
      <c r="CR61" s="1397">
        <f t="shared" si="171"/>
        <v>12.962151571526023</v>
      </c>
      <c r="CS61" s="1397">
        <f t="shared" si="171"/>
        <v>12.966751269988269</v>
      </c>
      <c r="CT61" s="1397">
        <f t="shared" si="171"/>
        <v>12.971352600681538</v>
      </c>
      <c r="CU61" s="1397">
        <f t="shared" si="171"/>
        <v>12.975955564185037</v>
      </c>
      <c r="CV61" s="1397">
        <f t="shared" si="171"/>
        <v>12.983039544504583</v>
      </c>
      <c r="CW61" s="1397">
        <f t="shared" si="171"/>
        <v>12.990127392190731</v>
      </c>
      <c r="CX61" s="1397">
        <f t="shared" si="171"/>
        <v>12.997219109354795</v>
      </c>
      <c r="CY61" s="1397">
        <f t="shared" si="171"/>
        <v>13.004314698109246</v>
      </c>
      <c r="CZ61" s="1397">
        <f t="shared" si="171"/>
        <v>13.011414160567707</v>
      </c>
    </row>
    <row r="62" spans="1:104" ht="13" x14ac:dyDescent="0.3">
      <c r="A62" s="873" t="str">
        <f>'HyARC Physical Property Data'!A74</f>
        <v>Electric Utility Natural Gas</v>
      </c>
      <c r="B62" s="260">
        <v>2011</v>
      </c>
      <c r="C62" s="874">
        <f t="shared" si="165"/>
        <v>1.0784554773635862</v>
      </c>
      <c r="D62" s="1257" t="str">
        <f>'HyARC Physical Property Data'!H74</f>
        <v>mmBtu</v>
      </c>
      <c r="E62" s="874" t="s">
        <v>1058</v>
      </c>
      <c r="F62" s="260">
        <f>'HyARC Physical Property Data'!$E$6</f>
        <v>47.141269049911173</v>
      </c>
      <c r="G62" s="260">
        <f>'HyARC Physical Property Data'!$I$6</f>
        <v>52.224661236371581</v>
      </c>
      <c r="H62" s="1068">
        <v>6.9870463159656619</v>
      </c>
      <c r="I62" s="1068">
        <v>6.9870463159656619</v>
      </c>
      <c r="J62" s="1068">
        <v>6.9870463159656619</v>
      </c>
      <c r="K62" s="1068">
        <v>6.9519071777354364</v>
      </c>
      <c r="L62" s="1068">
        <v>9.0904707383294223</v>
      </c>
      <c r="M62" s="1068">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39">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39">
        <f>'AEO Data'!$C$30*BB62</f>
        <v>11.301159689909367</v>
      </c>
      <c r="BR62" s="873">
        <f>($BV62-$BQ62)/5+BQ62</f>
        <v>11.365755642742549</v>
      </c>
      <c r="BS62" s="260">
        <f t="shared" si="163"/>
        <v>11.430351595575731</v>
      </c>
      <c r="BT62" s="260">
        <f t="shared" si="163"/>
        <v>11.494947548408913</v>
      </c>
      <c r="BU62" s="260">
        <f t="shared" si="163"/>
        <v>11.559543501242095</v>
      </c>
      <c r="BV62" s="963">
        <f>'AEO Data'!$D$30*BQ62</f>
        <v>11.624139454075273</v>
      </c>
      <c r="BW62" s="1397">
        <f>+BV62*BW$136/BV$136</f>
        <v>11.662735015029273</v>
      </c>
      <c r="BX62" s="1397">
        <f t="shared" ref="BX62:CZ63" si="174">+BW62*BX$136/BW$136</f>
        <v>11.701458724594294</v>
      </c>
      <c r="BY62" s="1397">
        <f t="shared" si="174"/>
        <v>11.740311008261404</v>
      </c>
      <c r="BZ62" s="1397">
        <f t="shared" si="174"/>
        <v>11.779292292934432</v>
      </c>
      <c r="CA62" s="1397">
        <f t="shared" si="174"/>
        <v>11.818403006934647</v>
      </c>
      <c r="CB62" s="1397">
        <f t="shared" si="174"/>
        <v>11.843622630872503</v>
      </c>
      <c r="CC62" s="1397">
        <f t="shared" si="174"/>
        <v>11.868896071678103</v>
      </c>
      <c r="CD62" s="1397">
        <f t="shared" si="174"/>
        <v>11.894223444192779</v>
      </c>
      <c r="CE62" s="1397">
        <f t="shared" si="174"/>
        <v>11.919604863502929</v>
      </c>
      <c r="CF62" s="1397">
        <f t="shared" si="174"/>
        <v>11.94504044494054</v>
      </c>
      <c r="CG62" s="1397">
        <f t="shared" si="174"/>
        <v>11.95329921688524</v>
      </c>
      <c r="CH62" s="1397">
        <f t="shared" si="174"/>
        <v>11.961563698924795</v>
      </c>
      <c r="CI62" s="1397">
        <f t="shared" si="174"/>
        <v>11.969833895007156</v>
      </c>
      <c r="CJ62" s="1397">
        <f t="shared" si="174"/>
        <v>11.978109809082998</v>
      </c>
      <c r="CK62" s="1397">
        <f t="shared" si="174"/>
        <v>11.986391445105726</v>
      </c>
      <c r="CL62" s="1397">
        <f t="shared" si="174"/>
        <v>11.98919855209301</v>
      </c>
      <c r="CM62" s="1397">
        <f t="shared" si="174"/>
        <v>11.992006316479953</v>
      </c>
      <c r="CN62" s="1397">
        <f t="shared" si="174"/>
        <v>11.994814738420512</v>
      </c>
      <c r="CO62" s="1397">
        <f t="shared" si="174"/>
        <v>11.99762381806868</v>
      </c>
      <c r="CP62" s="1397">
        <f t="shared" si="174"/>
        <v>12.000433555578486</v>
      </c>
      <c r="CQ62" s="1397">
        <f t="shared" si="174"/>
        <v>12.00469198254312</v>
      </c>
      <c r="CR62" s="1397">
        <f t="shared" si="174"/>
        <v>12.008951920636509</v>
      </c>
      <c r="CS62" s="1397">
        <f t="shared" si="174"/>
        <v>12.013213370394887</v>
      </c>
      <c r="CT62" s="1397">
        <f t="shared" si="174"/>
        <v>12.017476332354676</v>
      </c>
      <c r="CU62" s="1397">
        <f t="shared" si="174"/>
        <v>12.021740807052488</v>
      </c>
      <c r="CV62" s="1397">
        <f t="shared" si="174"/>
        <v>12.028303851667012</v>
      </c>
      <c r="CW62" s="1397">
        <f t="shared" si="174"/>
        <v>12.034870479253032</v>
      </c>
      <c r="CX62" s="1397">
        <f t="shared" si="174"/>
        <v>12.041440691766601</v>
      </c>
      <c r="CY62" s="1397">
        <f t="shared" si="174"/>
        <v>12.048014491164842</v>
      </c>
      <c r="CZ62" s="1397">
        <f t="shared" si="174"/>
        <v>12.054591879405951</v>
      </c>
    </row>
    <row r="63" spans="1:104" ht="13" x14ac:dyDescent="0.3">
      <c r="A63" s="873" t="str">
        <f>'HyARC Physical Property Data'!A75</f>
        <v>Bio Methane</v>
      </c>
      <c r="B63" s="260">
        <v>2007</v>
      </c>
      <c r="C63" s="874">
        <f t="shared" si="165"/>
        <v>1.1446359956438654</v>
      </c>
      <c r="D63" s="1260" t="str">
        <f>'HyARC Physical Property Data'!H75</f>
        <v>mmBtu</v>
      </c>
      <c r="E63" s="874" t="s">
        <v>1058</v>
      </c>
      <c r="F63" s="260">
        <f>'HyARC Physical Property Data'!$E$6</f>
        <v>47.141269049911173</v>
      </c>
      <c r="G63" s="260">
        <f>'HyARC Physical Property Data'!$I$6</f>
        <v>52.224661236371581</v>
      </c>
      <c r="H63" s="1068">
        <v>12.42654028436019</v>
      </c>
      <c r="I63" s="1068">
        <v>12.42654028436019</v>
      </c>
      <c r="J63" s="1068">
        <v>12.42654028436019</v>
      </c>
      <c r="K63" s="1068">
        <v>12.42654028436019</v>
      </c>
      <c r="L63" s="1068">
        <v>12.42654028436019</v>
      </c>
      <c r="M63" s="1068">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73">
        <f t="shared" si="176"/>
        <v>14.223865310797228</v>
      </c>
      <c r="BS63" s="260">
        <f t="shared" si="176"/>
        <v>14.223865310797228</v>
      </c>
      <c r="BT63" s="260">
        <f t="shared" si="176"/>
        <v>14.223865310797228</v>
      </c>
      <c r="BU63" s="260">
        <f t="shared" si="176"/>
        <v>14.223865310797228</v>
      </c>
      <c r="BV63" s="876">
        <f t="shared" si="176"/>
        <v>14.223865310797228</v>
      </c>
      <c r="BW63" s="1397">
        <f>+BV63*BW$136/BV$136</f>
        <v>14.271092726019944</v>
      </c>
      <c r="BX63" s="1397">
        <f t="shared" si="174"/>
        <v>14.318476950147966</v>
      </c>
      <c r="BY63" s="1397">
        <f t="shared" si="174"/>
        <v>14.366018503832969</v>
      </c>
      <c r="BZ63" s="1397">
        <f t="shared" si="174"/>
        <v>14.413717909455341</v>
      </c>
      <c r="CA63" s="1397">
        <f t="shared" si="174"/>
        <v>14.461575691129934</v>
      </c>
      <c r="CB63" s="1397">
        <f t="shared" si="174"/>
        <v>14.49243565590395</v>
      </c>
      <c r="CC63" s="1397">
        <f t="shared" si="174"/>
        <v>14.523361473628309</v>
      </c>
      <c r="CD63" s="1397">
        <f t="shared" si="174"/>
        <v>14.554353284828478</v>
      </c>
      <c r="CE63" s="1397">
        <f t="shared" si="174"/>
        <v>14.585411230329802</v>
      </c>
      <c r="CF63" s="1397">
        <f t="shared" si="174"/>
        <v>14.616535451258134</v>
      </c>
      <c r="CG63" s="1397">
        <f t="shared" si="174"/>
        <v>14.626641288360148</v>
      </c>
      <c r="CH63" s="1397">
        <f t="shared" si="174"/>
        <v>14.636754112613382</v>
      </c>
      <c r="CI63" s="1397">
        <f t="shared" si="174"/>
        <v>14.646873928848736</v>
      </c>
      <c r="CJ63" s="1397">
        <f t="shared" si="174"/>
        <v>14.657000741900452</v>
      </c>
      <c r="CK63" s="1397">
        <f t="shared" si="174"/>
        <v>14.667134556606111</v>
      </c>
      <c r="CL63" s="1397">
        <f t="shared" si="174"/>
        <v>14.670569469948116</v>
      </c>
      <c r="CM63" s="1397">
        <f t="shared" si="174"/>
        <v>14.674005187716483</v>
      </c>
      <c r="CN63" s="1397">
        <f t="shared" si="174"/>
        <v>14.6774417100996</v>
      </c>
      <c r="CO63" s="1397">
        <f t="shared" si="174"/>
        <v>14.6808790372859</v>
      </c>
      <c r="CP63" s="1397">
        <f t="shared" si="174"/>
        <v>14.684317169463862</v>
      </c>
      <c r="CQ63" s="1397">
        <f t="shared" si="174"/>
        <v>14.689527988881515</v>
      </c>
      <c r="CR63" s="1397">
        <f t="shared" si="174"/>
        <v>14.69474065739019</v>
      </c>
      <c r="CS63" s="1397">
        <f t="shared" si="174"/>
        <v>14.699955175646044</v>
      </c>
      <c r="CT63" s="1397">
        <f t="shared" si="174"/>
        <v>14.705171544305472</v>
      </c>
      <c r="CU63" s="1397">
        <f t="shared" si="174"/>
        <v>14.710389764025104</v>
      </c>
      <c r="CV63" s="1397">
        <f t="shared" si="174"/>
        <v>14.718420626266095</v>
      </c>
      <c r="CW63" s="1397">
        <f t="shared" si="174"/>
        <v>14.726455872806168</v>
      </c>
      <c r="CX63" s="1397">
        <f t="shared" si="174"/>
        <v>14.734495506038849</v>
      </c>
      <c r="CY63" s="1397">
        <f t="shared" si="174"/>
        <v>14.74253952835897</v>
      </c>
      <c r="CZ63" s="1397">
        <f t="shared" si="174"/>
        <v>14.750587942162673</v>
      </c>
    </row>
    <row r="64" spans="1:104" ht="13" x14ac:dyDescent="0.3">
      <c r="A64" s="964" t="str">
        <f>'HyARC Physical Property Data'!A85</f>
        <v>Woody Biomass</v>
      </c>
      <c r="B64" s="260">
        <v>2005</v>
      </c>
      <c r="C64" s="874">
        <f>VLOOKUP(ref_year,DeflatorTable,2,FALSE)/VLOOKUP(B64,DeflatorTable,2,FALSE)</f>
        <v>1.2112501494873942</v>
      </c>
      <c r="D64" s="1259" t="str">
        <f>+'HyARC Physical Property Data'!$H$85</f>
        <v>kg</v>
      </c>
      <c r="E64" s="901" t="s">
        <v>1052</v>
      </c>
      <c r="F64" s="260">
        <f>'HyARC Physical Property Data'!$E$45</f>
        <v>19.551069237418005</v>
      </c>
      <c r="G64" s="260">
        <f>'HyARC Physical Property Data'!$I$45</f>
        <v>20.588656379262464</v>
      </c>
      <c r="H64" s="1068">
        <v>1.3438238843289665</v>
      </c>
      <c r="I64" s="1068">
        <v>1.3438238843289665</v>
      </c>
      <c r="J64" s="1068">
        <v>1.3438238843289665</v>
      </c>
      <c r="K64" s="1068">
        <v>1.3438238843289665</v>
      </c>
      <c r="L64" s="1068">
        <v>1.3438238843289665</v>
      </c>
      <c r="M64" s="1068">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73">
        <f>4.71*($C$64)</f>
        <v>5.7049882040856268</v>
      </c>
      <c r="BS64" s="260">
        <f>4.78*($C$64)</f>
        <v>5.7897757145497444</v>
      </c>
      <c r="BT64" s="260">
        <f>4.85*($C$64)</f>
        <v>5.8745632250138611</v>
      </c>
      <c r="BU64" s="260">
        <f>4.92*($C$64)</f>
        <v>5.9593507354779796</v>
      </c>
      <c r="BV64" s="876">
        <f>4.99*($C$64)</f>
        <v>6.0441382459420971</v>
      </c>
      <c r="BW64" s="1397">
        <f>+BV64*BW$137/BV$137</f>
        <v>6.0586659764672328</v>
      </c>
      <c r="BX64" s="1397">
        <f t="shared" ref="BX64:CZ64" si="177">+BW64*BX$137/BW$137</f>
        <v>6.0732286259412112</v>
      </c>
      <c r="BY64" s="1397">
        <f t="shared" si="177"/>
        <v>6.0878262782954495</v>
      </c>
      <c r="BZ64" s="1397">
        <f t="shared" si="177"/>
        <v>6.1024590176630999</v>
      </c>
      <c r="CA64" s="1397">
        <f t="shared" si="177"/>
        <v>6.1171269283795393</v>
      </c>
      <c r="CB64" s="1397">
        <f t="shared" si="177"/>
        <v>6.1299667153690152</v>
      </c>
      <c r="CC64" s="1397">
        <f t="shared" si="177"/>
        <v>6.1428334529403346</v>
      </c>
      <c r="CD64" s="1397">
        <f t="shared" si="177"/>
        <v>6.155727197662495</v>
      </c>
      <c r="CE64" s="1397">
        <f t="shared" si="177"/>
        <v>6.1686480062232301</v>
      </c>
      <c r="CF64" s="1397">
        <f t="shared" si="177"/>
        <v>6.18159593542926</v>
      </c>
      <c r="CG64" s="1397">
        <f t="shared" si="177"/>
        <v>6.197524392005751</v>
      </c>
      <c r="CH64" s="1397">
        <f t="shared" si="177"/>
        <v>6.2134938923080965</v>
      </c>
      <c r="CI64" s="1397">
        <f t="shared" si="177"/>
        <v>6.229504542095909</v>
      </c>
      <c r="CJ64" s="1397">
        <f t="shared" si="177"/>
        <v>6.245556447401321</v>
      </c>
      <c r="CK64" s="1397">
        <f t="shared" si="177"/>
        <v>6.2616497145296828</v>
      </c>
      <c r="CL64" s="1397">
        <f t="shared" si="177"/>
        <v>6.2750522655841658</v>
      </c>
      <c r="CM64" s="1397">
        <f t="shared" si="177"/>
        <v>6.2884835037072264</v>
      </c>
      <c r="CN64" s="1397">
        <f t="shared" si="177"/>
        <v>6.3019434903011975</v>
      </c>
      <c r="CO64" s="1397">
        <f t="shared" si="177"/>
        <v>6.3154322868998385</v>
      </c>
      <c r="CP64" s="1397">
        <f t="shared" si="177"/>
        <v>6.3289499551686168</v>
      </c>
      <c r="CQ64" s="1397">
        <f t="shared" si="177"/>
        <v>6.3413225489579119</v>
      </c>
      <c r="CR64" s="1397">
        <f t="shared" si="177"/>
        <v>6.3537193301840116</v>
      </c>
      <c r="CS64" s="1397">
        <f t="shared" si="177"/>
        <v>6.3661403461314299</v>
      </c>
      <c r="CT64" s="1397">
        <f t="shared" si="177"/>
        <v>6.3785856441771198</v>
      </c>
      <c r="CU64" s="1397">
        <f t="shared" si="177"/>
        <v>6.3910552717906537</v>
      </c>
      <c r="CV64" s="1397">
        <f t="shared" si="177"/>
        <v>6.4057772391562917</v>
      </c>
      <c r="CW64" s="1397">
        <f t="shared" si="177"/>
        <v>6.4205331189689208</v>
      </c>
      <c r="CX64" s="1397">
        <f t="shared" si="177"/>
        <v>6.4353229893467718</v>
      </c>
      <c r="CY64" s="1397">
        <f t="shared" si="177"/>
        <v>6.4501469285880244</v>
      </c>
      <c r="CZ64" s="1397">
        <f t="shared" si="177"/>
        <v>6.4650050151712186</v>
      </c>
    </row>
    <row r="65" spans="1:104" ht="13" x14ac:dyDescent="0.3">
      <c r="A65" s="910" t="str">
        <f>'HyARC Physical Property Data'!A79</f>
        <v>Electric Utility Steam Coal</v>
      </c>
      <c r="B65" s="260">
        <v>2011</v>
      </c>
      <c r="C65" s="874">
        <f>VLOOKUP(ref_year,DeflatorTable,2,FALSE)/VLOOKUP(B65,DeflatorTable,2,FALSE)</f>
        <v>1.0784554773635862</v>
      </c>
      <c r="D65" s="1259" t="str">
        <f>+'HyARC Physical Property Data'!$H$79</f>
        <v>kg</v>
      </c>
      <c r="E65" s="901" t="s">
        <v>1052</v>
      </c>
      <c r="F65" s="260">
        <f>'HyARC Physical Property Data'!$E$42</f>
        <v>22.7322030001394</v>
      </c>
      <c r="G65" s="260">
        <f>'HyARC Physical Property Data'!$I$42</f>
        <v>23.967615189707661</v>
      </c>
      <c r="H65" s="1068">
        <v>1.6359074751967535</v>
      </c>
      <c r="I65" s="1068">
        <v>1.6359074751967535</v>
      </c>
      <c r="J65" s="1068">
        <v>1.6359074751967535</v>
      </c>
      <c r="K65" s="1068">
        <v>1.6778298347292193</v>
      </c>
      <c r="L65" s="1068">
        <v>1.8315470257945772</v>
      </c>
      <c r="M65" s="1068">
        <v>1.8060149340317679</v>
      </c>
      <c r="N65" s="260">
        <f t="shared" ref="N65:AR65" si="178">N79*($C65/mmBTU_to_GJ*$G65/$F65)</f>
        <v>2.4767433408545654</v>
      </c>
      <c r="O65" s="260">
        <f t="shared" si="178"/>
        <v>2.5651337544408896</v>
      </c>
      <c r="P65" s="260">
        <f t="shared" si="178"/>
        <v>2.6023831610321637</v>
      </c>
      <c r="Q65" s="260">
        <f t="shared" si="178"/>
        <v>2.5126832358863247</v>
      </c>
      <c r="R65" s="260">
        <f t="shared" si="178"/>
        <v>2.6585542013179602</v>
      </c>
      <c r="S65" s="260">
        <f t="shared" si="178"/>
        <v>2.6840072260006811</v>
      </c>
      <c r="T65" s="260">
        <f t="shared" si="178"/>
        <v>2.7699747737550795</v>
      </c>
      <c r="U65" s="260">
        <f t="shared" si="178"/>
        <v>2.7766301102818329</v>
      </c>
      <c r="V65" s="260">
        <f t="shared" si="178"/>
        <v>2.7968493998756609</v>
      </c>
      <c r="W65" s="260">
        <f t="shared" si="178"/>
        <v>2.8115213182786878</v>
      </c>
      <c r="X65" s="260">
        <f t="shared" si="178"/>
        <v>2.8489776600299841</v>
      </c>
      <c r="Y65" s="260">
        <f t="shared" si="178"/>
        <v>2.8785704657004394</v>
      </c>
      <c r="Z65" s="260">
        <f t="shared" si="178"/>
        <v>2.9253496675256483</v>
      </c>
      <c r="AA65" s="260">
        <f t="shared" si="178"/>
        <v>2.9630312668209267</v>
      </c>
      <c r="AB65" s="260">
        <f t="shared" si="178"/>
        <v>3.0053645960675355</v>
      </c>
      <c r="AC65" s="260">
        <f t="shared" si="178"/>
        <v>3.0521599647021214</v>
      </c>
      <c r="AD65" s="260">
        <f t="shared" si="178"/>
        <v>3.0924023866026737</v>
      </c>
      <c r="AE65" s="260">
        <f t="shared" si="178"/>
        <v>3.1249741963476141</v>
      </c>
      <c r="AF65" s="260">
        <f t="shared" si="178"/>
        <v>3.1652489518669196</v>
      </c>
      <c r="AG65" s="260">
        <f t="shared" si="178"/>
        <v>3.2097820449760555</v>
      </c>
      <c r="AH65" s="260">
        <f t="shared" si="178"/>
        <v>3.2527092350204363</v>
      </c>
      <c r="AI65" s="260">
        <f t="shared" si="178"/>
        <v>3.2901989881777776</v>
      </c>
      <c r="AJ65" s="260">
        <f t="shared" si="178"/>
        <v>3.3307065457521077</v>
      </c>
      <c r="AK65" s="260">
        <f t="shared" si="178"/>
        <v>3.3733136329708291</v>
      </c>
      <c r="AL65" s="260">
        <f t="shared" si="178"/>
        <v>3.4171795757463519</v>
      </c>
      <c r="AM65" s="260">
        <f t="shared" si="178"/>
        <v>3.4665778006905912</v>
      </c>
      <c r="AN65" s="260">
        <f t="shared" si="178"/>
        <v>3.5046355477507012</v>
      </c>
      <c r="AO65" s="260">
        <f t="shared" si="178"/>
        <v>3.5333294788198106</v>
      </c>
      <c r="AP65" s="260">
        <f t="shared" si="178"/>
        <v>3.5689945380921646</v>
      </c>
      <c r="AQ65" s="260">
        <f t="shared" si="178"/>
        <v>3.6172858754877444</v>
      </c>
      <c r="AR65" s="260">
        <f t="shared" si="178"/>
        <v>3.6632858371009949</v>
      </c>
      <c r="AS65" s="260">
        <f>($BB65-$AR65)/10+AR65</f>
        <v>3.6603339305711646</v>
      </c>
      <c r="AT65" s="260">
        <f t="shared" ref="AT65:BA65" si="179">($BB65-$AR65)/10+AS65</f>
        <v>3.6573820240413344</v>
      </c>
      <c r="AU65" s="260">
        <f t="shared" si="179"/>
        <v>3.6544301175115042</v>
      </c>
      <c r="AV65" s="260">
        <f t="shared" si="179"/>
        <v>3.6514782109816739</v>
      </c>
      <c r="AW65" s="260">
        <f t="shared" si="179"/>
        <v>3.6485263044518437</v>
      </c>
      <c r="AX65" s="260">
        <f t="shared" si="179"/>
        <v>3.6455743979220134</v>
      </c>
      <c r="AY65" s="260">
        <f t="shared" si="179"/>
        <v>3.6426224913921832</v>
      </c>
      <c r="AZ65" s="260">
        <f t="shared" si="179"/>
        <v>3.639670584862353</v>
      </c>
      <c r="BA65" s="260">
        <f t="shared" si="179"/>
        <v>3.6367186783325227</v>
      </c>
      <c r="BB65" s="939">
        <f>('AEO Data'!$B$28*AM65)</f>
        <v>3.6337667718026938</v>
      </c>
      <c r="BC65" s="260">
        <f>($BQ65-$BB65)/15+BB65</f>
        <v>3.6465192456024029</v>
      </c>
      <c r="BD65" s="260">
        <f t="shared" ref="BD65:BP68" si="180">($BQ65-$BB65)/15+BC65</f>
        <v>3.659271719402112</v>
      </c>
      <c r="BE65" s="260">
        <f t="shared" si="180"/>
        <v>3.6720241932018212</v>
      </c>
      <c r="BF65" s="260">
        <f t="shared" si="180"/>
        <v>3.6847766670015303</v>
      </c>
      <c r="BG65" s="260">
        <f t="shared" si="180"/>
        <v>3.6975291408012394</v>
      </c>
      <c r="BH65" s="260">
        <f t="shared" si="180"/>
        <v>3.7102816146009485</v>
      </c>
      <c r="BI65" s="260">
        <f t="shared" si="180"/>
        <v>3.7230340884006576</v>
      </c>
      <c r="BJ65" s="260">
        <f t="shared" si="180"/>
        <v>3.7357865622003668</v>
      </c>
      <c r="BK65" s="260">
        <f t="shared" si="180"/>
        <v>3.7485390360000759</v>
      </c>
      <c r="BL65" s="260">
        <f t="shared" si="180"/>
        <v>3.761291509799785</v>
      </c>
      <c r="BM65" s="260">
        <f t="shared" si="180"/>
        <v>3.7740439835994941</v>
      </c>
      <c r="BN65" s="260">
        <f t="shared" si="180"/>
        <v>3.7867964573992032</v>
      </c>
      <c r="BO65" s="260">
        <f t="shared" si="180"/>
        <v>3.7995489311989123</v>
      </c>
      <c r="BP65" s="260">
        <f t="shared" si="180"/>
        <v>3.8123014049986215</v>
      </c>
      <c r="BQ65" s="939">
        <f>('AEO Data'!$C$28*BB65)</f>
        <v>3.8250538787983337</v>
      </c>
      <c r="BR65" s="873">
        <f t="shared" ref="BR65:BU68" si="181">($BV65-$BQ65)/5+BQ65</f>
        <v>3.8373166225762918</v>
      </c>
      <c r="BS65" s="260">
        <f t="shared" si="181"/>
        <v>3.8495793663542499</v>
      </c>
      <c r="BT65" s="260">
        <f t="shared" si="181"/>
        <v>3.861842110132208</v>
      </c>
      <c r="BU65" s="260">
        <f t="shared" si="181"/>
        <v>3.8741048539101661</v>
      </c>
      <c r="BV65" s="963">
        <f>('AEO Data'!$D$28*BQ65)</f>
        <v>3.8863675976881238</v>
      </c>
      <c r="BW65" s="1397">
        <f>+BV65*BW$138/BV$138</f>
        <v>3.8995072326040932</v>
      </c>
      <c r="BX65" s="1397">
        <f t="shared" ref="BX65:CZ65" si="182">+BW65*BX$138/BW$138</f>
        <v>3.9126912920376582</v>
      </c>
      <c r="BY65" s="1397">
        <f t="shared" si="182"/>
        <v>3.9259199261861233</v>
      </c>
      <c r="BZ65" s="1397">
        <f t="shared" si="182"/>
        <v>3.9391932857546061</v>
      </c>
      <c r="CA65" s="1397">
        <f t="shared" si="182"/>
        <v>3.9525115219577494</v>
      </c>
      <c r="CB65" s="1397">
        <f t="shared" si="182"/>
        <v>3.9638281829885078</v>
      </c>
      <c r="CC65" s="1397">
        <f t="shared" si="182"/>
        <v>3.9751772453965106</v>
      </c>
      <c r="CD65" s="1397">
        <f t="shared" si="182"/>
        <v>3.9865588019519875</v>
      </c>
      <c r="CE65" s="1397">
        <f t="shared" si="182"/>
        <v>3.9979729456907847</v>
      </c>
      <c r="CF65" s="1397">
        <f t="shared" si="182"/>
        <v>4.0094197699151231</v>
      </c>
      <c r="CG65" s="1397">
        <f t="shared" si="182"/>
        <v>4.0181594321320722</v>
      </c>
      <c r="CH65" s="1397">
        <f t="shared" si="182"/>
        <v>4.0269181449099625</v>
      </c>
      <c r="CI65" s="1397">
        <f t="shared" si="182"/>
        <v>4.0356959497748699</v>
      </c>
      <c r="CJ65" s="1397">
        <f t="shared" si="182"/>
        <v>4.0444928883433882</v>
      </c>
      <c r="CK65" s="1397">
        <f t="shared" si="182"/>
        <v>4.0533090023228242</v>
      </c>
      <c r="CL65" s="1397">
        <f t="shared" si="182"/>
        <v>4.0592855925032651</v>
      </c>
      <c r="CM65" s="1397">
        <f t="shared" si="182"/>
        <v>4.0652709951453678</v>
      </c>
      <c r="CN65" s="1397">
        <f t="shared" si="182"/>
        <v>4.0712652232430759</v>
      </c>
      <c r="CO65" s="1397">
        <f t="shared" si="182"/>
        <v>4.0772682898094939</v>
      </c>
      <c r="CP65" s="1397">
        <f t="shared" si="182"/>
        <v>4.0832802078769133</v>
      </c>
      <c r="CQ65" s="1397">
        <f t="shared" si="182"/>
        <v>4.0852935052227286</v>
      </c>
      <c r="CR65" s="1397">
        <f t="shared" si="182"/>
        <v>4.0873077952425705</v>
      </c>
      <c r="CS65" s="1397">
        <f t="shared" si="182"/>
        <v>4.0893230784258847</v>
      </c>
      <c r="CT65" s="1397">
        <f t="shared" si="182"/>
        <v>4.0913393552623587</v>
      </c>
      <c r="CU65" s="1397">
        <f t="shared" si="182"/>
        <v>4.0933566262419232</v>
      </c>
      <c r="CV65" s="1397">
        <f t="shared" si="182"/>
        <v>4.0904573728021916</v>
      </c>
      <c r="CW65" s="1397">
        <f t="shared" si="182"/>
        <v>4.0875601728533422</v>
      </c>
      <c r="CX65" s="1397">
        <f t="shared" si="182"/>
        <v>4.0846650249409233</v>
      </c>
      <c r="CY65" s="1397">
        <f t="shared" si="182"/>
        <v>4.081771927611511</v>
      </c>
      <c r="CZ65" s="1397">
        <f t="shared" si="182"/>
        <v>4.0788808794127149</v>
      </c>
    </row>
    <row r="66" spans="1:104" ht="13" x14ac:dyDescent="0.3">
      <c r="A66" s="877" t="str">
        <f>'HyARC Physical Property Data'!A76</f>
        <v>Commercial Electricity</v>
      </c>
      <c r="B66" s="260">
        <v>2011</v>
      </c>
      <c r="C66" s="874">
        <f t="shared" si="165"/>
        <v>1.0784554773635862</v>
      </c>
      <c r="D66" s="1259" t="str">
        <f>'HyARC Physical Property Data'!$H$76</f>
        <v>kWh</v>
      </c>
      <c r="E66" s="874" t="s">
        <v>1071</v>
      </c>
      <c r="F66" s="878"/>
      <c r="G66" s="874"/>
      <c r="H66" s="1068">
        <v>26.764062885406638</v>
      </c>
      <c r="I66" s="1068">
        <v>26.764062885406638</v>
      </c>
      <c r="J66" s="1068">
        <v>26.764062885406638</v>
      </c>
      <c r="K66" s="1068">
        <v>26.478521097803213</v>
      </c>
      <c r="L66" s="1068">
        <v>27.879470162766175</v>
      </c>
      <c r="M66" s="1068">
        <v>27.895326399478549</v>
      </c>
      <c r="N66" s="260">
        <f>N80*($C66)</f>
        <v>32.884888841491865</v>
      </c>
      <c r="O66" s="260">
        <f t="shared" ref="O66:AR68" si="183">O80*($C66)</f>
        <v>32.332798364331552</v>
      </c>
      <c r="P66" s="260">
        <f t="shared" si="183"/>
        <v>30.737262309969314</v>
      </c>
      <c r="Q66" s="260">
        <f t="shared" si="183"/>
        <v>29.97242384233401</v>
      </c>
      <c r="R66" s="260">
        <f t="shared" si="183"/>
        <v>30.387977542238183</v>
      </c>
      <c r="S66" s="260">
        <f t="shared" si="183"/>
        <v>30.347150453231627</v>
      </c>
      <c r="T66" s="260">
        <f t="shared" si="183"/>
        <v>30.940154295836678</v>
      </c>
      <c r="U66" s="260">
        <f t="shared" si="183"/>
        <v>31.301692474701618</v>
      </c>
      <c r="V66" s="260">
        <f t="shared" si="183"/>
        <v>31.392652645028893</v>
      </c>
      <c r="W66" s="260">
        <f t="shared" si="183"/>
        <v>31.248251770431818</v>
      </c>
      <c r="X66" s="260">
        <f t="shared" si="183"/>
        <v>31.319545226673895</v>
      </c>
      <c r="Y66" s="260">
        <f t="shared" si="183"/>
        <v>31.450144028071669</v>
      </c>
      <c r="Z66" s="260">
        <f t="shared" si="183"/>
        <v>31.542321774632889</v>
      </c>
      <c r="AA66" s="260">
        <f t="shared" si="183"/>
        <v>31.486595823206557</v>
      </c>
      <c r="AB66" s="260">
        <f t="shared" si="183"/>
        <v>31.399882610549138</v>
      </c>
      <c r="AC66" s="260">
        <f t="shared" si="183"/>
        <v>31.493015868663306</v>
      </c>
      <c r="AD66" s="260">
        <f t="shared" si="183"/>
        <v>31.467305490082953</v>
      </c>
      <c r="AE66" s="260">
        <f t="shared" si="183"/>
        <v>31.504678286195514</v>
      </c>
      <c r="AF66" s="260">
        <f t="shared" si="183"/>
        <v>31.506435090168136</v>
      </c>
      <c r="AG66" s="260">
        <f t="shared" si="183"/>
        <v>31.647141176299762</v>
      </c>
      <c r="AH66" s="260">
        <f t="shared" si="183"/>
        <v>31.868543771980598</v>
      </c>
      <c r="AI66" s="260">
        <f t="shared" si="183"/>
        <v>32.132385747606648</v>
      </c>
      <c r="AJ66" s="260">
        <f t="shared" si="183"/>
        <v>32.307495641921648</v>
      </c>
      <c r="AK66" s="260">
        <f t="shared" si="183"/>
        <v>32.65090606266758</v>
      </c>
      <c r="AL66" s="260">
        <f t="shared" si="183"/>
        <v>33.217937462011285</v>
      </c>
      <c r="AM66" s="260">
        <f t="shared" si="183"/>
        <v>33.746086227574118</v>
      </c>
      <c r="AN66" s="260">
        <f t="shared" si="183"/>
        <v>34.302393465650923</v>
      </c>
      <c r="AO66" s="260">
        <f t="shared" si="183"/>
        <v>34.800179395704063</v>
      </c>
      <c r="AP66" s="260">
        <f t="shared" si="183"/>
        <v>35.230419502298972</v>
      </c>
      <c r="AQ66" s="260">
        <f t="shared" si="183"/>
        <v>35.829986824939262</v>
      </c>
      <c r="AR66" s="260">
        <f t="shared" si="183"/>
        <v>36.211973598110482</v>
      </c>
      <c r="AS66" s="260">
        <f t="shared" ref="AS66:BA66" si="184">($BB66-$AR66)/10+AR66</f>
        <v>35.881261041922635</v>
      </c>
      <c r="AT66" s="260">
        <f t="shared" si="184"/>
        <v>35.550548485734787</v>
      </c>
      <c r="AU66" s="260">
        <f t="shared" si="184"/>
        <v>35.219835929546939</v>
      </c>
      <c r="AV66" s="260">
        <f t="shared" si="184"/>
        <v>34.889123373359091</v>
      </c>
      <c r="AW66" s="260">
        <f t="shared" si="184"/>
        <v>34.558410817171243</v>
      </c>
      <c r="AX66" s="260">
        <f t="shared" si="184"/>
        <v>34.227698260983395</v>
      </c>
      <c r="AY66" s="260">
        <f t="shared" si="184"/>
        <v>33.896985704795547</v>
      </c>
      <c r="AZ66" s="260">
        <f t="shared" si="184"/>
        <v>33.566273148607699</v>
      </c>
      <c r="BA66" s="260">
        <f t="shared" si="184"/>
        <v>33.235560592419851</v>
      </c>
      <c r="BB66" s="939">
        <f>'AEO Data'!$B$33*AM66</f>
        <v>32.904848036232032</v>
      </c>
      <c r="BC66" s="260">
        <f>($BQ66-$BB66)/15+BB66</f>
        <v>32.924019184217244</v>
      </c>
      <c r="BD66" s="260">
        <f t="shared" si="180"/>
        <v>32.943190332202455</v>
      </c>
      <c r="BE66" s="260">
        <f t="shared" si="180"/>
        <v>32.962361480187667</v>
      </c>
      <c r="BF66" s="260">
        <f t="shared" si="180"/>
        <v>32.981532628172879</v>
      </c>
      <c r="BG66" s="260">
        <f t="shared" si="180"/>
        <v>33.00070377615809</v>
      </c>
      <c r="BH66" s="260">
        <f t="shared" si="180"/>
        <v>33.019874924143302</v>
      </c>
      <c r="BI66" s="260">
        <f t="shared" si="180"/>
        <v>33.039046072128514</v>
      </c>
      <c r="BJ66" s="260">
        <f t="shared" si="180"/>
        <v>33.058217220113725</v>
      </c>
      <c r="BK66" s="260">
        <f t="shared" si="180"/>
        <v>33.077388368098937</v>
      </c>
      <c r="BL66" s="260">
        <f t="shared" si="180"/>
        <v>33.096559516084149</v>
      </c>
      <c r="BM66" s="260">
        <f t="shared" si="180"/>
        <v>33.115730664069361</v>
      </c>
      <c r="BN66" s="260">
        <f t="shared" si="180"/>
        <v>33.134901812054572</v>
      </c>
      <c r="BO66" s="260">
        <f t="shared" si="180"/>
        <v>33.154072960039784</v>
      </c>
      <c r="BP66" s="260">
        <f t="shared" si="180"/>
        <v>33.173244108024996</v>
      </c>
      <c r="BQ66" s="939">
        <f>'AEO Data'!$C$33*BB66</f>
        <v>33.192415256010214</v>
      </c>
      <c r="BR66" s="873">
        <f t="shared" si="181"/>
        <v>33.170065135939467</v>
      </c>
      <c r="BS66" s="260">
        <f t="shared" si="181"/>
        <v>33.147715015868719</v>
      </c>
      <c r="BT66" s="260">
        <f t="shared" si="181"/>
        <v>33.125364895797972</v>
      </c>
      <c r="BU66" s="260">
        <f t="shared" si="181"/>
        <v>33.103014775727225</v>
      </c>
      <c r="BV66" s="963">
        <f>'AEO Data'!$D$33*BQ66</f>
        <v>33.080664655656477</v>
      </c>
      <c r="BW66" s="1397">
        <f>+BV66*BW$139/BV$139</f>
        <v>33.066099114275488</v>
      </c>
      <c r="BX66" s="1397">
        <f t="shared" ref="BX66:CZ66" si="185">+BW66*BX$139/BW$139</f>
        <v>33.051539986157294</v>
      </c>
      <c r="BY66" s="1397">
        <f t="shared" si="185"/>
        <v>33.0369872684781</v>
      </c>
      <c r="BZ66" s="1397">
        <f t="shared" si="185"/>
        <v>33.022440958415373</v>
      </c>
      <c r="CA66" s="1397">
        <f t="shared" si="185"/>
        <v>33.007901053147819</v>
      </c>
      <c r="CB66" s="1397">
        <f t="shared" si="185"/>
        <v>32.98146223987488</v>
      </c>
      <c r="CC66" s="1397">
        <f t="shared" si="185"/>
        <v>32.955044603678495</v>
      </c>
      <c r="CD66" s="1397">
        <f t="shared" si="185"/>
        <v>32.928648127596141</v>
      </c>
      <c r="CE66" s="1397">
        <f t="shared" si="185"/>
        <v>32.902272794678915</v>
      </c>
      <c r="CF66" s="1397">
        <f t="shared" si="185"/>
        <v>32.875918587991457</v>
      </c>
      <c r="CG66" s="1397">
        <f t="shared" si="185"/>
        <v>32.839614191376278</v>
      </c>
      <c r="CH66" s="1397">
        <f t="shared" si="185"/>
        <v>32.803349885175919</v>
      </c>
      <c r="CI66" s="1397">
        <f t="shared" si="185"/>
        <v>32.767125625119114</v>
      </c>
      <c r="CJ66" s="1397">
        <f t="shared" si="185"/>
        <v>32.730941366983494</v>
      </c>
      <c r="CK66" s="1397">
        <f t="shared" si="185"/>
        <v>32.69479706659552</v>
      </c>
      <c r="CL66" s="1397">
        <f t="shared" si="185"/>
        <v>32.65539094584242</v>
      </c>
      <c r="CM66" s="1397">
        <f t="shared" si="185"/>
        <v>32.616032320180047</v>
      </c>
      <c r="CN66" s="1397">
        <f t="shared" si="185"/>
        <v>32.576721132363886</v>
      </c>
      <c r="CO66" s="1397">
        <f t="shared" si="185"/>
        <v>32.537457325218448</v>
      </c>
      <c r="CP66" s="1397">
        <f t="shared" si="185"/>
        <v>32.498240841637141</v>
      </c>
      <c r="CQ66" s="1397">
        <f t="shared" si="185"/>
        <v>32.452817913303896</v>
      </c>
      <c r="CR66" s="1397">
        <f t="shared" si="185"/>
        <v>32.407458472789216</v>
      </c>
      <c r="CS66" s="1397">
        <f t="shared" si="185"/>
        <v>32.362162431355912</v>
      </c>
      <c r="CT66" s="1397">
        <f t="shared" si="185"/>
        <v>32.31692970039083</v>
      </c>
      <c r="CU66" s="1397">
        <f t="shared" si="185"/>
        <v>32.271760191404653</v>
      </c>
      <c r="CV66" s="1397">
        <f t="shared" si="185"/>
        <v>32.22766670904133</v>
      </c>
      <c r="CW66" s="1397">
        <f t="shared" si="185"/>
        <v>32.183633472390525</v>
      </c>
      <c r="CX66" s="1397">
        <f t="shared" si="185"/>
        <v>32.139660399137448</v>
      </c>
      <c r="CY66" s="1397">
        <f t="shared" si="185"/>
        <v>32.09574740707977</v>
      </c>
      <c r="CZ66" s="1397">
        <f t="shared" si="185"/>
        <v>32.051894414127482</v>
      </c>
    </row>
    <row r="67" spans="1:104" ht="13" x14ac:dyDescent="0.3">
      <c r="A67" s="877" t="str">
        <f>'HyARC Physical Property Data'!A77</f>
        <v>Industrial Electricity</v>
      </c>
      <c r="B67" s="260">
        <v>2011</v>
      </c>
      <c r="C67" s="874">
        <f t="shared" si="165"/>
        <v>1.0784554773635862</v>
      </c>
      <c r="D67" s="1247" t="str">
        <f>'HyARC Physical Property Data'!$H$77</f>
        <v>kWh</v>
      </c>
      <c r="E67" s="874" t="s">
        <v>1071</v>
      </c>
      <c r="F67" s="885"/>
      <c r="G67" s="222"/>
      <c r="H67" s="1071">
        <v>17.365230901091444</v>
      </c>
      <c r="I67" s="1071">
        <v>17.365230901091444</v>
      </c>
      <c r="J67" s="1071">
        <v>17.365230901091444</v>
      </c>
      <c r="K67" s="1071">
        <v>17.575551809904887</v>
      </c>
      <c r="L67" s="1071">
        <v>19.530121721487372</v>
      </c>
      <c r="M67" s="1071">
        <v>19.467200489895287</v>
      </c>
      <c r="N67" s="222">
        <f t="shared" ref="N67:AC68" si="186">N81*($C67)</f>
        <v>21.849987884073684</v>
      </c>
      <c r="O67" s="222">
        <f t="shared" si="186"/>
        <v>21.542925726736811</v>
      </c>
      <c r="P67" s="222">
        <f t="shared" si="186"/>
        <v>19.902451511088309</v>
      </c>
      <c r="Q67" s="222">
        <f t="shared" si="186"/>
        <v>19.582235432294034</v>
      </c>
      <c r="R67" s="222">
        <f t="shared" si="186"/>
        <v>19.704756602166356</v>
      </c>
      <c r="S67" s="222">
        <f t="shared" si="186"/>
        <v>19.619020470171431</v>
      </c>
      <c r="T67" s="222">
        <f t="shared" si="186"/>
        <v>20.171031141626411</v>
      </c>
      <c r="U67" s="222">
        <f t="shared" si="186"/>
        <v>20.49385492576495</v>
      </c>
      <c r="V67" s="222">
        <f t="shared" si="186"/>
        <v>20.594470507981068</v>
      </c>
      <c r="W67" s="222">
        <f t="shared" si="186"/>
        <v>20.544822731625157</v>
      </c>
      <c r="X67" s="222">
        <f t="shared" si="186"/>
        <v>20.594035890423687</v>
      </c>
      <c r="Y67" s="222">
        <f t="shared" si="186"/>
        <v>20.76255102949461</v>
      </c>
      <c r="Z67" s="222">
        <f t="shared" si="186"/>
        <v>20.94633062739214</v>
      </c>
      <c r="AA67" s="222">
        <f t="shared" si="186"/>
        <v>21.072253245840066</v>
      </c>
      <c r="AB67" s="222">
        <f t="shared" si="186"/>
        <v>21.100348089480867</v>
      </c>
      <c r="AC67" s="222">
        <f t="shared" si="186"/>
        <v>21.269441280687655</v>
      </c>
      <c r="AD67" s="222">
        <f t="shared" si="183"/>
        <v>21.365271755950712</v>
      </c>
      <c r="AE67" s="222">
        <f t="shared" si="183"/>
        <v>21.508514369365095</v>
      </c>
      <c r="AF67" s="222">
        <f t="shared" si="183"/>
        <v>21.619174685897374</v>
      </c>
      <c r="AG67" s="222">
        <f t="shared" si="183"/>
        <v>21.826218725352589</v>
      </c>
      <c r="AH67" s="222">
        <f t="shared" si="183"/>
        <v>22.023947066394335</v>
      </c>
      <c r="AI67" s="222">
        <f t="shared" si="183"/>
        <v>22.224293897335123</v>
      </c>
      <c r="AJ67" s="222">
        <f t="shared" si="183"/>
        <v>22.474376937980967</v>
      </c>
      <c r="AK67" s="222">
        <f t="shared" si="183"/>
        <v>22.838414976642433</v>
      </c>
      <c r="AL67" s="222">
        <f t="shared" si="183"/>
        <v>23.325651455216004</v>
      </c>
      <c r="AM67" s="222">
        <f t="shared" si="183"/>
        <v>23.843532246178864</v>
      </c>
      <c r="AN67" s="222">
        <f t="shared" si="183"/>
        <v>24.337545738972189</v>
      </c>
      <c r="AO67" s="222">
        <f t="shared" si="183"/>
        <v>24.794215553950846</v>
      </c>
      <c r="AP67" s="222">
        <f t="shared" si="183"/>
        <v>25.214004348514621</v>
      </c>
      <c r="AQ67" s="222">
        <f t="shared" si="183"/>
        <v>25.744343457151981</v>
      </c>
      <c r="AR67" s="222">
        <f t="shared" si="183"/>
        <v>26.063271860106287</v>
      </c>
      <c r="AS67" s="260">
        <f t="shared" ref="AS67:BA67" si="187">($BB67-$AR67)/10+AR67</f>
        <v>25.78185962843024</v>
      </c>
      <c r="AT67" s="260">
        <f t="shared" si="187"/>
        <v>25.500447396754193</v>
      </c>
      <c r="AU67" s="260">
        <f t="shared" si="187"/>
        <v>25.219035165078147</v>
      </c>
      <c r="AV67" s="260">
        <f t="shared" si="187"/>
        <v>24.9376229334021</v>
      </c>
      <c r="AW67" s="260">
        <f t="shared" si="187"/>
        <v>24.656210701726053</v>
      </c>
      <c r="AX67" s="260">
        <f t="shared" si="187"/>
        <v>24.374798470050006</v>
      </c>
      <c r="AY67" s="260">
        <f t="shared" si="187"/>
        <v>24.093386238373959</v>
      </c>
      <c r="AZ67" s="260">
        <f t="shared" si="187"/>
        <v>23.811974006697913</v>
      </c>
      <c r="BA67" s="260">
        <f t="shared" si="187"/>
        <v>23.530561775021866</v>
      </c>
      <c r="BB67" s="939">
        <f>'AEO Data'!$B$33*AM67</f>
        <v>23.24914954334583</v>
      </c>
      <c r="BC67" s="260">
        <f>($BQ67-$BB67)/15+BB67</f>
        <v>23.262695051470804</v>
      </c>
      <c r="BD67" s="260">
        <f t="shared" si="180"/>
        <v>23.276240559595777</v>
      </c>
      <c r="BE67" s="260">
        <f t="shared" si="180"/>
        <v>23.289786067720751</v>
      </c>
      <c r="BF67" s="260">
        <f t="shared" si="180"/>
        <v>23.303331575845725</v>
      </c>
      <c r="BG67" s="260">
        <f t="shared" si="180"/>
        <v>23.316877083970699</v>
      </c>
      <c r="BH67" s="260">
        <f t="shared" si="180"/>
        <v>23.330422592095672</v>
      </c>
      <c r="BI67" s="260">
        <f t="shared" si="180"/>
        <v>23.343968100220646</v>
      </c>
      <c r="BJ67" s="260">
        <f t="shared" si="180"/>
        <v>23.35751360834562</v>
      </c>
      <c r="BK67" s="260">
        <f t="shared" si="180"/>
        <v>23.371059116470594</v>
      </c>
      <c r="BL67" s="260">
        <f t="shared" si="180"/>
        <v>23.384604624595568</v>
      </c>
      <c r="BM67" s="260">
        <f t="shared" si="180"/>
        <v>23.398150132720541</v>
      </c>
      <c r="BN67" s="260">
        <f t="shared" si="180"/>
        <v>23.411695640845515</v>
      </c>
      <c r="BO67" s="260">
        <f t="shared" si="180"/>
        <v>23.425241148970489</v>
      </c>
      <c r="BP67" s="260">
        <f t="shared" si="180"/>
        <v>23.438786657095463</v>
      </c>
      <c r="BQ67" s="939">
        <f>'AEO Data'!$C$33*BB67</f>
        <v>23.45233216522044</v>
      </c>
      <c r="BR67" s="873">
        <f t="shared" si="181"/>
        <v>23.436540532228719</v>
      </c>
      <c r="BS67" s="260">
        <f t="shared" si="181"/>
        <v>23.420748899236997</v>
      </c>
      <c r="BT67" s="260">
        <f t="shared" si="181"/>
        <v>23.404957266245276</v>
      </c>
      <c r="BU67" s="260">
        <f t="shared" si="181"/>
        <v>23.389165633253555</v>
      </c>
      <c r="BV67" s="963">
        <f>'AEO Data'!$D$33*BQ67</f>
        <v>23.373374000261833</v>
      </c>
      <c r="BW67" s="1397">
        <f>+BV67*BW$140/BV$140</f>
        <v>23.380436490829396</v>
      </c>
      <c r="BX67" s="1397">
        <f t="shared" ref="BX67:CZ67" si="188">+BW67*BX$140/BW$140</f>
        <v>23.387501115396649</v>
      </c>
      <c r="BY67" s="1397">
        <f t="shared" si="188"/>
        <v>23.394567874608409</v>
      </c>
      <c r="BZ67" s="1397">
        <f t="shared" si="188"/>
        <v>23.401636769109679</v>
      </c>
      <c r="CA67" s="1397">
        <f t="shared" si="188"/>
        <v>23.408707799545656</v>
      </c>
      <c r="CB67" s="1397">
        <f t="shared" si="188"/>
        <v>23.406060454578945</v>
      </c>
      <c r="CC67" s="1397">
        <f t="shared" si="188"/>
        <v>23.403413409006607</v>
      </c>
      <c r="CD67" s="1397">
        <f t="shared" si="188"/>
        <v>23.40076666279478</v>
      </c>
      <c r="CE67" s="1397">
        <f t="shared" si="188"/>
        <v>23.398120215909611</v>
      </c>
      <c r="CF67" s="1397">
        <f t="shared" si="188"/>
        <v>23.395474068317245</v>
      </c>
      <c r="CG67" s="1397">
        <f t="shared" si="188"/>
        <v>23.384861674186023</v>
      </c>
      <c r="CH67" s="1397">
        <f t="shared" si="188"/>
        <v>23.374254093930716</v>
      </c>
      <c r="CI67" s="1397">
        <f t="shared" si="188"/>
        <v>23.363651325367709</v>
      </c>
      <c r="CJ67" s="1397">
        <f t="shared" si="188"/>
        <v>23.353053366314384</v>
      </c>
      <c r="CK67" s="1397">
        <f t="shared" si="188"/>
        <v>23.342460214589092</v>
      </c>
      <c r="CL67" s="1397">
        <f t="shared" si="188"/>
        <v>23.329464593323419</v>
      </c>
      <c r="CM67" s="1397">
        <f t="shared" si="188"/>
        <v>23.316476207206502</v>
      </c>
      <c r="CN67" s="1397">
        <f t="shared" si="188"/>
        <v>23.303495052210266</v>
      </c>
      <c r="CO67" s="1397">
        <f t="shared" si="188"/>
        <v>23.290521124308881</v>
      </c>
      <c r="CP67" s="1397">
        <f t="shared" si="188"/>
        <v>23.277554419478744</v>
      </c>
      <c r="CQ67" s="1397">
        <f t="shared" si="188"/>
        <v>23.259789388655847</v>
      </c>
      <c r="CR67" s="1397">
        <f t="shared" si="188"/>
        <v>23.242037915800186</v>
      </c>
      <c r="CS67" s="1397">
        <f t="shared" si="188"/>
        <v>23.224299990564553</v>
      </c>
      <c r="CT67" s="1397">
        <f t="shared" si="188"/>
        <v>23.206575602609636</v>
      </c>
      <c r="CU67" s="1397">
        <f t="shared" si="188"/>
        <v>23.188864741604011</v>
      </c>
      <c r="CV67" s="1397">
        <f t="shared" si="188"/>
        <v>23.17221317404951</v>
      </c>
      <c r="CW67" s="1397">
        <f t="shared" si="188"/>
        <v>23.155573563729877</v>
      </c>
      <c r="CX67" s="1397">
        <f t="shared" si="188"/>
        <v>23.138945902058804</v>
      </c>
      <c r="CY67" s="1397">
        <f t="shared" si="188"/>
        <v>23.122330180456149</v>
      </c>
      <c r="CZ67" s="1397">
        <f t="shared" si="188"/>
        <v>23.105726390347936</v>
      </c>
    </row>
    <row r="68" spans="1:104" ht="13.5" thickBot="1" x14ac:dyDescent="0.35">
      <c r="A68" s="879" t="str">
        <f>'HyARC Physical Property Data'!A78</f>
        <v>Residential Electricity</v>
      </c>
      <c r="B68" s="880">
        <v>2011</v>
      </c>
      <c r="C68" s="881">
        <f t="shared" si="165"/>
        <v>1.0784554773635862</v>
      </c>
      <c r="D68" s="1248" t="str">
        <f>'HyARC Physical Property Data'!$H$78</f>
        <v>kWh</v>
      </c>
      <c r="E68" s="881" t="s">
        <v>1071</v>
      </c>
      <c r="F68" s="886"/>
      <c r="G68" s="569"/>
      <c r="H68" s="1072">
        <v>29.433773538887177</v>
      </c>
      <c r="I68" s="1072">
        <v>29.433773538887177</v>
      </c>
      <c r="J68" s="1072">
        <v>29.433773538887177</v>
      </c>
      <c r="K68" s="1072">
        <v>29.415861064534436</v>
      </c>
      <c r="L68" s="1072">
        <v>30.500905105766051</v>
      </c>
      <c r="M68" s="1072">
        <v>30.574559070308627</v>
      </c>
      <c r="N68" s="569">
        <f t="shared" si="186"/>
        <v>37.231327558403592</v>
      </c>
      <c r="O68" s="569">
        <f t="shared" si="183"/>
        <v>37.029713542276902</v>
      </c>
      <c r="P68" s="569">
        <f t="shared" si="183"/>
        <v>35.904219072357151</v>
      </c>
      <c r="Q68" s="569">
        <f t="shared" si="183"/>
        <v>35.115964100941852</v>
      </c>
      <c r="R68" s="569">
        <f t="shared" si="183"/>
        <v>35.969434353528804</v>
      </c>
      <c r="S68" s="569">
        <f t="shared" si="183"/>
        <v>36.116413815172251</v>
      </c>
      <c r="T68" s="569">
        <f t="shared" si="183"/>
        <v>36.717853336521245</v>
      </c>
      <c r="U68" s="569">
        <f t="shared" si="183"/>
        <v>37.019523216471292</v>
      </c>
      <c r="V68" s="569">
        <f t="shared" si="183"/>
        <v>36.994572070547008</v>
      </c>
      <c r="W68" s="569">
        <f t="shared" si="183"/>
        <v>36.749885621109897</v>
      </c>
      <c r="X68" s="569">
        <f t="shared" si="183"/>
        <v>36.78085131323143</v>
      </c>
      <c r="Y68" s="569">
        <f t="shared" si="183"/>
        <v>36.866643524911183</v>
      </c>
      <c r="Z68" s="569">
        <f t="shared" si="183"/>
        <v>36.980382831831335</v>
      </c>
      <c r="AA68" s="569">
        <f t="shared" si="183"/>
        <v>37.011953537475684</v>
      </c>
      <c r="AB68" s="569">
        <f t="shared" si="183"/>
        <v>37.116621955375727</v>
      </c>
      <c r="AC68" s="569">
        <f t="shared" si="183"/>
        <v>37.450882759851702</v>
      </c>
      <c r="AD68" s="569">
        <f t="shared" si="183"/>
        <v>37.642585770141416</v>
      </c>
      <c r="AE68" s="569">
        <f t="shared" si="183"/>
        <v>37.813937247117813</v>
      </c>
      <c r="AF68" s="569">
        <f t="shared" si="183"/>
        <v>37.937612364350912</v>
      </c>
      <c r="AG68" s="569">
        <f t="shared" si="183"/>
        <v>38.109761898380555</v>
      </c>
      <c r="AH68" s="569">
        <f t="shared" si="183"/>
        <v>38.292401568838507</v>
      </c>
      <c r="AI68" s="569">
        <f t="shared" si="183"/>
        <v>38.52845390372385</v>
      </c>
      <c r="AJ68" s="569">
        <f t="shared" si="183"/>
        <v>38.699570277406174</v>
      </c>
      <c r="AK68" s="569">
        <f t="shared" si="183"/>
        <v>38.991412192591014</v>
      </c>
      <c r="AL68" s="569">
        <f t="shared" si="183"/>
        <v>39.480914506122524</v>
      </c>
      <c r="AM68" s="569">
        <f t="shared" si="183"/>
        <v>39.991294639240323</v>
      </c>
      <c r="AN68" s="569">
        <f t="shared" si="183"/>
        <v>40.444338686904082</v>
      </c>
      <c r="AO68" s="569">
        <f t="shared" si="183"/>
        <v>40.811228161847694</v>
      </c>
      <c r="AP68" s="569">
        <f t="shared" si="183"/>
        <v>41.155489483965269</v>
      </c>
      <c r="AQ68" s="569">
        <f t="shared" si="183"/>
        <v>41.648278929791786</v>
      </c>
      <c r="AR68" s="569">
        <f t="shared" si="183"/>
        <v>41.89880413718334</v>
      </c>
      <c r="AS68" s="880">
        <f t="shared" ref="AS68:BA68" si="189">($BB68-$AR68)/10+AR68</f>
        <v>41.608361021177913</v>
      </c>
      <c r="AT68" s="880">
        <f t="shared" si="189"/>
        <v>41.317917905172486</v>
      </c>
      <c r="AU68" s="880">
        <f t="shared" si="189"/>
        <v>41.027474789167059</v>
      </c>
      <c r="AV68" s="880">
        <f t="shared" si="189"/>
        <v>40.737031673161631</v>
      </c>
      <c r="AW68" s="880">
        <f t="shared" si="189"/>
        <v>40.446588557156204</v>
      </c>
      <c r="AX68" s="880">
        <f t="shared" si="189"/>
        <v>40.156145441150777</v>
      </c>
      <c r="AY68" s="880">
        <f t="shared" si="189"/>
        <v>39.86570232514535</v>
      </c>
      <c r="AZ68" s="880">
        <f t="shared" si="189"/>
        <v>39.575259209139922</v>
      </c>
      <c r="BA68" s="880">
        <f t="shared" si="189"/>
        <v>39.284816093134495</v>
      </c>
      <c r="BB68" s="968">
        <f>'AEO Data'!$B$33*AM68</f>
        <v>38.994372977129068</v>
      </c>
      <c r="BC68" s="880">
        <f>($BQ68-$BB68)/15+BB68</f>
        <v>39.017092027346592</v>
      </c>
      <c r="BD68" s="880">
        <f t="shared" si="180"/>
        <v>39.039811077564117</v>
      </c>
      <c r="BE68" s="880">
        <f t="shared" si="180"/>
        <v>39.062530127781642</v>
      </c>
      <c r="BF68" s="880">
        <f t="shared" si="180"/>
        <v>39.085249177999167</v>
      </c>
      <c r="BG68" s="880">
        <f t="shared" si="180"/>
        <v>39.107968228216691</v>
      </c>
      <c r="BH68" s="880">
        <f t="shared" si="180"/>
        <v>39.130687278434216</v>
      </c>
      <c r="BI68" s="880">
        <f t="shared" si="180"/>
        <v>39.153406328651741</v>
      </c>
      <c r="BJ68" s="880">
        <f t="shared" si="180"/>
        <v>39.176125378869266</v>
      </c>
      <c r="BK68" s="880">
        <f t="shared" si="180"/>
        <v>39.19884442908679</v>
      </c>
      <c r="BL68" s="880">
        <f t="shared" si="180"/>
        <v>39.221563479304315</v>
      </c>
      <c r="BM68" s="880">
        <f t="shared" si="180"/>
        <v>39.24428252952184</v>
      </c>
      <c r="BN68" s="880">
        <f t="shared" si="180"/>
        <v>39.267001579739365</v>
      </c>
      <c r="BO68" s="880">
        <f t="shared" si="180"/>
        <v>39.289720629956889</v>
      </c>
      <c r="BP68" s="880">
        <f t="shared" si="180"/>
        <v>39.312439680174414</v>
      </c>
      <c r="BQ68" s="968">
        <f>'AEO Data'!$C$33*BB68</f>
        <v>39.335158730391903</v>
      </c>
      <c r="BR68" s="976">
        <f t="shared" si="181"/>
        <v>39.30867239265946</v>
      </c>
      <c r="BS68" s="880">
        <f t="shared" si="181"/>
        <v>39.282186054927017</v>
      </c>
      <c r="BT68" s="880">
        <f t="shared" si="181"/>
        <v>39.255699717194574</v>
      </c>
      <c r="BU68" s="880">
        <f t="shared" si="181"/>
        <v>39.229213379462131</v>
      </c>
      <c r="BV68" s="969">
        <f>'AEO Data'!$D$33*BQ68</f>
        <v>39.202727041729688</v>
      </c>
      <c r="BW68" s="1397">
        <f>+BV68*BW$141/BV$141</f>
        <v>39.185465933196419</v>
      </c>
      <c r="BX68" s="1397">
        <f t="shared" ref="BX68:CZ68" si="190">+BW68*BX$141/BW$141</f>
        <v>39.168212424794326</v>
      </c>
      <c r="BY68" s="1397">
        <f t="shared" si="190"/>
        <v>39.150966513177039</v>
      </c>
      <c r="BZ68" s="1397">
        <f t="shared" si="190"/>
        <v>39.133728194999662</v>
      </c>
      <c r="CA68" s="1397">
        <f t="shared" si="190"/>
        <v>39.11649746691878</v>
      </c>
      <c r="CB68" s="1397">
        <f t="shared" si="190"/>
        <v>39.085165763313817</v>
      </c>
      <c r="CC68" s="1397">
        <f t="shared" si="190"/>
        <v>39.053859155914154</v>
      </c>
      <c r="CD68" s="1397">
        <f t="shared" si="190"/>
        <v>39.022577624618116</v>
      </c>
      <c r="CE68" s="1397">
        <f t="shared" si="190"/>
        <v>38.991321149340131</v>
      </c>
      <c r="CF68" s="1397">
        <f t="shared" si="190"/>
        <v>38.960089710010728</v>
      </c>
      <c r="CG68" s="1397">
        <f t="shared" si="190"/>
        <v>38.917066652108652</v>
      </c>
      <c r="CH68" s="1397">
        <f t="shared" si="190"/>
        <v>38.874091103940906</v>
      </c>
      <c r="CI68" s="1397">
        <f t="shared" si="190"/>
        <v>38.831163013043174</v>
      </c>
      <c r="CJ68" s="1397">
        <f t="shared" si="190"/>
        <v>38.788282327009078</v>
      </c>
      <c r="CK68" s="1397">
        <f t="shared" si="190"/>
        <v>38.745448993490129</v>
      </c>
      <c r="CL68" s="1397">
        <f t="shared" si="190"/>
        <v>38.698750191886909</v>
      </c>
      <c r="CM68" s="1397">
        <f t="shared" si="190"/>
        <v>38.652107675037847</v>
      </c>
      <c r="CN68" s="1397">
        <f t="shared" si="190"/>
        <v>38.605521375104502</v>
      </c>
      <c r="CO68" s="1397">
        <f t="shared" si="190"/>
        <v>38.558991224330207</v>
      </c>
      <c r="CP68" s="1397">
        <f t="shared" si="190"/>
        <v>38.512517155039959</v>
      </c>
      <c r="CQ68" s="1397">
        <f t="shared" si="190"/>
        <v>38.45868804732946</v>
      </c>
      <c r="CR68" s="1397">
        <f t="shared" si="190"/>
        <v>38.404934176789915</v>
      </c>
      <c r="CS68" s="1397">
        <f t="shared" si="190"/>
        <v>38.351255438262001</v>
      </c>
      <c r="CT68" s="1397">
        <f t="shared" si="190"/>
        <v>38.297651726733392</v>
      </c>
      <c r="CU68" s="1397">
        <f t="shared" si="190"/>
        <v>38.244122937338538</v>
      </c>
      <c r="CV68" s="1397">
        <f t="shared" si="190"/>
        <v>38.191869309081618</v>
      </c>
      <c r="CW68" s="1397">
        <f t="shared" si="190"/>
        <v>38.139687075890301</v>
      </c>
      <c r="CX68" s="1397">
        <f t="shared" si="190"/>
        <v>38.087576140216228</v>
      </c>
      <c r="CY68" s="1397">
        <f t="shared" si="190"/>
        <v>38.03553640464434</v>
      </c>
      <c r="CZ68" s="1397">
        <f t="shared" si="190"/>
        <v>37.983567771892652</v>
      </c>
    </row>
    <row r="69" spans="1:104" ht="13" thickTop="1" x14ac:dyDescent="0.25">
      <c r="D69" s="1095"/>
    </row>
    <row r="70" spans="1:104" ht="13" thickBot="1" x14ac:dyDescent="0.3">
      <c r="D70" s="1095"/>
      <c r="E70" s="975"/>
    </row>
    <row r="71" spans="1:104" s="1052" customFormat="1" ht="13" x14ac:dyDescent="0.3">
      <c r="A71" s="1048" t="s">
        <v>1112</v>
      </c>
      <c r="B71" s="1049"/>
      <c r="C71" s="1050"/>
      <c r="D71" s="1251"/>
      <c r="E71" s="1050"/>
      <c r="F71" s="1049"/>
      <c r="G71" s="1049"/>
      <c r="H71" s="1049"/>
      <c r="I71" s="1049"/>
      <c r="J71" s="1049"/>
      <c r="K71" s="1049"/>
      <c r="L71" s="1049"/>
      <c r="M71" s="1049"/>
      <c r="N71" s="1049"/>
      <c r="O71" s="1049"/>
      <c r="P71" s="1049"/>
      <c r="Q71" s="1049"/>
      <c r="R71" s="1049"/>
      <c r="S71" s="1049"/>
      <c r="T71" s="1049"/>
      <c r="U71" s="1049"/>
      <c r="V71" s="1049"/>
      <c r="W71" s="1049"/>
      <c r="X71" s="1049"/>
      <c r="Y71" s="1049"/>
      <c r="Z71" s="1049"/>
      <c r="AA71" s="1049"/>
      <c r="AB71" s="1049"/>
      <c r="AC71" s="1049"/>
      <c r="AD71" s="1049"/>
      <c r="AE71" s="1049"/>
      <c r="AF71" s="1049"/>
      <c r="AG71" s="1049"/>
      <c r="AH71" s="1049"/>
      <c r="AI71" s="1049"/>
      <c r="AJ71" s="1049"/>
      <c r="AK71" s="1049"/>
      <c r="AL71" s="1049"/>
      <c r="AM71" s="1049"/>
      <c r="AN71" s="1049"/>
      <c r="AO71" s="1049"/>
      <c r="AP71" s="1049"/>
      <c r="AQ71" s="1049"/>
      <c r="AR71" s="1049"/>
      <c r="AS71" s="1049"/>
      <c r="AT71" s="1049"/>
      <c r="AU71" s="1049"/>
      <c r="AV71" s="1049"/>
      <c r="AW71" s="1049"/>
      <c r="AX71" s="1049"/>
      <c r="AY71" s="1049"/>
      <c r="AZ71" s="1049"/>
      <c r="BA71" s="1049"/>
      <c r="BB71" s="1049"/>
      <c r="BC71" s="1049"/>
      <c r="BD71" s="1049"/>
      <c r="BE71" s="1049"/>
      <c r="BF71" s="1049"/>
      <c r="BG71" s="1049"/>
      <c r="BH71" s="1049"/>
      <c r="BI71" s="1049"/>
      <c r="BJ71" s="1049"/>
      <c r="BK71" s="1049"/>
      <c r="BL71" s="1049"/>
      <c r="BM71" s="1049"/>
      <c r="BN71" s="1049"/>
      <c r="BO71" s="1049"/>
      <c r="BP71" s="1049"/>
      <c r="BQ71" s="1049"/>
      <c r="BR71" s="1049"/>
      <c r="BS71" s="1049"/>
      <c r="BT71" s="1049"/>
      <c r="BU71" s="1049"/>
      <c r="BV71" s="1051"/>
    </row>
    <row r="72" spans="1:104" s="1052" customFormat="1" ht="13" x14ac:dyDescent="0.3">
      <c r="A72" s="1053" t="s">
        <v>1109</v>
      </c>
      <c r="B72" s="1054"/>
      <c r="C72" s="1055"/>
      <c r="D72" s="1252"/>
      <c r="E72" s="1055"/>
      <c r="F72" s="1054"/>
      <c r="G72" s="1054"/>
      <c r="H72" s="1054"/>
      <c r="I72" s="1054"/>
      <c r="J72" s="1054"/>
      <c r="K72" s="1054"/>
      <c r="L72" s="1054"/>
      <c r="M72" s="1054"/>
      <c r="N72" s="1054"/>
      <c r="O72" s="1054"/>
      <c r="P72" s="1054"/>
      <c r="Q72" s="1054"/>
      <c r="R72" s="1054"/>
      <c r="S72" s="1054"/>
      <c r="T72" s="1054"/>
      <c r="U72" s="1054"/>
      <c r="V72" s="1054"/>
      <c r="W72" s="1054"/>
      <c r="X72" s="1054"/>
      <c r="Y72" s="1054"/>
      <c r="Z72" s="1054"/>
      <c r="AA72" s="1054"/>
      <c r="AB72" s="1054"/>
      <c r="AC72" s="1054"/>
      <c r="AD72" s="1054"/>
      <c r="AE72" s="1054"/>
      <c r="AF72" s="1054"/>
      <c r="AG72" s="1054"/>
      <c r="AH72" s="1054"/>
      <c r="AI72" s="1054"/>
      <c r="AJ72" s="1054"/>
      <c r="AK72" s="1054"/>
      <c r="AL72" s="1054"/>
      <c r="AM72" s="1054"/>
      <c r="AN72" s="1054"/>
      <c r="AO72" s="1054"/>
      <c r="AP72" s="1054"/>
      <c r="AQ72" s="1054"/>
      <c r="AR72" s="1054"/>
      <c r="AS72" s="1054"/>
      <c r="AT72" s="1054"/>
      <c r="AU72" s="1054"/>
      <c r="AV72" s="1054"/>
      <c r="AW72" s="1054"/>
      <c r="AX72" s="1054"/>
      <c r="AY72" s="1054"/>
      <c r="AZ72" s="1054"/>
      <c r="BA72" s="1054"/>
      <c r="BB72" s="1054"/>
      <c r="BC72" s="1054"/>
      <c r="BD72" s="1054"/>
      <c r="BE72" s="1054"/>
      <c r="BF72" s="1054"/>
      <c r="BG72" s="1054"/>
      <c r="BH72" s="1054"/>
      <c r="BI72" s="1054"/>
      <c r="BJ72" s="1054"/>
      <c r="BK72" s="1054"/>
      <c r="BL72" s="1054"/>
      <c r="BM72" s="1054"/>
      <c r="BN72" s="1054"/>
      <c r="BO72" s="1054"/>
      <c r="BP72" s="1054"/>
      <c r="BQ72" s="1054"/>
      <c r="BR72" s="1054"/>
      <c r="BS72" s="1054"/>
      <c r="BT72" s="1054"/>
      <c r="BU72" s="1054"/>
      <c r="BV72" s="1056"/>
    </row>
    <row r="73" spans="1:104" s="1052" customFormat="1" x14ac:dyDescent="0.25">
      <c r="A73" s="1057"/>
      <c r="B73" s="1054"/>
      <c r="C73" s="1055"/>
      <c r="D73" s="1252"/>
      <c r="E73" s="1073"/>
      <c r="F73" s="1054"/>
      <c r="G73" s="1054"/>
      <c r="H73" s="1054"/>
      <c r="I73" s="1054"/>
      <c r="J73" s="1054"/>
      <c r="K73" s="1054"/>
      <c r="L73" s="1054"/>
      <c r="M73" s="1054"/>
      <c r="N73" s="1054"/>
      <c r="O73" s="1054"/>
      <c r="P73" s="1054"/>
      <c r="Q73" s="1054"/>
      <c r="R73" s="1054"/>
      <c r="S73" s="1054"/>
      <c r="T73" s="1054"/>
      <c r="U73" s="1054"/>
      <c r="V73" s="1054"/>
      <c r="W73" s="1054"/>
      <c r="X73" s="1054"/>
      <c r="Y73" s="1054"/>
      <c r="Z73" s="1054"/>
      <c r="AA73" s="1054"/>
      <c r="AB73" s="1054"/>
      <c r="AC73" s="1054"/>
      <c r="AD73" s="1054"/>
      <c r="AE73" s="1054"/>
      <c r="AF73" s="1054"/>
      <c r="AG73" s="1054"/>
      <c r="AH73" s="1054"/>
      <c r="AI73" s="1054"/>
      <c r="AJ73" s="1054"/>
      <c r="AK73" s="1054"/>
      <c r="AL73" s="1054"/>
      <c r="AM73" s="1054"/>
      <c r="AN73" s="1054"/>
      <c r="AO73" s="1054"/>
      <c r="AP73" s="1054"/>
      <c r="AQ73" s="1054"/>
      <c r="AR73" s="1054"/>
      <c r="AS73" s="1054"/>
      <c r="AT73" s="1054"/>
      <c r="AU73" s="1054"/>
      <c r="AV73" s="1054"/>
      <c r="AW73" s="1054"/>
      <c r="AX73" s="1054"/>
      <c r="AY73" s="1054"/>
      <c r="AZ73" s="1054"/>
      <c r="BA73" s="1054"/>
      <c r="BB73" s="1054"/>
      <c r="BC73" s="1054"/>
      <c r="BD73" s="1054"/>
      <c r="BE73" s="1054"/>
      <c r="BF73" s="1054"/>
      <c r="BG73" s="1054"/>
      <c r="BH73" s="1054"/>
      <c r="BI73" s="1054"/>
      <c r="BJ73" s="1054"/>
      <c r="BK73" s="1054"/>
      <c r="BL73" s="1054"/>
      <c r="BM73" s="1054"/>
      <c r="BN73" s="1054"/>
      <c r="BO73" s="1054"/>
      <c r="BP73" s="1054"/>
      <c r="BQ73" s="1054"/>
      <c r="BR73" s="1054"/>
      <c r="BS73" s="1054"/>
      <c r="BT73" s="1054"/>
      <c r="BU73" s="1054"/>
      <c r="BV73" s="1056"/>
    </row>
    <row r="74" spans="1:104" s="1052" customFormat="1" x14ac:dyDescent="0.25">
      <c r="A74" s="1057" t="s">
        <v>681</v>
      </c>
      <c r="B74" s="1054"/>
      <c r="C74" s="1055"/>
      <c r="D74" s="1252"/>
      <c r="E74" s="1055"/>
      <c r="F74" s="1054"/>
      <c r="G74" s="1054"/>
      <c r="H74" s="1054"/>
      <c r="I74" s="1054"/>
      <c r="J74" s="1054"/>
      <c r="K74" s="1054"/>
      <c r="L74" s="1054"/>
      <c r="M74" s="1054"/>
      <c r="N74" s="1058">
        <v>11.359373</v>
      </c>
      <c r="O74" s="1058">
        <v>10.802343</v>
      </c>
      <c r="P74" s="1058">
        <v>10.473763999999999</v>
      </c>
      <c r="Q74" s="1058">
        <v>10.501935</v>
      </c>
      <c r="R74" s="1058">
        <v>10.334021999999999</v>
      </c>
      <c r="S74" s="1058">
        <v>10.229792</v>
      </c>
      <c r="T74" s="1058">
        <v>10.748874000000001</v>
      </c>
      <c r="U74" s="1058">
        <v>11.092333999999999</v>
      </c>
      <c r="V74" s="1058">
        <v>11.515472000000001</v>
      </c>
      <c r="W74" s="1058">
        <v>11.774895000000001</v>
      </c>
      <c r="X74" s="1058">
        <v>11.996413</v>
      </c>
      <c r="Y74" s="1058">
        <v>12.209519999999999</v>
      </c>
      <c r="Z74" s="1058">
        <v>12.479982</v>
      </c>
      <c r="AA74" s="1058">
        <v>12.729352</v>
      </c>
      <c r="AB74" s="1058">
        <v>12.853237999999999</v>
      </c>
      <c r="AC74" s="1058">
        <v>13.018173000000001</v>
      </c>
      <c r="AD74" s="1058">
        <v>13.212711000000001</v>
      </c>
      <c r="AE74" s="1058">
        <v>13.366512</v>
      </c>
      <c r="AF74" s="1058">
        <v>13.603230999999999</v>
      </c>
      <c r="AG74" s="1058">
        <v>13.784504</v>
      </c>
      <c r="AH74" s="1058">
        <v>13.991047</v>
      </c>
      <c r="AI74" s="1058">
        <v>14.231726</v>
      </c>
      <c r="AJ74" s="1058">
        <v>14.577776</v>
      </c>
      <c r="AK74" s="1058">
        <v>14.956607999999999</v>
      </c>
      <c r="AL74" s="1058">
        <v>15.347963</v>
      </c>
      <c r="AM74" s="1058">
        <v>15.708157999999999</v>
      </c>
      <c r="AN74" s="1058">
        <v>16.169785000000001</v>
      </c>
      <c r="AO74" s="1058">
        <v>16.471478000000001</v>
      </c>
      <c r="AP74" s="1058">
        <v>16.949921</v>
      </c>
      <c r="AQ74" s="1058">
        <v>17.380462999999999</v>
      </c>
      <c r="AR74" s="1058">
        <v>17.673891000000001</v>
      </c>
      <c r="AS74" s="1054"/>
      <c r="AT74" s="1054"/>
      <c r="AU74" s="1054"/>
      <c r="AV74" s="1054"/>
      <c r="AW74" s="1054"/>
      <c r="AX74" s="1054"/>
      <c r="AY74" s="1054"/>
      <c r="AZ74" s="1054"/>
      <c r="BA74" s="1054"/>
      <c r="BB74" s="1054"/>
      <c r="BC74" s="1054"/>
      <c r="BD74" s="1054"/>
      <c r="BE74" s="1054"/>
      <c r="BF74" s="1054"/>
      <c r="BG74" s="1054"/>
      <c r="BH74" s="1054"/>
      <c r="BI74" s="1054"/>
      <c r="BJ74" s="1054"/>
      <c r="BK74" s="1054"/>
      <c r="BL74" s="1054"/>
      <c r="BM74" s="1054"/>
      <c r="BN74" s="1054"/>
      <c r="BO74" s="1054"/>
      <c r="BP74" s="1054"/>
      <c r="BQ74" s="1054"/>
      <c r="BR74" s="1054"/>
      <c r="BS74" s="1054"/>
      <c r="BT74" s="1054"/>
      <c r="BU74" s="1054"/>
      <c r="BV74" s="1056"/>
    </row>
    <row r="75" spans="1:104" s="1052" customFormat="1" x14ac:dyDescent="0.25">
      <c r="A75" s="1057" t="s">
        <v>1085</v>
      </c>
      <c r="B75" s="1054"/>
      <c r="C75" s="1055"/>
      <c r="D75" s="1252"/>
      <c r="E75" s="1055"/>
      <c r="F75" s="1054"/>
      <c r="G75" s="1054"/>
      <c r="H75" s="1054"/>
      <c r="I75" s="1054"/>
      <c r="J75" s="1054"/>
      <c r="K75" s="1054"/>
      <c r="L75" s="1054"/>
      <c r="M75" s="1054"/>
      <c r="N75" s="1058">
        <v>9.3969749999999994</v>
      </c>
      <c r="O75" s="1058">
        <v>8.8368559999999992</v>
      </c>
      <c r="P75" s="1058">
        <v>8.081448</v>
      </c>
      <c r="Q75" s="1058">
        <v>8.4844790000000003</v>
      </c>
      <c r="R75" s="1058">
        <v>8.3155520000000003</v>
      </c>
      <c r="S75" s="1058">
        <v>8.1773039999999995</v>
      </c>
      <c r="T75" s="1058">
        <v>8.6431299999999993</v>
      </c>
      <c r="U75" s="1058">
        <v>8.9205120000000004</v>
      </c>
      <c r="V75" s="1058">
        <v>9.2811249999999994</v>
      </c>
      <c r="W75" s="1058">
        <v>9.4920469999999995</v>
      </c>
      <c r="X75" s="1058">
        <v>9.6757190000000008</v>
      </c>
      <c r="Y75" s="1058">
        <v>9.8498520000000003</v>
      </c>
      <c r="Z75" s="1058">
        <v>10.083444999999999</v>
      </c>
      <c r="AA75" s="1058">
        <v>10.292596</v>
      </c>
      <c r="AB75" s="1058">
        <v>10.386177</v>
      </c>
      <c r="AC75" s="1058">
        <v>10.522978999999999</v>
      </c>
      <c r="AD75" s="1058">
        <v>10.688981999999999</v>
      </c>
      <c r="AE75" s="1058">
        <v>10.803459999999999</v>
      </c>
      <c r="AF75" s="1058">
        <v>10.994071</v>
      </c>
      <c r="AG75" s="1058">
        <v>11.132752999999999</v>
      </c>
      <c r="AH75" s="1058">
        <v>11.290343</v>
      </c>
      <c r="AI75" s="1058">
        <v>11.483471</v>
      </c>
      <c r="AJ75" s="1058">
        <v>11.774739</v>
      </c>
      <c r="AK75" s="1058">
        <v>12.104623999999999</v>
      </c>
      <c r="AL75" s="1058">
        <v>12.443429</v>
      </c>
      <c r="AM75" s="1058">
        <v>12.746489</v>
      </c>
      <c r="AN75" s="1058">
        <v>13.159888</v>
      </c>
      <c r="AO75" s="1058">
        <v>13.417020000000001</v>
      </c>
      <c r="AP75" s="1058">
        <v>13.853782000000001</v>
      </c>
      <c r="AQ75" s="1058">
        <v>14.239846</v>
      </c>
      <c r="AR75" s="1058">
        <v>14.480893</v>
      </c>
      <c r="AS75" s="1054"/>
      <c r="AT75" s="1054"/>
      <c r="AU75" s="1054"/>
      <c r="AV75" s="1054"/>
      <c r="AW75" s="1054"/>
      <c r="AX75" s="1054"/>
      <c r="AY75" s="1054"/>
      <c r="AZ75" s="1054"/>
      <c r="BA75" s="1054"/>
      <c r="BB75" s="1054"/>
      <c r="BC75" s="1054"/>
      <c r="BD75" s="1054"/>
      <c r="BE75" s="1054"/>
      <c r="BF75" s="1054"/>
      <c r="BG75" s="1054"/>
      <c r="BH75" s="1054"/>
      <c r="BI75" s="1054"/>
      <c r="BJ75" s="1054"/>
      <c r="BK75" s="1054"/>
      <c r="BL75" s="1054"/>
      <c r="BM75" s="1054"/>
      <c r="BN75" s="1054"/>
      <c r="BO75" s="1054"/>
      <c r="BP75" s="1054"/>
      <c r="BQ75" s="1054"/>
      <c r="BR75" s="1054"/>
      <c r="BS75" s="1054"/>
      <c r="BT75" s="1054"/>
      <c r="BU75" s="1054"/>
      <c r="BV75" s="1056"/>
    </row>
    <row r="76" spans="1:104" s="1052" customFormat="1" x14ac:dyDescent="0.25">
      <c r="A76" s="1057" t="s">
        <v>283</v>
      </c>
      <c r="B76" s="1054"/>
      <c r="C76" s="1055"/>
      <c r="D76" s="1252"/>
      <c r="E76" s="1055"/>
      <c r="F76" s="1054"/>
      <c r="G76" s="1054"/>
      <c r="H76" s="1054"/>
      <c r="I76" s="1054"/>
      <c r="J76" s="1054"/>
      <c r="K76" s="1054"/>
      <c r="L76" s="1054"/>
      <c r="M76" s="1054"/>
      <c r="N76" s="1058">
        <v>5.4839570000000002</v>
      </c>
      <c r="O76" s="1058">
        <v>4.8889880000000003</v>
      </c>
      <c r="P76" s="1058">
        <v>3.7668759999999999</v>
      </c>
      <c r="Q76" s="1058">
        <v>4.3500249999999996</v>
      </c>
      <c r="R76" s="1058">
        <v>4.4161510000000002</v>
      </c>
      <c r="S76" s="1058">
        <v>4.4533610000000001</v>
      </c>
      <c r="T76" s="1058">
        <v>4.916512</v>
      </c>
      <c r="U76" s="1058">
        <v>5.1321560000000002</v>
      </c>
      <c r="V76" s="1058">
        <v>5.3872429999999998</v>
      </c>
      <c r="W76" s="1058">
        <v>5.5533659999999996</v>
      </c>
      <c r="X76" s="1058">
        <v>5.6994189999999998</v>
      </c>
      <c r="Y76" s="1058">
        <v>5.84443</v>
      </c>
      <c r="Z76" s="1058">
        <v>6.055364</v>
      </c>
      <c r="AA76" s="1058">
        <v>6.2505249999999997</v>
      </c>
      <c r="AB76" s="1058">
        <v>6.3249610000000001</v>
      </c>
      <c r="AC76" s="1058">
        <v>6.4443630000000001</v>
      </c>
      <c r="AD76" s="1058">
        <v>6.5689469999999996</v>
      </c>
      <c r="AE76" s="1058">
        <v>6.6624569999999999</v>
      </c>
      <c r="AF76" s="1058">
        <v>6.8533949999999999</v>
      </c>
      <c r="AG76" s="1058">
        <v>6.9821</v>
      </c>
      <c r="AH76" s="1058">
        <v>7.1203779999999997</v>
      </c>
      <c r="AI76" s="1058">
        <v>7.3037179999999999</v>
      </c>
      <c r="AJ76" s="1058">
        <v>7.5896039999999996</v>
      </c>
      <c r="AK76" s="1058">
        <v>7.9110909999999999</v>
      </c>
      <c r="AL76" s="1058">
        <v>8.2410040000000002</v>
      </c>
      <c r="AM76" s="1058">
        <v>8.5300290000000007</v>
      </c>
      <c r="AN76" s="1058">
        <v>8.90123</v>
      </c>
      <c r="AO76" s="1058">
        <v>9.1114479999999993</v>
      </c>
      <c r="AP76" s="1058">
        <v>9.4914550000000002</v>
      </c>
      <c r="AQ76" s="1058">
        <v>9.8126739999999995</v>
      </c>
      <c r="AR76" s="1058">
        <v>10.012231</v>
      </c>
      <c r="AS76" s="1054"/>
      <c r="AT76" s="1054"/>
      <c r="AU76" s="1054"/>
      <c r="AV76" s="1054"/>
      <c r="AW76" s="1054"/>
      <c r="AX76" s="1054"/>
      <c r="AY76" s="1054"/>
      <c r="AZ76" s="1054"/>
      <c r="BA76" s="1054"/>
      <c r="BB76" s="1054"/>
      <c r="BC76" s="1054"/>
      <c r="BD76" s="1054"/>
      <c r="BE76" s="1054"/>
      <c r="BF76" s="1054"/>
      <c r="BG76" s="1054"/>
      <c r="BH76" s="1054"/>
      <c r="BI76" s="1054"/>
      <c r="BJ76" s="1054"/>
      <c r="BK76" s="1054"/>
      <c r="BL76" s="1054"/>
      <c r="BM76" s="1054"/>
      <c r="BN76" s="1054"/>
      <c r="BO76" s="1054"/>
      <c r="BP76" s="1054"/>
      <c r="BQ76" s="1054"/>
      <c r="BR76" s="1054"/>
      <c r="BS76" s="1054"/>
      <c r="BT76" s="1054"/>
      <c r="BU76" s="1054"/>
      <c r="BV76" s="1056"/>
    </row>
    <row r="77" spans="1:104" s="1052" customFormat="1" x14ac:dyDescent="0.25">
      <c r="A77" s="1059" t="str">
        <f>'HyARC Physical Property Data'!$A$74</f>
        <v>Electric Utility Natural Gas</v>
      </c>
      <c r="B77" s="1054"/>
      <c r="C77" s="1055"/>
      <c r="D77" s="1252"/>
      <c r="E77" s="1055"/>
      <c r="F77" s="1054"/>
      <c r="G77" s="1054"/>
      <c r="H77" s="1054"/>
      <c r="I77" s="1054"/>
      <c r="J77" s="1054"/>
      <c r="K77" s="1054"/>
      <c r="L77" s="1054"/>
      <c r="M77" s="1054"/>
      <c r="N77" s="1058">
        <v>5.2581660000000001</v>
      </c>
      <c r="O77" s="1058">
        <v>4.7747140000000003</v>
      </c>
      <c r="P77" s="1058">
        <v>3.3280129999999999</v>
      </c>
      <c r="Q77" s="1058">
        <v>3.7262059999999999</v>
      </c>
      <c r="R77" s="1058">
        <v>3.8342619999999998</v>
      </c>
      <c r="S77" s="1058">
        <v>3.9162499999999998</v>
      </c>
      <c r="T77" s="1058">
        <v>4.3469340000000001</v>
      </c>
      <c r="U77" s="1058">
        <v>4.5235139999999996</v>
      </c>
      <c r="V77" s="1058">
        <v>4.7720750000000001</v>
      </c>
      <c r="W77" s="1058">
        <v>4.9304030000000001</v>
      </c>
      <c r="X77" s="1058">
        <v>5.0667330000000002</v>
      </c>
      <c r="Y77" s="1058">
        <v>5.2030240000000001</v>
      </c>
      <c r="Z77" s="1058">
        <v>5.4141339999999998</v>
      </c>
      <c r="AA77" s="1058">
        <v>5.6120320000000001</v>
      </c>
      <c r="AB77" s="1058">
        <v>5.7180549999999997</v>
      </c>
      <c r="AC77" s="1058">
        <v>5.8497880000000002</v>
      </c>
      <c r="AD77" s="1058">
        <v>5.9964360000000001</v>
      </c>
      <c r="AE77" s="1058">
        <v>6.1136410000000003</v>
      </c>
      <c r="AF77" s="1058">
        <v>6.2808900000000003</v>
      </c>
      <c r="AG77" s="1058">
        <v>6.4099190000000004</v>
      </c>
      <c r="AH77" s="1058">
        <v>6.5488220000000004</v>
      </c>
      <c r="AI77" s="1058">
        <v>6.7307620000000004</v>
      </c>
      <c r="AJ77" s="1058">
        <v>7.0166529999999998</v>
      </c>
      <c r="AK77" s="1058">
        <v>7.3227570000000002</v>
      </c>
      <c r="AL77" s="1058">
        <v>7.6342280000000002</v>
      </c>
      <c r="AM77" s="1058">
        <v>7.902755</v>
      </c>
      <c r="AN77" s="1058">
        <v>8.2651950000000003</v>
      </c>
      <c r="AO77" s="1058">
        <v>8.4774010000000004</v>
      </c>
      <c r="AP77" s="1058">
        <v>8.8551400000000005</v>
      </c>
      <c r="AQ77" s="1058">
        <v>9.1715459999999993</v>
      </c>
      <c r="AR77" s="1058">
        <v>9.3359030000000001</v>
      </c>
      <c r="AS77" s="1054"/>
      <c r="AT77" s="1054"/>
      <c r="AU77" s="1054"/>
      <c r="AV77" s="1054"/>
      <c r="AW77" s="1054"/>
      <c r="AX77" s="1054"/>
      <c r="AY77" s="1054"/>
      <c r="AZ77" s="1054"/>
      <c r="BA77" s="1054"/>
      <c r="BB77" s="1054"/>
      <c r="BC77" s="1054"/>
      <c r="BD77" s="1054"/>
      <c r="BE77" s="1054"/>
      <c r="BF77" s="1054"/>
      <c r="BG77" s="1054"/>
      <c r="BH77" s="1054"/>
      <c r="BI77" s="1054"/>
      <c r="BJ77" s="1054"/>
      <c r="BK77" s="1054"/>
      <c r="BL77" s="1054"/>
      <c r="BM77" s="1054"/>
      <c r="BN77" s="1054"/>
      <c r="BO77" s="1054"/>
      <c r="BP77" s="1054"/>
      <c r="BQ77" s="1054"/>
      <c r="BR77" s="1054"/>
      <c r="BS77" s="1054"/>
      <c r="BT77" s="1054"/>
      <c r="BU77" s="1054"/>
      <c r="BV77" s="1056"/>
    </row>
    <row r="78" spans="1:104" s="1052" customFormat="1" x14ac:dyDescent="0.25">
      <c r="A78" s="1059" t="s">
        <v>1081</v>
      </c>
      <c r="B78" s="1054"/>
      <c r="C78" s="1055"/>
      <c r="D78" s="1252"/>
      <c r="E78" s="1055"/>
      <c r="F78" s="1054"/>
      <c r="G78" s="1054"/>
      <c r="H78" s="1054"/>
      <c r="I78" s="1054"/>
      <c r="J78" s="1054"/>
      <c r="K78" s="1054"/>
      <c r="L78" s="1054"/>
      <c r="M78" s="1054"/>
      <c r="N78" s="1058"/>
      <c r="O78" s="1058"/>
      <c r="P78" s="1058"/>
      <c r="Q78" s="1058"/>
      <c r="R78" s="1058"/>
      <c r="S78" s="1058"/>
      <c r="T78" s="1058"/>
      <c r="U78" s="1058"/>
      <c r="V78" s="1058"/>
      <c r="W78" s="1058"/>
      <c r="X78" s="1058"/>
      <c r="Y78" s="1058"/>
      <c r="Z78" s="1058"/>
      <c r="AA78" s="1058"/>
      <c r="AB78" s="1058"/>
      <c r="AC78" s="1058"/>
      <c r="AD78" s="1058"/>
      <c r="AE78" s="1058"/>
      <c r="AF78" s="1058"/>
      <c r="AG78" s="1058"/>
      <c r="AH78" s="1058"/>
      <c r="AI78" s="1058"/>
      <c r="AJ78" s="1058"/>
      <c r="AK78" s="1058"/>
      <c r="AL78" s="1058"/>
      <c r="AM78" s="1058"/>
      <c r="AN78" s="1058"/>
      <c r="AO78" s="1058"/>
      <c r="AP78" s="1058"/>
      <c r="AQ78" s="1058"/>
      <c r="AR78" s="1058"/>
      <c r="AS78" s="1054"/>
      <c r="AT78" s="1054"/>
      <c r="AU78" s="1054"/>
      <c r="AV78" s="1054"/>
      <c r="AW78" s="1054"/>
      <c r="AX78" s="1054"/>
      <c r="AY78" s="1054"/>
      <c r="AZ78" s="1054"/>
      <c r="BA78" s="1054"/>
      <c r="BB78" s="1054"/>
      <c r="BC78" s="1054"/>
      <c r="BD78" s="1054"/>
      <c r="BE78" s="1054"/>
      <c r="BF78" s="1054"/>
      <c r="BG78" s="1054"/>
      <c r="BH78" s="1054"/>
      <c r="BI78" s="1054"/>
      <c r="BJ78" s="1054"/>
      <c r="BK78" s="1054"/>
      <c r="BL78" s="1054"/>
      <c r="BM78" s="1054"/>
      <c r="BN78" s="1054"/>
      <c r="BO78" s="1054"/>
      <c r="BP78" s="1054"/>
      <c r="BQ78" s="1054"/>
      <c r="BR78" s="1054"/>
      <c r="BS78" s="1054"/>
      <c r="BT78" s="1054"/>
      <c r="BU78" s="1054"/>
      <c r="BV78" s="1056"/>
    </row>
    <row r="79" spans="1:104" s="1052" customFormat="1" x14ac:dyDescent="0.25">
      <c r="A79" s="1057" t="s">
        <v>1087</v>
      </c>
      <c r="B79" s="1054"/>
      <c r="C79" s="1055"/>
      <c r="D79" s="1252"/>
      <c r="E79" s="1055"/>
      <c r="F79" s="1054"/>
      <c r="G79" s="1054"/>
      <c r="H79" s="1054"/>
      <c r="I79" s="1054"/>
      <c r="J79" s="1054"/>
      <c r="K79" s="1054"/>
      <c r="L79" s="1054"/>
      <c r="M79" s="1054"/>
      <c r="N79" s="1058">
        <v>2.2979889999999998</v>
      </c>
      <c r="O79" s="1058">
        <v>2.38</v>
      </c>
      <c r="P79" s="1058">
        <v>2.414561</v>
      </c>
      <c r="Q79" s="1058">
        <v>2.3313350000000002</v>
      </c>
      <c r="R79" s="1058">
        <v>2.4666779999999999</v>
      </c>
      <c r="S79" s="1058">
        <v>2.490294</v>
      </c>
      <c r="T79" s="1058">
        <v>2.5700569999999998</v>
      </c>
      <c r="U79" s="1058">
        <v>2.5762320000000001</v>
      </c>
      <c r="V79" s="1058">
        <v>2.594992</v>
      </c>
      <c r="W79" s="1058">
        <v>2.6086049999999998</v>
      </c>
      <c r="X79" s="1058">
        <v>2.6433580000000001</v>
      </c>
      <c r="Y79" s="1058">
        <v>2.6708150000000002</v>
      </c>
      <c r="Z79" s="1058">
        <v>2.7142179999999998</v>
      </c>
      <c r="AA79" s="1058">
        <v>2.74918</v>
      </c>
      <c r="AB79" s="1058">
        <v>2.7884579999999999</v>
      </c>
      <c r="AC79" s="1058">
        <v>2.8318759999999998</v>
      </c>
      <c r="AD79" s="1058">
        <v>2.8692139999999999</v>
      </c>
      <c r="AE79" s="1058">
        <v>2.899435</v>
      </c>
      <c r="AF79" s="1058">
        <v>2.9368029999999998</v>
      </c>
      <c r="AG79" s="1058">
        <v>2.9781219999999999</v>
      </c>
      <c r="AH79" s="1058">
        <v>3.0179510000000001</v>
      </c>
      <c r="AI79" s="1058">
        <v>3.0527350000000002</v>
      </c>
      <c r="AJ79" s="1058">
        <v>3.090319</v>
      </c>
      <c r="AK79" s="1058">
        <v>3.1298509999999999</v>
      </c>
      <c r="AL79" s="1058">
        <v>3.1705510000000001</v>
      </c>
      <c r="AM79" s="1058">
        <v>3.2163840000000001</v>
      </c>
      <c r="AN79" s="1058">
        <v>3.2516949999999998</v>
      </c>
      <c r="AO79" s="1058">
        <v>3.2783180000000001</v>
      </c>
      <c r="AP79" s="1058">
        <v>3.3114089999999998</v>
      </c>
      <c r="AQ79" s="1058">
        <v>3.3562150000000002</v>
      </c>
      <c r="AR79" s="1058">
        <v>3.398895</v>
      </c>
      <c r="AS79" s="1054"/>
      <c r="AT79" s="1054"/>
      <c r="AU79" s="1054"/>
      <c r="AV79" s="1054"/>
      <c r="AW79" s="1054"/>
      <c r="AX79" s="1054"/>
      <c r="AY79" s="1054"/>
      <c r="AZ79" s="1054"/>
      <c r="BA79" s="1054"/>
      <c r="BB79" s="1054"/>
      <c r="BC79" s="1054"/>
      <c r="BD79" s="1054"/>
      <c r="BE79" s="1054"/>
      <c r="BF79" s="1054"/>
      <c r="BG79" s="1054"/>
      <c r="BH79" s="1054"/>
      <c r="BI79" s="1054"/>
      <c r="BJ79" s="1054"/>
      <c r="BK79" s="1054"/>
      <c r="BL79" s="1054"/>
      <c r="BM79" s="1054"/>
      <c r="BN79" s="1054"/>
      <c r="BO79" s="1054"/>
      <c r="BP79" s="1054"/>
      <c r="BQ79" s="1054"/>
      <c r="BR79" s="1054"/>
      <c r="BS79" s="1054"/>
      <c r="BT79" s="1054"/>
      <c r="BU79" s="1054"/>
      <c r="BV79" s="1056"/>
    </row>
    <row r="80" spans="1:104" s="1052" customFormat="1" x14ac:dyDescent="0.25">
      <c r="A80" s="1057" t="s">
        <v>683</v>
      </c>
      <c r="B80" s="1054"/>
      <c r="C80" s="1055"/>
      <c r="D80" s="1252"/>
      <c r="E80" s="1055"/>
      <c r="F80" s="1054"/>
      <c r="G80" s="1054"/>
      <c r="H80" s="1054"/>
      <c r="I80" s="1054"/>
      <c r="J80" s="1054"/>
      <c r="K80" s="1054"/>
      <c r="L80" s="1054"/>
      <c r="M80" s="1054"/>
      <c r="N80" s="1058">
        <v>30.492578999999999</v>
      </c>
      <c r="O80" s="1058">
        <v>29.980651999999999</v>
      </c>
      <c r="P80" s="1058">
        <v>28.501187999999999</v>
      </c>
      <c r="Q80" s="1058">
        <v>27.791989999999998</v>
      </c>
      <c r="R80" s="1058">
        <v>28.177313000000002</v>
      </c>
      <c r="S80" s="1058">
        <v>28.139455999999999</v>
      </c>
      <c r="T80" s="1058">
        <v>28.689319999999999</v>
      </c>
      <c r="U80" s="1058">
        <v>29.024557000000001</v>
      </c>
      <c r="V80" s="1058">
        <v>29.108899999999998</v>
      </c>
      <c r="W80" s="1058">
        <v>28.975003999999998</v>
      </c>
      <c r="X80" s="1058">
        <v>29.041111000000001</v>
      </c>
      <c r="Y80" s="1058">
        <v>29.162209000000001</v>
      </c>
      <c r="Z80" s="1058">
        <v>29.247681</v>
      </c>
      <c r="AA80" s="1058">
        <v>29.196009</v>
      </c>
      <c r="AB80" s="1058">
        <v>29.115604000000001</v>
      </c>
      <c r="AC80" s="1058">
        <v>29.201962000000002</v>
      </c>
      <c r="AD80" s="1058">
        <v>29.178121999999998</v>
      </c>
      <c r="AE80" s="1058">
        <v>29.212776000000002</v>
      </c>
      <c r="AF80" s="1058">
        <v>29.214404999999999</v>
      </c>
      <c r="AG80" s="1058">
        <v>29.344874999999998</v>
      </c>
      <c r="AH80" s="1058">
        <v>29.550170999999999</v>
      </c>
      <c r="AI80" s="1058">
        <v>29.794819</v>
      </c>
      <c r="AJ80" s="1058">
        <v>29.957190000000001</v>
      </c>
      <c r="AK80" s="1058">
        <v>30.275618000000001</v>
      </c>
      <c r="AL80" s="1058">
        <v>30.801399</v>
      </c>
      <c r="AM80" s="1058">
        <v>31.291125999999998</v>
      </c>
      <c r="AN80" s="1058">
        <v>31.806963</v>
      </c>
      <c r="AO80" s="1058">
        <v>32.268535999999997</v>
      </c>
      <c r="AP80" s="1058">
        <v>32.667476999999998</v>
      </c>
      <c r="AQ80" s="1058">
        <v>33.223427000000001</v>
      </c>
      <c r="AR80" s="1058">
        <v>33.577624999999998</v>
      </c>
      <c r="AS80" s="1054"/>
      <c r="AT80" s="1054"/>
      <c r="AU80" s="1054"/>
      <c r="AV80" s="1054"/>
      <c r="AW80" s="1054"/>
      <c r="AX80" s="1054"/>
      <c r="AY80" s="1054"/>
      <c r="AZ80" s="1054"/>
      <c r="BA80" s="1054"/>
      <c r="BB80" s="1054"/>
      <c r="BC80" s="1054"/>
      <c r="BD80" s="1054"/>
      <c r="BE80" s="1054"/>
      <c r="BF80" s="1054"/>
      <c r="BG80" s="1054"/>
      <c r="BH80" s="1054"/>
      <c r="BI80" s="1054"/>
      <c r="BJ80" s="1054"/>
      <c r="BK80" s="1054"/>
      <c r="BL80" s="1054"/>
      <c r="BM80" s="1054"/>
      <c r="BN80" s="1054"/>
      <c r="BO80" s="1054"/>
      <c r="BP80" s="1054"/>
      <c r="BQ80" s="1054"/>
      <c r="BR80" s="1054"/>
      <c r="BS80" s="1054"/>
      <c r="BT80" s="1054"/>
      <c r="BU80" s="1054"/>
      <c r="BV80" s="1056"/>
    </row>
    <row r="81" spans="1:104" s="1052" customFormat="1" x14ac:dyDescent="0.25">
      <c r="A81" s="1057" t="s">
        <v>698</v>
      </c>
      <c r="B81" s="1054"/>
      <c r="C81" s="1055"/>
      <c r="D81" s="1252"/>
      <c r="E81" s="1055"/>
      <c r="F81" s="1054"/>
      <c r="G81" s="1054"/>
      <c r="H81" s="1054"/>
      <c r="I81" s="1054"/>
      <c r="J81" s="1054"/>
      <c r="K81" s="1054"/>
      <c r="L81" s="1054"/>
      <c r="M81" s="1054"/>
      <c r="N81" s="1058">
        <v>20.260445000000001</v>
      </c>
      <c r="O81" s="1058">
        <v>19.975721</v>
      </c>
      <c r="P81" s="1058">
        <v>18.454588000000001</v>
      </c>
      <c r="Q81" s="1058">
        <v>18.157667</v>
      </c>
      <c r="R81" s="1058">
        <v>18.271274999999999</v>
      </c>
      <c r="S81" s="1058">
        <v>18.191776000000001</v>
      </c>
      <c r="T81" s="1058">
        <v>18.703628999999999</v>
      </c>
      <c r="U81" s="1058">
        <v>19.002967999999999</v>
      </c>
      <c r="V81" s="1058">
        <v>19.096264000000001</v>
      </c>
      <c r="W81" s="1058">
        <v>19.050228000000001</v>
      </c>
      <c r="X81" s="1058">
        <v>19.095860999999999</v>
      </c>
      <c r="Y81" s="1058">
        <v>19.252116999999998</v>
      </c>
      <c r="Z81" s="1058">
        <v>19.422526999999999</v>
      </c>
      <c r="AA81" s="1058">
        <v>19.539289</v>
      </c>
      <c r="AB81" s="1058">
        <v>19.565339999999999</v>
      </c>
      <c r="AC81" s="1058">
        <v>19.722131999999998</v>
      </c>
      <c r="AD81" s="1058">
        <v>19.810991000000001</v>
      </c>
      <c r="AE81" s="1058">
        <v>19.943812999999999</v>
      </c>
      <c r="AF81" s="1058">
        <v>20.046423000000001</v>
      </c>
      <c r="AG81" s="1058">
        <v>20.238405</v>
      </c>
      <c r="AH81" s="1058">
        <v>20.421748999999998</v>
      </c>
      <c r="AI81" s="1058">
        <v>20.607520999999998</v>
      </c>
      <c r="AJ81" s="1058">
        <v>20.839410999999998</v>
      </c>
      <c r="AK81" s="1058">
        <v>21.176966</v>
      </c>
      <c r="AL81" s="1058">
        <v>21.628757</v>
      </c>
      <c r="AM81" s="1058">
        <v>22.108962999999999</v>
      </c>
      <c r="AN81" s="1058">
        <v>22.567038</v>
      </c>
      <c r="AO81" s="1058">
        <v>22.990486000000001</v>
      </c>
      <c r="AP81" s="1058">
        <v>23.379736000000001</v>
      </c>
      <c r="AQ81" s="1058">
        <v>23.871493999999998</v>
      </c>
      <c r="AR81" s="1058">
        <v>24.167221000000001</v>
      </c>
      <c r="AS81" s="1054"/>
      <c r="AT81" s="1054"/>
      <c r="AU81" s="1054"/>
      <c r="AV81" s="1054"/>
      <c r="AW81" s="1054"/>
      <c r="AX81" s="1054"/>
      <c r="AY81" s="1054"/>
      <c r="AZ81" s="1054"/>
      <c r="BA81" s="1054"/>
      <c r="BB81" s="1054"/>
      <c r="BC81" s="1054"/>
      <c r="BD81" s="1054"/>
      <c r="BE81" s="1054"/>
      <c r="BF81" s="1054"/>
      <c r="BG81" s="1054"/>
      <c r="BH81" s="1054"/>
      <c r="BI81" s="1054"/>
      <c r="BJ81" s="1054"/>
      <c r="BK81" s="1054"/>
      <c r="BL81" s="1054"/>
      <c r="BM81" s="1054"/>
      <c r="BN81" s="1054"/>
      <c r="BO81" s="1054"/>
      <c r="BP81" s="1054"/>
      <c r="BQ81" s="1054"/>
      <c r="BR81" s="1054"/>
      <c r="BS81" s="1054"/>
      <c r="BT81" s="1054"/>
      <c r="BU81" s="1054"/>
      <c r="BV81" s="1056"/>
    </row>
    <row r="82" spans="1:104" s="1052" customFormat="1" ht="13" thickBot="1" x14ac:dyDescent="0.3">
      <c r="A82" s="1061" t="s">
        <v>684</v>
      </c>
      <c r="B82" s="1062"/>
      <c r="C82" s="1063"/>
      <c r="D82" s="1253"/>
      <c r="E82" s="1063"/>
      <c r="F82" s="1062"/>
      <c r="G82" s="1062"/>
      <c r="H82" s="1062"/>
      <c r="I82" s="1062"/>
      <c r="J82" s="1062"/>
      <c r="K82" s="1062"/>
      <c r="L82" s="1062"/>
      <c r="M82" s="1062"/>
      <c r="N82" s="1064">
        <v>34.522823000000002</v>
      </c>
      <c r="O82" s="1064">
        <v>34.335875999999999</v>
      </c>
      <c r="P82" s="1064">
        <v>33.292259000000001</v>
      </c>
      <c r="Q82" s="1064">
        <v>32.561348000000002</v>
      </c>
      <c r="R82" s="1064">
        <v>33.352730000000001</v>
      </c>
      <c r="S82" s="1064">
        <v>33.489016999999997</v>
      </c>
      <c r="T82" s="1064">
        <v>34.046703000000001</v>
      </c>
      <c r="U82" s="1064">
        <v>34.326427000000002</v>
      </c>
      <c r="V82" s="1064">
        <v>34.303291000000002</v>
      </c>
      <c r="W82" s="1064">
        <v>34.076405000000001</v>
      </c>
      <c r="X82" s="1064">
        <v>34.105117999999997</v>
      </c>
      <c r="Y82" s="1064">
        <v>34.184669</v>
      </c>
      <c r="Z82" s="1064">
        <v>34.290134000000002</v>
      </c>
      <c r="AA82" s="1064">
        <v>34.319408000000003</v>
      </c>
      <c r="AB82" s="1064">
        <v>34.416462000000003</v>
      </c>
      <c r="AC82" s="1064">
        <v>34.726405999999997</v>
      </c>
      <c r="AD82" s="1064">
        <v>34.904162999999997</v>
      </c>
      <c r="AE82" s="1064">
        <v>35.063048999999999</v>
      </c>
      <c r="AF82" s="1064">
        <v>35.177726999999997</v>
      </c>
      <c r="AG82" s="1064">
        <v>35.337353</v>
      </c>
      <c r="AH82" s="1064">
        <v>35.506706000000001</v>
      </c>
      <c r="AI82" s="1064">
        <v>35.725586</v>
      </c>
      <c r="AJ82" s="1064">
        <v>35.884253999999999</v>
      </c>
      <c r="AK82" s="1064">
        <v>36.154865000000001</v>
      </c>
      <c r="AL82" s="1064">
        <v>36.608756999999997</v>
      </c>
      <c r="AM82" s="1064">
        <v>37.082008000000002</v>
      </c>
      <c r="AN82" s="1064">
        <v>37.502094</v>
      </c>
      <c r="AO82" s="1064">
        <v>37.842292999999998</v>
      </c>
      <c r="AP82" s="1064">
        <v>38.16151</v>
      </c>
      <c r="AQ82" s="1064">
        <v>38.618450000000003</v>
      </c>
      <c r="AR82" s="1064">
        <v>38.850749999999998</v>
      </c>
      <c r="AS82" s="1062"/>
      <c r="AT82" s="1062"/>
      <c r="AU82" s="1062"/>
      <c r="AV82" s="1062"/>
      <c r="AW82" s="1062"/>
      <c r="AX82" s="1062"/>
      <c r="AY82" s="1062"/>
      <c r="AZ82" s="1062"/>
      <c r="BA82" s="1062"/>
      <c r="BB82" s="1062"/>
      <c r="BC82" s="1062"/>
      <c r="BD82" s="1062"/>
      <c r="BE82" s="1062"/>
      <c r="BF82" s="1062"/>
      <c r="BG82" s="1062"/>
      <c r="BH82" s="1062"/>
      <c r="BI82" s="1062"/>
      <c r="BJ82" s="1062"/>
      <c r="BK82" s="1062"/>
      <c r="BL82" s="1062"/>
      <c r="BM82" s="1062"/>
      <c r="BN82" s="1062"/>
      <c r="BO82" s="1062"/>
      <c r="BP82" s="1062"/>
      <c r="BQ82" s="1062"/>
      <c r="BR82" s="1062"/>
      <c r="BS82" s="1062"/>
      <c r="BT82" s="1062"/>
      <c r="BU82" s="1062"/>
      <c r="BV82" s="1065"/>
    </row>
    <row r="83" spans="1:104" x14ac:dyDescent="0.25">
      <c r="D83" s="1095"/>
      <c r="E83" s="975"/>
    </row>
    <row r="84" spans="1:104" x14ac:dyDescent="0.25">
      <c r="D84" s="1095"/>
    </row>
    <row r="85" spans="1:104" ht="13" thickBot="1" x14ac:dyDescent="0.3">
      <c r="D85" s="1095"/>
    </row>
    <row r="86" spans="1:104" ht="13.5" thickTop="1" x14ac:dyDescent="0.3">
      <c r="A86" s="867" t="s">
        <v>1107</v>
      </c>
      <c r="B86" s="868" t="str">
        <f>"Prices are in $(" &amp; ref_year&amp;")/GJ LHV"</f>
        <v>Prices are in $(2016)/GJ LHV</v>
      </c>
      <c r="C86" s="868"/>
      <c r="D86" s="1254"/>
      <c r="E86" s="868"/>
      <c r="F86" s="869"/>
      <c r="G86" s="869"/>
      <c r="H86" s="869"/>
      <c r="I86" s="869"/>
      <c r="J86" s="869"/>
      <c r="K86" s="869"/>
      <c r="L86" s="869"/>
      <c r="M86" s="869"/>
      <c r="N86" s="869"/>
      <c r="O86" s="869"/>
      <c r="P86" s="869"/>
      <c r="Q86" s="869"/>
      <c r="R86" s="869"/>
      <c r="S86" s="869"/>
      <c r="T86" s="869"/>
      <c r="U86" s="869"/>
      <c r="V86" s="869"/>
      <c r="W86" s="869"/>
      <c r="X86" s="869"/>
      <c r="Y86" s="869"/>
      <c r="Z86" s="869"/>
      <c r="AA86" s="869"/>
      <c r="AB86" s="869"/>
      <c r="AC86" s="869"/>
      <c r="AD86" s="869"/>
      <c r="AE86" s="869"/>
      <c r="AF86" s="869"/>
      <c r="AG86" s="869"/>
      <c r="AH86" s="869"/>
      <c r="AI86" s="869"/>
      <c r="AJ86" s="869"/>
      <c r="AK86" s="869"/>
      <c r="AL86" s="869"/>
      <c r="AM86" s="869"/>
      <c r="AN86" s="869"/>
      <c r="AO86" s="869"/>
      <c r="AP86" s="869"/>
      <c r="AQ86" s="869"/>
      <c r="AR86" s="869"/>
      <c r="AS86" s="882" t="s">
        <v>772</v>
      </c>
      <c r="AT86" s="883"/>
      <c r="AU86" s="883"/>
      <c r="AV86" s="883"/>
      <c r="AW86" s="883"/>
      <c r="AX86" s="883"/>
      <c r="AY86" s="883"/>
      <c r="AZ86" s="883"/>
      <c r="BA86" s="883"/>
      <c r="BB86" s="883"/>
      <c r="BC86" s="883"/>
      <c r="BD86" s="883"/>
      <c r="BE86" s="883"/>
      <c r="BF86" s="883"/>
      <c r="BG86" s="883"/>
      <c r="BH86" s="883"/>
      <c r="BI86" s="883"/>
      <c r="BJ86" s="883"/>
      <c r="BK86" s="883"/>
      <c r="BL86" s="883"/>
      <c r="BM86" s="883"/>
      <c r="BN86" s="883"/>
      <c r="BO86" s="883"/>
      <c r="BP86" s="883"/>
      <c r="BQ86" s="883"/>
      <c r="BR86" s="883"/>
      <c r="BS86" s="883"/>
      <c r="BT86" s="883"/>
      <c r="BU86" s="883"/>
      <c r="BV86" s="884"/>
    </row>
    <row r="87" spans="1:104" ht="39.5" thickBot="1" x14ac:dyDescent="0.35">
      <c r="A87" s="1121" t="s">
        <v>1084</v>
      </c>
      <c r="B87" s="1122" t="s">
        <v>678</v>
      </c>
      <c r="C87" s="1122" t="s">
        <v>679</v>
      </c>
      <c r="D87" s="1255" t="s">
        <v>690</v>
      </c>
      <c r="E87" s="1122" t="s">
        <v>691</v>
      </c>
      <c r="F87" s="1123" t="s">
        <v>680</v>
      </c>
      <c r="G87" s="1123" t="s">
        <v>692</v>
      </c>
      <c r="H87" s="889">
        <v>2004</v>
      </c>
      <c r="I87" s="889">
        <v>2005</v>
      </c>
      <c r="J87" s="889">
        <v>2006</v>
      </c>
      <c r="K87" s="889">
        <v>2007</v>
      </c>
      <c r="L87" s="889">
        <v>2008</v>
      </c>
      <c r="M87" s="889">
        <v>2009</v>
      </c>
      <c r="N87" s="889">
        <v>2010</v>
      </c>
      <c r="O87" s="889">
        <v>2011</v>
      </c>
      <c r="P87" s="889">
        <v>2012</v>
      </c>
      <c r="Q87" s="889">
        <v>2013</v>
      </c>
      <c r="R87" s="889">
        <v>2014</v>
      </c>
      <c r="S87" s="889">
        <v>2015</v>
      </c>
      <c r="T87" s="889">
        <v>2016</v>
      </c>
      <c r="U87" s="889">
        <v>2017</v>
      </c>
      <c r="V87" s="889">
        <v>2018</v>
      </c>
      <c r="W87" s="889">
        <v>2019</v>
      </c>
      <c r="X87" s="889">
        <v>2020</v>
      </c>
      <c r="Y87" s="889">
        <v>2021</v>
      </c>
      <c r="Z87" s="889">
        <v>2022</v>
      </c>
      <c r="AA87" s="889">
        <v>2023</v>
      </c>
      <c r="AB87" s="889">
        <v>2024</v>
      </c>
      <c r="AC87" s="889">
        <v>2025</v>
      </c>
      <c r="AD87" s="889">
        <v>2026</v>
      </c>
      <c r="AE87" s="889">
        <v>2027</v>
      </c>
      <c r="AF87" s="889">
        <v>2028</v>
      </c>
      <c r="AG87" s="889">
        <v>2029</v>
      </c>
      <c r="AH87" s="889">
        <v>2030</v>
      </c>
      <c r="AI87" s="889">
        <v>2031</v>
      </c>
      <c r="AJ87" s="889">
        <v>2032</v>
      </c>
      <c r="AK87" s="889">
        <v>2033</v>
      </c>
      <c r="AL87" s="889">
        <v>2034</v>
      </c>
      <c r="AM87" s="889">
        <v>2035</v>
      </c>
      <c r="AN87" s="889">
        <v>2036</v>
      </c>
      <c r="AO87" s="889">
        <v>2037</v>
      </c>
      <c r="AP87" s="889">
        <v>2038</v>
      </c>
      <c r="AQ87" s="889">
        <v>2039</v>
      </c>
      <c r="AR87" s="889">
        <v>2040</v>
      </c>
      <c r="AS87" s="889">
        <v>2041</v>
      </c>
      <c r="AT87" s="889">
        <v>2042</v>
      </c>
      <c r="AU87" s="889">
        <v>2043</v>
      </c>
      <c r="AV87" s="889">
        <v>2044</v>
      </c>
      <c r="AW87" s="889">
        <v>2045</v>
      </c>
      <c r="AX87" s="889">
        <v>2046</v>
      </c>
      <c r="AY87" s="889">
        <v>2047</v>
      </c>
      <c r="AZ87" s="889">
        <v>2048</v>
      </c>
      <c r="BA87" s="889">
        <v>2049</v>
      </c>
      <c r="BB87" s="889">
        <v>2050</v>
      </c>
      <c r="BC87" s="889">
        <v>2051</v>
      </c>
      <c r="BD87" s="889">
        <v>2052</v>
      </c>
      <c r="BE87" s="889">
        <v>2053</v>
      </c>
      <c r="BF87" s="889">
        <v>2054</v>
      </c>
      <c r="BG87" s="889">
        <v>2055</v>
      </c>
      <c r="BH87" s="889">
        <v>2056</v>
      </c>
      <c r="BI87" s="889">
        <v>2057</v>
      </c>
      <c r="BJ87" s="889">
        <v>2058</v>
      </c>
      <c r="BK87" s="889">
        <v>2059</v>
      </c>
      <c r="BL87" s="889">
        <v>2060</v>
      </c>
      <c r="BM87" s="889">
        <v>2061</v>
      </c>
      <c r="BN87" s="889">
        <v>2062</v>
      </c>
      <c r="BO87" s="889">
        <v>2063</v>
      </c>
      <c r="BP87" s="889">
        <v>2064</v>
      </c>
      <c r="BQ87" s="889">
        <v>2065</v>
      </c>
      <c r="BR87" s="889">
        <v>2066</v>
      </c>
      <c r="BS87" s="889">
        <v>2067</v>
      </c>
      <c r="BT87" s="889">
        <v>2068</v>
      </c>
      <c r="BU87" s="889">
        <v>2069</v>
      </c>
      <c r="BV87" s="890">
        <v>2070</v>
      </c>
      <c r="BW87" s="1398">
        <f t="shared" ref="BW87" si="191">+BV87+1</f>
        <v>2071</v>
      </c>
      <c r="BX87" s="1398">
        <f t="shared" ref="BX87" si="192">+BW87+1</f>
        <v>2072</v>
      </c>
      <c r="BY87" s="1398">
        <f t="shared" ref="BY87" si="193">+BX87+1</f>
        <v>2073</v>
      </c>
      <c r="BZ87" s="1398">
        <f t="shared" ref="BZ87" si="194">+BY87+1</f>
        <v>2074</v>
      </c>
      <c r="CA87" s="1398">
        <f t="shared" ref="CA87" si="195">+BZ87+1</f>
        <v>2075</v>
      </c>
      <c r="CB87" s="1398">
        <f t="shared" ref="CB87" si="196">+CA87+1</f>
        <v>2076</v>
      </c>
      <c r="CC87" s="1398">
        <f t="shared" ref="CC87" si="197">+CB87+1</f>
        <v>2077</v>
      </c>
      <c r="CD87" s="1398">
        <f t="shared" ref="CD87" si="198">+CC87+1</f>
        <v>2078</v>
      </c>
      <c r="CE87" s="1398">
        <f t="shared" ref="CE87" si="199">+CD87+1</f>
        <v>2079</v>
      </c>
      <c r="CF87" s="1398">
        <f t="shared" ref="CF87" si="200">+CE87+1</f>
        <v>2080</v>
      </c>
      <c r="CG87" s="1398">
        <f t="shared" ref="CG87" si="201">+CF87+1</f>
        <v>2081</v>
      </c>
      <c r="CH87" s="1398">
        <f t="shared" ref="CH87" si="202">+CG87+1</f>
        <v>2082</v>
      </c>
      <c r="CI87" s="1398">
        <f t="shared" ref="CI87" si="203">+CH87+1</f>
        <v>2083</v>
      </c>
      <c r="CJ87" s="1398">
        <f t="shared" ref="CJ87" si="204">+CI87+1</f>
        <v>2084</v>
      </c>
      <c r="CK87" s="1398">
        <f t="shared" ref="CK87" si="205">+CJ87+1</f>
        <v>2085</v>
      </c>
      <c r="CL87" s="1398">
        <f t="shared" ref="CL87" si="206">+CK87+1</f>
        <v>2086</v>
      </c>
      <c r="CM87" s="1398">
        <f t="shared" ref="CM87" si="207">+CL87+1</f>
        <v>2087</v>
      </c>
      <c r="CN87" s="1398">
        <f t="shared" ref="CN87" si="208">+CM87+1</f>
        <v>2088</v>
      </c>
      <c r="CO87" s="1398">
        <f t="shared" ref="CO87" si="209">+CN87+1</f>
        <v>2089</v>
      </c>
      <c r="CP87" s="1398">
        <f t="shared" ref="CP87" si="210">+CO87+1</f>
        <v>2090</v>
      </c>
      <c r="CQ87" s="1398">
        <f t="shared" ref="CQ87" si="211">+CP87+1</f>
        <v>2091</v>
      </c>
      <c r="CR87" s="1398">
        <f t="shared" ref="CR87" si="212">+CQ87+1</f>
        <v>2092</v>
      </c>
      <c r="CS87" s="1398">
        <f t="shared" ref="CS87" si="213">+CR87+1</f>
        <v>2093</v>
      </c>
      <c r="CT87" s="1398">
        <f t="shared" ref="CT87" si="214">+CS87+1</f>
        <v>2094</v>
      </c>
      <c r="CU87" s="1398">
        <f t="shared" ref="CU87" si="215">+CT87+1</f>
        <v>2095</v>
      </c>
      <c r="CV87" s="1398">
        <f t="shared" ref="CV87" si="216">+CU87+1</f>
        <v>2096</v>
      </c>
      <c r="CW87" s="1398">
        <f t="shared" ref="CW87" si="217">+CV87+1</f>
        <v>2097</v>
      </c>
      <c r="CX87" s="1398">
        <f t="shared" ref="CX87" si="218">+CW87+1</f>
        <v>2098</v>
      </c>
      <c r="CY87" s="1398">
        <f t="shared" ref="CY87" si="219">+CX87+1</f>
        <v>2099</v>
      </c>
      <c r="CZ87" s="1398">
        <f t="shared" ref="CZ87" si="220">+CY87+1</f>
        <v>2100</v>
      </c>
    </row>
    <row r="88" spans="1:104" ht="13" thickBot="1" x14ac:dyDescent="0.3">
      <c r="A88" s="870" t="s">
        <v>1090</v>
      </c>
      <c r="B88" s="871"/>
      <c r="C88" s="871"/>
      <c r="D88" s="1256"/>
      <c r="E88" s="871"/>
      <c r="F88" s="871"/>
      <c r="G88" s="871"/>
      <c r="H88" s="959"/>
      <c r="I88" s="959"/>
      <c r="J88" s="959"/>
      <c r="K88" s="959"/>
      <c r="L88" s="959"/>
      <c r="M88" s="959"/>
      <c r="N88" s="959"/>
      <c r="O88" s="959"/>
      <c r="P88" s="959"/>
      <c r="Q88" s="959"/>
      <c r="R88" s="959"/>
      <c r="S88" s="959"/>
      <c r="T88" s="959"/>
      <c r="U88" s="959"/>
      <c r="V88" s="959"/>
      <c r="W88" s="959"/>
      <c r="X88" s="959"/>
      <c r="Y88" s="959"/>
      <c r="Z88" s="959"/>
      <c r="AA88" s="959"/>
      <c r="AB88" s="959"/>
      <c r="AC88" s="959"/>
      <c r="AD88" s="959"/>
      <c r="AE88" s="959"/>
      <c r="AF88" s="959"/>
      <c r="AG88" s="959"/>
      <c r="AH88" s="959"/>
      <c r="AI88" s="959"/>
      <c r="AJ88" s="959"/>
      <c r="AK88" s="959"/>
      <c r="AL88" s="959"/>
      <c r="AM88" s="959"/>
      <c r="AN88" s="959"/>
      <c r="AO88" s="959"/>
      <c r="AP88" s="959"/>
      <c r="AQ88" s="959"/>
      <c r="AR88" s="959"/>
      <c r="AS88" s="959"/>
      <c r="AT88" s="959"/>
      <c r="AU88" s="959"/>
      <c r="AV88" s="959"/>
      <c r="AW88" s="959"/>
      <c r="AX88" s="959"/>
      <c r="AY88" s="959"/>
      <c r="AZ88" s="959"/>
      <c r="BA88" s="959"/>
      <c r="BC88" s="959"/>
      <c r="BD88" s="959"/>
      <c r="BE88" s="959"/>
      <c r="BF88" s="959"/>
      <c r="BG88" s="959"/>
      <c r="BH88" s="959"/>
      <c r="BI88" s="959"/>
      <c r="BJ88" s="959"/>
      <c r="BK88" s="959"/>
      <c r="BL88" s="959"/>
      <c r="BM88" s="959"/>
      <c r="BN88" s="959"/>
      <c r="BO88" s="959"/>
      <c r="BP88" s="959"/>
      <c r="BR88" s="959"/>
      <c r="BS88" s="959"/>
      <c r="BT88" s="959"/>
      <c r="BU88" s="959"/>
    </row>
    <row r="89" spans="1:104" ht="13" x14ac:dyDescent="0.3">
      <c r="A89" s="873" t="str">
        <f>'HyARC Physical Property Data'!A73</f>
        <v>Residential Natural Gas</v>
      </c>
      <c r="B89" s="260">
        <v>2012</v>
      </c>
      <c r="C89" s="874">
        <f t="shared" ref="C89:C100" si="221">VLOOKUP(ref_year,DeflatorTable,2,FALSE)/VLOOKUP(B89,DeflatorTable,2,FALSE)</f>
        <v>1.0589185747008452</v>
      </c>
      <c r="D89" s="1257" t="str">
        <f>'HyARC Physical Property Data'!H73</f>
        <v>mmBtu</v>
      </c>
      <c r="E89" s="874" t="s">
        <v>1058</v>
      </c>
      <c r="F89" s="260">
        <f>'HyARC Physical Property Data'!$E$6</f>
        <v>47.141269049911173</v>
      </c>
      <c r="G89" s="260">
        <f>'HyARC Physical Property Data'!$I$6</f>
        <v>52.224661236371581</v>
      </c>
      <c r="H89" s="1067">
        <v>12.595706345448797</v>
      </c>
      <c r="I89" s="1067">
        <v>12.595706345448797</v>
      </c>
      <c r="J89" s="1067">
        <v>12.595706345448797</v>
      </c>
      <c r="K89" s="1067">
        <v>12.595706345448797</v>
      </c>
      <c r="L89" s="1067">
        <v>13.121338604068761</v>
      </c>
      <c r="M89" s="1067">
        <v>11.086947084595193</v>
      </c>
      <c r="N89" s="1067">
        <v>10.600250548835966</v>
      </c>
      <c r="O89" s="959">
        <f t="shared" ref="O89:AR89" si="222">O106*($C89/mmBTU_to_GJ*$G89/$F89)</f>
        <v>12.2087929242581</v>
      </c>
      <c r="P89" s="959">
        <f t="shared" si="222"/>
        <v>11.62926676611875</v>
      </c>
      <c r="Q89" s="959">
        <f t="shared" si="222"/>
        <v>11.549569006878718</v>
      </c>
      <c r="R89" s="959">
        <f t="shared" si="222"/>
        <v>12.451077492669647</v>
      </c>
      <c r="S89" s="959">
        <f t="shared" si="222"/>
        <v>12.228661210695314</v>
      </c>
      <c r="T89" s="959">
        <f t="shared" si="222"/>
        <v>11.880721569489316</v>
      </c>
      <c r="U89" s="959">
        <f t="shared" si="222"/>
        <v>12.243181027367417</v>
      </c>
      <c r="V89" s="959">
        <f t="shared" si="222"/>
        <v>12.738447103720736</v>
      </c>
      <c r="W89" s="959">
        <f t="shared" si="222"/>
        <v>12.928721417497503</v>
      </c>
      <c r="X89" s="959">
        <f t="shared" si="222"/>
        <v>12.889662020940529</v>
      </c>
      <c r="Y89" s="959">
        <f t="shared" si="222"/>
        <v>13.126157788188424</v>
      </c>
      <c r="Z89" s="959">
        <f t="shared" si="222"/>
        <v>13.227924378910403</v>
      </c>
      <c r="AA89" s="959">
        <f t="shared" si="222"/>
        <v>13.406700038666168</v>
      </c>
      <c r="AB89" s="959">
        <f t="shared" si="222"/>
        <v>13.682684414389822</v>
      </c>
      <c r="AC89" s="959">
        <f t="shared" si="222"/>
        <v>13.872072505629625</v>
      </c>
      <c r="AD89" s="959">
        <f t="shared" si="222"/>
        <v>13.98822325537062</v>
      </c>
      <c r="AE89" s="959">
        <f t="shared" si="222"/>
        <v>14.139968571775018</v>
      </c>
      <c r="AF89" s="959">
        <f t="shared" si="222"/>
        <v>14.341810480347306</v>
      </c>
      <c r="AG89" s="959">
        <f t="shared" si="222"/>
        <v>14.660154514221039</v>
      </c>
      <c r="AH89" s="959">
        <f t="shared" si="222"/>
        <v>15.014507871353267</v>
      </c>
      <c r="AI89" s="959">
        <f t="shared" si="222"/>
        <v>15.178056515524123</v>
      </c>
      <c r="AJ89" s="959">
        <f t="shared" si="222"/>
        <v>15.247180761459282</v>
      </c>
      <c r="AK89" s="959">
        <f t="shared" si="222"/>
        <v>15.504403238981952</v>
      </c>
      <c r="AL89" s="959">
        <f t="shared" si="222"/>
        <v>15.944730189731404</v>
      </c>
      <c r="AM89" s="959">
        <f t="shared" si="222"/>
        <v>16.240765211360355</v>
      </c>
      <c r="AN89" s="959">
        <f t="shared" si="222"/>
        <v>16.673418609126639</v>
      </c>
      <c r="AO89" s="959">
        <f t="shared" si="222"/>
        <v>16.84862158003515</v>
      </c>
      <c r="AP89" s="959">
        <f t="shared" si="222"/>
        <v>16.990523932954982</v>
      </c>
      <c r="AQ89" s="959">
        <f t="shared" si="222"/>
        <v>17.36681602365595</v>
      </c>
      <c r="AR89" s="959">
        <f t="shared" si="222"/>
        <v>17.766490156398653</v>
      </c>
      <c r="AS89" s="959">
        <f>($BB89-$AR89)/10+AR89</f>
        <v>17.817297159388684</v>
      </c>
      <c r="AT89" s="959">
        <f t="shared" ref="AT89:BA89" si="223">($BB89-$AR89)/10+AS89</f>
        <v>17.868104162378714</v>
      </c>
      <c r="AU89" s="959">
        <f t="shared" si="223"/>
        <v>17.918911165368744</v>
      </c>
      <c r="AV89" s="959">
        <f t="shared" si="223"/>
        <v>17.969718168358774</v>
      </c>
      <c r="AW89" s="959">
        <f t="shared" si="223"/>
        <v>18.020525171348805</v>
      </c>
      <c r="AX89" s="959">
        <f t="shared" si="223"/>
        <v>18.071332174338835</v>
      </c>
      <c r="AY89" s="959">
        <f t="shared" si="223"/>
        <v>18.122139177328865</v>
      </c>
      <c r="AZ89" s="959">
        <f t="shared" si="223"/>
        <v>18.172946180318895</v>
      </c>
      <c r="BA89" s="959">
        <f t="shared" si="223"/>
        <v>18.223753183308926</v>
      </c>
      <c r="BB89" s="961">
        <f>'AEO Data'!$B$30*AM89</f>
        <v>18.274560186298949</v>
      </c>
      <c r="BC89" s="959">
        <f t="shared" ref="BC89:BP92" si="224">($BQ89-$BB89)/15+BB89</f>
        <v>18.423467349139123</v>
      </c>
      <c r="BD89" s="959">
        <f t="shared" si="224"/>
        <v>18.572374511979298</v>
      </c>
      <c r="BE89" s="959">
        <f t="shared" si="224"/>
        <v>18.721281674819473</v>
      </c>
      <c r="BF89" s="959">
        <f t="shared" si="224"/>
        <v>18.870188837659647</v>
      </c>
      <c r="BG89" s="959">
        <f t="shared" si="224"/>
        <v>19.019096000499822</v>
      </c>
      <c r="BH89" s="959">
        <f t="shared" si="224"/>
        <v>19.168003163339996</v>
      </c>
      <c r="BI89" s="959">
        <f t="shared" si="224"/>
        <v>19.316910326180171</v>
      </c>
      <c r="BJ89" s="959">
        <f t="shared" si="224"/>
        <v>19.465817489020345</v>
      </c>
      <c r="BK89" s="959">
        <f t="shared" si="224"/>
        <v>19.61472465186052</v>
      </c>
      <c r="BL89" s="959">
        <f t="shared" si="224"/>
        <v>19.763631814700695</v>
      </c>
      <c r="BM89" s="959">
        <f t="shared" si="224"/>
        <v>19.912538977540869</v>
      </c>
      <c r="BN89" s="959">
        <f t="shared" si="224"/>
        <v>20.061446140381044</v>
      </c>
      <c r="BO89" s="959">
        <f t="shared" si="224"/>
        <v>20.210353303221218</v>
      </c>
      <c r="BP89" s="959">
        <f t="shared" si="224"/>
        <v>20.359260466061393</v>
      </c>
      <c r="BQ89" s="961">
        <f>'AEO Data'!$C$30*BB89</f>
        <v>20.508167628901592</v>
      </c>
      <c r="BR89" s="959">
        <f t="shared" ref="BR89:BU92" si="225">($BV89-$BQ89)/5+BQ89</f>
        <v>20.62538963666017</v>
      </c>
      <c r="BS89" s="959">
        <f t="shared" si="225"/>
        <v>20.742611644418748</v>
      </c>
      <c r="BT89" s="959">
        <f t="shared" si="225"/>
        <v>20.859833652177326</v>
      </c>
      <c r="BU89" s="959">
        <f t="shared" si="225"/>
        <v>20.977055659935903</v>
      </c>
      <c r="BV89" s="962">
        <f>'AEO Data'!$D$30*BQ89</f>
        <v>21.094277667694488</v>
      </c>
      <c r="BW89" s="1397">
        <f>+BV89*BW$133/BV$133</f>
        <v>21.164316872120814</v>
      </c>
      <c r="BX89" s="1397">
        <f t="shared" ref="BX89:CZ89" si="226">+BW89*BX$133/BW$133</f>
        <v>21.234588627300191</v>
      </c>
      <c r="BY89" s="1397">
        <f t="shared" si="226"/>
        <v>21.305093705369501</v>
      </c>
      <c r="BZ89" s="1397">
        <f t="shared" si="226"/>
        <v>21.375832881029339</v>
      </c>
      <c r="CA89" s="1397">
        <f t="shared" si="226"/>
        <v>21.446806931552544</v>
      </c>
      <c r="CB89" s="1397">
        <f t="shared" si="226"/>
        <v>21.492572878539132</v>
      </c>
      <c r="CC89" s="1397">
        <f t="shared" si="226"/>
        <v>21.538436486772465</v>
      </c>
      <c r="CD89" s="1397">
        <f t="shared" si="226"/>
        <v>21.584397964654634</v>
      </c>
      <c r="CE89" s="1397">
        <f t="shared" si="226"/>
        <v>21.630457521032444</v>
      </c>
      <c r="CF89" s="1397">
        <f t="shared" si="226"/>
        <v>21.676615365198366</v>
      </c>
      <c r="CG89" s="1397">
        <f t="shared" si="226"/>
        <v>21.691602524401322</v>
      </c>
      <c r="CH89" s="1397">
        <f t="shared" si="226"/>
        <v>21.706600045689747</v>
      </c>
      <c r="CI89" s="1397">
        <f t="shared" si="226"/>
        <v>21.721607936227954</v>
      </c>
      <c r="CJ89" s="1397">
        <f t="shared" si="226"/>
        <v>21.736626203185217</v>
      </c>
      <c r="CK89" s="1397">
        <f t="shared" si="226"/>
        <v>21.751654853735772</v>
      </c>
      <c r="CL89" s="1397">
        <f t="shared" si="226"/>
        <v>21.756748899145897</v>
      </c>
      <c r="CM89" s="1397">
        <f t="shared" si="226"/>
        <v>21.76184413753646</v>
      </c>
      <c r="CN89" s="1397">
        <f t="shared" si="226"/>
        <v>21.766940569186843</v>
      </c>
      <c r="CO89" s="1397">
        <f t="shared" si="226"/>
        <v>21.772038194376496</v>
      </c>
      <c r="CP89" s="1397">
        <f t="shared" si="226"/>
        <v>21.777137013384934</v>
      </c>
      <c r="CQ89" s="1397">
        <f t="shared" si="226"/>
        <v>21.784864763140046</v>
      </c>
      <c r="CR89" s="1397">
        <f t="shared" si="226"/>
        <v>21.792595255134241</v>
      </c>
      <c r="CS89" s="1397">
        <f t="shared" si="226"/>
        <v>21.800328490340622</v>
      </c>
      <c r="CT89" s="1397">
        <f t="shared" si="226"/>
        <v>21.808064469732635</v>
      </c>
      <c r="CU89" s="1397">
        <f t="shared" si="226"/>
        <v>21.815803194284069</v>
      </c>
      <c r="CV89" s="1397">
        <f t="shared" si="226"/>
        <v>21.827713124132313</v>
      </c>
      <c r="CW89" s="1397">
        <f t="shared" si="226"/>
        <v>21.839629555984068</v>
      </c>
      <c r="CX89" s="1397">
        <f t="shared" si="226"/>
        <v>21.851552493388983</v>
      </c>
      <c r="CY89" s="1397">
        <f t="shared" si="226"/>
        <v>21.863481939898644</v>
      </c>
      <c r="CZ89" s="1397">
        <f t="shared" si="226"/>
        <v>21.875417899066573</v>
      </c>
    </row>
    <row r="90" spans="1:104" ht="13" x14ac:dyDescent="0.3">
      <c r="A90" s="873" t="str">
        <f>'HyARC Physical Property Data'!A71</f>
        <v>Commercial Natural Gas</v>
      </c>
      <c r="B90" s="260">
        <v>2012</v>
      </c>
      <c r="C90" s="874">
        <f t="shared" si="221"/>
        <v>1.0589185747008452</v>
      </c>
      <c r="D90" s="1257" t="str">
        <f>'HyARC Physical Property Data'!H71</f>
        <v>mmBtu</v>
      </c>
      <c r="E90" s="874" t="s">
        <v>1058</v>
      </c>
      <c r="F90" s="260">
        <f>'HyARC Physical Property Data'!$E$6</f>
        <v>47.141269049911173</v>
      </c>
      <c r="G90" s="260">
        <f>'HyARC Physical Property Data'!$I$6</f>
        <v>52.224661236371581</v>
      </c>
      <c r="H90" s="1068">
        <v>10.902002401006685</v>
      </c>
      <c r="I90" s="1068">
        <v>10.902002401006685</v>
      </c>
      <c r="J90" s="1068">
        <v>10.902002401006685</v>
      </c>
      <c r="K90" s="1068">
        <v>10.902002401006685</v>
      </c>
      <c r="L90" s="1068">
        <v>11.622313273930342</v>
      </c>
      <c r="M90" s="1068">
        <v>8.8092072972420112</v>
      </c>
      <c r="N90" s="1068">
        <v>8.4393179300649965</v>
      </c>
      <c r="O90" s="260">
        <f t="shared" ref="O90:AR90" si="227">O107*($C90/mmBTU_to_GJ*$G90/$F90)</f>
        <v>9.9639823425462914</v>
      </c>
      <c r="P90" s="260">
        <f t="shared" si="227"/>
        <v>9.0210827052924731</v>
      </c>
      <c r="Q90" s="260">
        <f t="shared" si="227"/>
        <v>9.2425705107067522</v>
      </c>
      <c r="R90" s="260">
        <f t="shared" si="227"/>
        <v>10.103223803959281</v>
      </c>
      <c r="S90" s="260">
        <f t="shared" si="227"/>
        <v>9.9169647343242655</v>
      </c>
      <c r="T90" s="260">
        <f t="shared" si="227"/>
        <v>9.6996011439533945</v>
      </c>
      <c r="U90" s="260">
        <f t="shared" si="227"/>
        <v>10.015602303441456</v>
      </c>
      <c r="V90" s="260">
        <f t="shared" si="227"/>
        <v>10.462516434001412</v>
      </c>
      <c r="W90" s="260">
        <f t="shared" si="227"/>
        <v>10.615177995538126</v>
      </c>
      <c r="X90" s="260">
        <f t="shared" si="227"/>
        <v>10.553246941060452</v>
      </c>
      <c r="Y90" s="260">
        <f t="shared" si="227"/>
        <v>10.769181678282015</v>
      </c>
      <c r="Z90" s="260">
        <f t="shared" si="227"/>
        <v>10.850924309850123</v>
      </c>
      <c r="AA90" s="260">
        <f t="shared" si="227"/>
        <v>11.006898364407682</v>
      </c>
      <c r="AB90" s="260">
        <f t="shared" si="227"/>
        <v>11.260741632030943</v>
      </c>
      <c r="AC90" s="260">
        <f t="shared" si="227"/>
        <v>11.438522098348088</v>
      </c>
      <c r="AD90" s="260">
        <f t="shared" si="227"/>
        <v>11.543080790438088</v>
      </c>
      <c r="AE90" s="260">
        <f t="shared" si="227"/>
        <v>11.671986695413095</v>
      </c>
      <c r="AF90" s="260">
        <f t="shared" si="227"/>
        <v>11.850279769747228</v>
      </c>
      <c r="AG90" s="260">
        <f t="shared" si="227"/>
        <v>12.132482158553312</v>
      </c>
      <c r="AH90" s="260">
        <f t="shared" si="227"/>
        <v>12.445283131766116</v>
      </c>
      <c r="AI90" s="260">
        <f t="shared" si="227"/>
        <v>12.558691817798014</v>
      </c>
      <c r="AJ90" s="260">
        <f t="shared" si="227"/>
        <v>12.5569093651923</v>
      </c>
      <c r="AK90" s="260">
        <f t="shared" si="227"/>
        <v>12.763364745917485</v>
      </c>
      <c r="AL90" s="260">
        <f t="shared" si="227"/>
        <v>13.063076979503446</v>
      </c>
      <c r="AM90" s="260">
        <f t="shared" si="227"/>
        <v>13.291592296126769</v>
      </c>
      <c r="AN90" s="260">
        <f t="shared" si="227"/>
        <v>13.636518558317496</v>
      </c>
      <c r="AO90" s="260">
        <f t="shared" si="227"/>
        <v>13.752890585705739</v>
      </c>
      <c r="AP90" s="260">
        <f t="shared" si="227"/>
        <v>13.853987783746099</v>
      </c>
      <c r="AQ90" s="260">
        <f t="shared" si="227"/>
        <v>14.183892740727496</v>
      </c>
      <c r="AR90" s="260">
        <f t="shared" si="227"/>
        <v>14.541374007516533</v>
      </c>
      <c r="AS90" s="260">
        <f t="shared" ref="AS90:BA90" si="228">($BB90-$AR90)/10+AR90</f>
        <v>14.582843496133675</v>
      </c>
      <c r="AT90" s="260">
        <f t="shared" si="228"/>
        <v>14.624312984750818</v>
      </c>
      <c r="AU90" s="260">
        <f t="shared" si="228"/>
        <v>14.66578247336796</v>
      </c>
      <c r="AV90" s="260">
        <f t="shared" si="228"/>
        <v>14.707251961985103</v>
      </c>
      <c r="AW90" s="260">
        <f t="shared" si="228"/>
        <v>14.748721450602245</v>
      </c>
      <c r="AX90" s="260">
        <f t="shared" si="228"/>
        <v>14.790190939219388</v>
      </c>
      <c r="AY90" s="260">
        <f t="shared" si="228"/>
        <v>14.83166042783653</v>
      </c>
      <c r="AZ90" s="260">
        <f t="shared" si="228"/>
        <v>14.873129916453673</v>
      </c>
      <c r="BA90" s="260">
        <f t="shared" si="228"/>
        <v>14.914599405070815</v>
      </c>
      <c r="BB90" s="939">
        <f>'AEO Data'!$B$30*AM90</f>
        <v>14.956068893687954</v>
      </c>
      <c r="BC90" s="260">
        <f t="shared" si="224"/>
        <v>15.077935891497892</v>
      </c>
      <c r="BD90" s="260">
        <f t="shared" si="224"/>
        <v>15.199802889307831</v>
      </c>
      <c r="BE90" s="260">
        <f t="shared" si="224"/>
        <v>15.321669887117769</v>
      </c>
      <c r="BF90" s="260">
        <f t="shared" si="224"/>
        <v>15.443536884927708</v>
      </c>
      <c r="BG90" s="260">
        <f t="shared" si="224"/>
        <v>15.565403882737646</v>
      </c>
      <c r="BH90" s="260">
        <f t="shared" si="224"/>
        <v>15.687270880547585</v>
      </c>
      <c r="BI90" s="260">
        <f t="shared" si="224"/>
        <v>15.809137878357523</v>
      </c>
      <c r="BJ90" s="260">
        <f t="shared" si="224"/>
        <v>15.931004876167462</v>
      </c>
      <c r="BK90" s="260">
        <f t="shared" si="224"/>
        <v>16.052871873977402</v>
      </c>
      <c r="BL90" s="260">
        <f t="shared" si="224"/>
        <v>16.174738871787341</v>
      </c>
      <c r="BM90" s="260">
        <f t="shared" si="224"/>
        <v>16.296605869597279</v>
      </c>
      <c r="BN90" s="260">
        <f t="shared" si="224"/>
        <v>16.418472867407218</v>
      </c>
      <c r="BO90" s="260">
        <f t="shared" si="224"/>
        <v>16.540339865217156</v>
      </c>
      <c r="BP90" s="260">
        <f t="shared" si="224"/>
        <v>16.662206863027095</v>
      </c>
      <c r="BQ90" s="939">
        <f>'AEO Data'!$C$30*BB90</f>
        <v>16.784073860837033</v>
      </c>
      <c r="BR90" s="260">
        <f t="shared" si="225"/>
        <v>16.880009434991543</v>
      </c>
      <c r="BS90" s="260">
        <f t="shared" si="225"/>
        <v>16.975945009146052</v>
      </c>
      <c r="BT90" s="260">
        <f t="shared" si="225"/>
        <v>17.071880583300562</v>
      </c>
      <c r="BU90" s="260">
        <f t="shared" si="225"/>
        <v>17.167816157455071</v>
      </c>
      <c r="BV90" s="963">
        <f>'AEO Data'!$D$30*BQ90</f>
        <v>17.263751731609581</v>
      </c>
      <c r="BW90" s="1397">
        <f>+BV90*BW$134/BV$134</f>
        <v>17.321072463598775</v>
      </c>
      <c r="BX90" s="1397">
        <f t="shared" ref="BX90:CZ90" si="229">+BW90*BX$134/BW$134</f>
        <v>17.378583517272784</v>
      </c>
      <c r="BY90" s="1397">
        <f t="shared" si="229"/>
        <v>17.436285524555561</v>
      </c>
      <c r="BZ90" s="1397">
        <f t="shared" si="229"/>
        <v>17.494179119469241</v>
      </c>
      <c r="CA90" s="1397">
        <f t="shared" si="229"/>
        <v>17.552264938141089</v>
      </c>
      <c r="CB90" s="1397">
        <f t="shared" si="229"/>
        <v>17.589720211982893</v>
      </c>
      <c r="CC90" s="1397">
        <f t="shared" si="229"/>
        <v>17.627255412691312</v>
      </c>
      <c r="CD90" s="1397">
        <f t="shared" si="229"/>
        <v>17.664870710824552</v>
      </c>
      <c r="CE90" s="1397">
        <f t="shared" si="229"/>
        <v>17.702566277304761</v>
      </c>
      <c r="CF90" s="1397">
        <f t="shared" si="229"/>
        <v>17.740342283418837</v>
      </c>
      <c r="CG90" s="1397">
        <f t="shared" si="229"/>
        <v>17.752607912975723</v>
      </c>
      <c r="CH90" s="1397">
        <f t="shared" si="229"/>
        <v>17.764882022959085</v>
      </c>
      <c r="CI90" s="1397">
        <f t="shared" si="229"/>
        <v>17.77716461923227</v>
      </c>
      <c r="CJ90" s="1397">
        <f t="shared" si="229"/>
        <v>17.789455707662682</v>
      </c>
      <c r="CK90" s="1397">
        <f t="shared" si="229"/>
        <v>17.801755294121772</v>
      </c>
      <c r="CL90" s="1397">
        <f t="shared" si="229"/>
        <v>17.805924307948906</v>
      </c>
      <c r="CM90" s="1397">
        <f t="shared" si="229"/>
        <v>17.810094298122248</v>
      </c>
      <c r="CN90" s="1397">
        <f t="shared" si="229"/>
        <v>17.81426526487045</v>
      </c>
      <c r="CO90" s="1397">
        <f t="shared" si="229"/>
        <v>17.818437208422218</v>
      </c>
      <c r="CP90" s="1397">
        <f t="shared" si="229"/>
        <v>17.822610129006311</v>
      </c>
      <c r="CQ90" s="1397">
        <f t="shared" si="229"/>
        <v>17.828934590801964</v>
      </c>
      <c r="CR90" s="1397">
        <f t="shared" si="229"/>
        <v>17.835261296871419</v>
      </c>
      <c r="CS90" s="1397">
        <f t="shared" si="229"/>
        <v>17.84159024801107</v>
      </c>
      <c r="CT90" s="1397">
        <f t="shared" si="229"/>
        <v>17.847921445017597</v>
      </c>
      <c r="CU90" s="1397">
        <f t="shared" si="229"/>
        <v>17.854254888687954</v>
      </c>
      <c r="CV90" s="1397">
        <f t="shared" si="229"/>
        <v>17.864002085310659</v>
      </c>
      <c r="CW90" s="1397">
        <f t="shared" si="229"/>
        <v>17.873754603233113</v>
      </c>
      <c r="CX90" s="1397">
        <f t="shared" si="229"/>
        <v>17.883512445360374</v>
      </c>
      <c r="CY90" s="1397">
        <f t="shared" si="229"/>
        <v>17.893275614599098</v>
      </c>
      <c r="CZ90" s="1397">
        <f t="shared" si="229"/>
        <v>17.903044113857518</v>
      </c>
    </row>
    <row r="91" spans="1:104" ht="13" x14ac:dyDescent="0.3">
      <c r="A91" s="873" t="str">
        <f>'HyARC Physical Property Data'!A72</f>
        <v>Industrial Natural Gas</v>
      </c>
      <c r="B91" s="260">
        <v>2012</v>
      </c>
      <c r="C91" s="874">
        <f t="shared" si="221"/>
        <v>1.0589185747008452</v>
      </c>
      <c r="D91" s="1257" t="str">
        <f>'HyARC Physical Property Data'!H72</f>
        <v>mmBtu</v>
      </c>
      <c r="E91" s="874" t="s">
        <v>1058</v>
      </c>
      <c r="F91" s="260">
        <f>'HyARC Physical Property Data'!$E$6</f>
        <v>47.141269049911173</v>
      </c>
      <c r="G91" s="260">
        <f>'HyARC Physical Property Data'!$I$6</f>
        <v>52.224661236371581</v>
      </c>
      <c r="H91" s="1068">
        <v>7.3783194821098821</v>
      </c>
      <c r="I91" s="1068">
        <v>7.3783194821098821</v>
      </c>
      <c r="J91" s="1068">
        <v>7.3783194821098821</v>
      </c>
      <c r="K91" s="1068">
        <v>7.3783194821098821</v>
      </c>
      <c r="L91" s="1068">
        <v>8.8676108815331158</v>
      </c>
      <c r="M91" s="1068">
        <v>4.0882509003775072</v>
      </c>
      <c r="N91" s="1068">
        <v>4.7404242582948717</v>
      </c>
      <c r="O91" s="260">
        <f t="shared" ref="O91:AR91" si="230">O108*($C91/mmBTU_to_GJ*$G91/$F91)</f>
        <v>5.6639494209981782</v>
      </c>
      <c r="P91" s="260">
        <f t="shared" si="230"/>
        <v>4.1936228360778802</v>
      </c>
      <c r="Q91" s="260">
        <f t="shared" si="230"/>
        <v>5.1091841203909469</v>
      </c>
      <c r="R91" s="260">
        <f t="shared" si="230"/>
        <v>5.3368743716159921</v>
      </c>
      <c r="S91" s="260">
        <f t="shared" si="230"/>
        <v>5.4922435264745477</v>
      </c>
      <c r="T91" s="260">
        <f t="shared" si="230"/>
        <v>5.7249186404765142</v>
      </c>
      <c r="U91" s="260">
        <f t="shared" si="230"/>
        <v>6.0332162243860541</v>
      </c>
      <c r="V91" s="260">
        <f t="shared" si="230"/>
        <v>6.5003155465564157</v>
      </c>
      <c r="W91" s="260">
        <f t="shared" si="230"/>
        <v>6.6134284544266668</v>
      </c>
      <c r="X91" s="260">
        <f t="shared" si="230"/>
        <v>6.4407629487996489</v>
      </c>
      <c r="Y91" s="260">
        <f t="shared" si="230"/>
        <v>6.5991877366965674</v>
      </c>
      <c r="Z91" s="260">
        <f t="shared" si="230"/>
        <v>6.6211298061092361</v>
      </c>
      <c r="AA91" s="260">
        <f t="shared" si="230"/>
        <v>6.729798257918957</v>
      </c>
      <c r="AB91" s="260">
        <f t="shared" si="230"/>
        <v>6.9245136919123249</v>
      </c>
      <c r="AC91" s="260">
        <f t="shared" si="230"/>
        <v>7.0285708954650996</v>
      </c>
      <c r="AD91" s="260">
        <f t="shared" si="230"/>
        <v>7.0676625385133827</v>
      </c>
      <c r="AE91" s="260">
        <f t="shared" si="230"/>
        <v>7.1490882649082979</v>
      </c>
      <c r="AF91" s="260">
        <f t="shared" si="230"/>
        <v>7.2626859820961345</v>
      </c>
      <c r="AG91" s="260">
        <f t="shared" si="230"/>
        <v>7.4897713336221727</v>
      </c>
      <c r="AH91" s="260">
        <f t="shared" si="230"/>
        <v>7.7715211596019786</v>
      </c>
      <c r="AI91" s="260">
        <f t="shared" si="230"/>
        <v>7.8991127420692164</v>
      </c>
      <c r="AJ91" s="260">
        <f t="shared" si="230"/>
        <v>8.0328945389194857</v>
      </c>
      <c r="AK91" s="260">
        <f t="shared" si="230"/>
        <v>8.2510220375499461</v>
      </c>
      <c r="AL91" s="260">
        <f t="shared" si="230"/>
        <v>8.4203839457399265</v>
      </c>
      <c r="AM91" s="260">
        <f t="shared" si="230"/>
        <v>8.6260409478182627</v>
      </c>
      <c r="AN91" s="260">
        <f t="shared" si="230"/>
        <v>8.9436310809641917</v>
      </c>
      <c r="AO91" s="260">
        <f t="shared" si="230"/>
        <v>9.0003437635899601</v>
      </c>
      <c r="AP91" s="260">
        <f t="shared" si="230"/>
        <v>9.040412808909247</v>
      </c>
      <c r="AQ91" s="260">
        <f t="shared" si="230"/>
        <v>9.2706004952886456</v>
      </c>
      <c r="AR91" s="260">
        <f t="shared" si="230"/>
        <v>9.5554192976825281</v>
      </c>
      <c r="AS91" s="260">
        <f t="shared" ref="AS91:BA91" si="231">($BB91-$AR91)/10+AR91</f>
        <v>9.5705034586117605</v>
      </c>
      <c r="AT91" s="260">
        <f t="shared" si="231"/>
        <v>9.585587619540993</v>
      </c>
      <c r="AU91" s="260">
        <f t="shared" si="231"/>
        <v>9.6006717804702255</v>
      </c>
      <c r="AV91" s="260">
        <f t="shared" si="231"/>
        <v>9.615755941399458</v>
      </c>
      <c r="AW91" s="260">
        <f t="shared" si="231"/>
        <v>9.6308401023286905</v>
      </c>
      <c r="AX91" s="260">
        <f t="shared" si="231"/>
        <v>9.645924263257923</v>
      </c>
      <c r="AY91" s="260">
        <f t="shared" si="231"/>
        <v>9.6610084241871554</v>
      </c>
      <c r="AZ91" s="260">
        <f t="shared" si="231"/>
        <v>9.6760925851163879</v>
      </c>
      <c r="BA91" s="260">
        <f t="shared" si="231"/>
        <v>9.6911767460456204</v>
      </c>
      <c r="BB91" s="939">
        <f>'AEO Data'!$B$30*AM91</f>
        <v>9.7062609069748458</v>
      </c>
      <c r="BC91" s="260">
        <f t="shared" si="224"/>
        <v>9.7853507323227493</v>
      </c>
      <c r="BD91" s="260">
        <f t="shared" si="224"/>
        <v>9.8644405576706529</v>
      </c>
      <c r="BE91" s="260">
        <f t="shared" si="224"/>
        <v>9.9435303830185564</v>
      </c>
      <c r="BF91" s="260">
        <f t="shared" si="224"/>
        <v>10.02262020836646</v>
      </c>
      <c r="BG91" s="260">
        <f t="shared" si="224"/>
        <v>10.101710033714363</v>
      </c>
      <c r="BH91" s="260">
        <f t="shared" si="224"/>
        <v>10.180799859062267</v>
      </c>
      <c r="BI91" s="260">
        <f t="shared" si="224"/>
        <v>10.259889684410171</v>
      </c>
      <c r="BJ91" s="260">
        <f t="shared" si="224"/>
        <v>10.338979509758074</v>
      </c>
      <c r="BK91" s="260">
        <f t="shared" si="224"/>
        <v>10.418069335105978</v>
      </c>
      <c r="BL91" s="260">
        <f t="shared" si="224"/>
        <v>10.497159160453881</v>
      </c>
      <c r="BM91" s="260">
        <f t="shared" si="224"/>
        <v>10.576248985801785</v>
      </c>
      <c r="BN91" s="260">
        <f t="shared" si="224"/>
        <v>10.655338811149688</v>
      </c>
      <c r="BO91" s="260">
        <f t="shared" si="224"/>
        <v>10.734428636497592</v>
      </c>
      <c r="BP91" s="260">
        <f t="shared" si="224"/>
        <v>10.813518461845495</v>
      </c>
      <c r="BQ91" s="939">
        <f>'AEO Data'!$C$30*BB91</f>
        <v>10.892608287193402</v>
      </c>
      <c r="BR91" s="260">
        <f t="shared" si="225"/>
        <v>10.954869013566299</v>
      </c>
      <c r="BS91" s="260">
        <f t="shared" si="225"/>
        <v>11.017129739939195</v>
      </c>
      <c r="BT91" s="260">
        <f t="shared" si="225"/>
        <v>11.079390466312091</v>
      </c>
      <c r="BU91" s="260">
        <f t="shared" si="225"/>
        <v>11.141651192684987</v>
      </c>
      <c r="BV91" s="963">
        <f>'AEO Data'!$D$30*BQ91</f>
        <v>11.203911919057887</v>
      </c>
      <c r="BW91" s="1397">
        <f>+BV91*BW$135/BV$135</f>
        <v>11.241112201031763</v>
      </c>
      <c r="BX91" s="1397">
        <f t="shared" ref="BX91:CZ91" si="232">+BW91*BX$135/BW$135</f>
        <v>11.278435998880177</v>
      </c>
      <c r="BY91" s="1397">
        <f t="shared" si="232"/>
        <v>11.315883722712151</v>
      </c>
      <c r="BZ91" s="1397">
        <f t="shared" si="232"/>
        <v>11.35345578399839</v>
      </c>
      <c r="CA91" s="1397">
        <f t="shared" si="232"/>
        <v>11.391152595575804</v>
      </c>
      <c r="CB91" s="1397">
        <f t="shared" si="232"/>
        <v>11.415460497794959</v>
      </c>
      <c r="CC91" s="1397">
        <f t="shared" si="232"/>
        <v>11.439820271333133</v>
      </c>
      <c r="CD91" s="1397">
        <f t="shared" si="232"/>
        <v>11.464232026880003</v>
      </c>
      <c r="CE91" s="1397">
        <f t="shared" si="232"/>
        <v>11.488695875361442</v>
      </c>
      <c r="CF91" s="1397">
        <f t="shared" si="232"/>
        <v>11.513211927940032</v>
      </c>
      <c r="CG91" s="1397">
        <f t="shared" si="232"/>
        <v>11.521172134697148</v>
      </c>
      <c r="CH91" s="1397">
        <f t="shared" si="232"/>
        <v>11.529137845121877</v>
      </c>
      <c r="CI91" s="1397">
        <f t="shared" si="232"/>
        <v>11.537109063019443</v>
      </c>
      <c r="CJ91" s="1397">
        <f t="shared" si="232"/>
        <v>11.545085792197696</v>
      </c>
      <c r="CK91" s="1397">
        <f t="shared" si="232"/>
        <v>11.553068036467128</v>
      </c>
      <c r="CL91" s="1397">
        <f t="shared" si="232"/>
        <v>11.55577366294014</v>
      </c>
      <c r="CM91" s="1397">
        <f t="shared" si="232"/>
        <v>11.558479923046971</v>
      </c>
      <c r="CN91" s="1397">
        <f t="shared" si="232"/>
        <v>11.56118681693601</v>
      </c>
      <c r="CO91" s="1397">
        <f t="shared" si="232"/>
        <v>11.563894344755685</v>
      </c>
      <c r="CP91" s="1397">
        <f t="shared" si="232"/>
        <v>11.566602506654455</v>
      </c>
      <c r="CQ91" s="1397">
        <f t="shared" si="232"/>
        <v>11.570706986028089</v>
      </c>
      <c r="CR91" s="1397">
        <f t="shared" si="232"/>
        <v>11.574812921901238</v>
      </c>
      <c r="CS91" s="1397">
        <f t="shared" si="232"/>
        <v>11.578920314790748</v>
      </c>
      <c r="CT91" s="1397">
        <f t="shared" si="232"/>
        <v>11.583029165213651</v>
      </c>
      <c r="CU91" s="1397">
        <f t="shared" si="232"/>
        <v>11.587139473687161</v>
      </c>
      <c r="CV91" s="1397">
        <f t="shared" si="232"/>
        <v>11.593465255829788</v>
      </c>
      <c r="CW91" s="1397">
        <f t="shared" si="232"/>
        <v>11.599794491414899</v>
      </c>
      <c r="CX91" s="1397">
        <f t="shared" si="232"/>
        <v>11.606127182327835</v>
      </c>
      <c r="CY91" s="1397">
        <f t="shared" si="232"/>
        <v>11.612463330454966</v>
      </c>
      <c r="CZ91" s="1397">
        <f t="shared" si="232"/>
        <v>11.618802937683697</v>
      </c>
    </row>
    <row r="92" spans="1:104" ht="13" x14ac:dyDescent="0.3">
      <c r="A92" s="873" t="str">
        <f>'HyARC Physical Property Data'!A74</f>
        <v>Electric Utility Natural Gas</v>
      </c>
      <c r="B92" s="260">
        <v>2012</v>
      </c>
      <c r="C92" s="874">
        <f t="shared" si="221"/>
        <v>1.0589185747008452</v>
      </c>
      <c r="D92" s="1257" t="str">
        <f>'HyARC Physical Property Data'!H74</f>
        <v>mmBtu</v>
      </c>
      <c r="E92" s="874" t="s">
        <v>1058</v>
      </c>
      <c r="F92" s="260">
        <f>'HyARC Physical Property Data'!$E$6</f>
        <v>47.141269049911173</v>
      </c>
      <c r="G92" s="260">
        <f>'HyARC Physical Property Data'!$I$6</f>
        <v>52.224661236371581</v>
      </c>
      <c r="H92" s="1068">
        <v>7.0668336992239764</v>
      </c>
      <c r="I92" s="1068">
        <v>7.0668336992239764</v>
      </c>
      <c r="J92" s="1068">
        <v>7.0668336992239764</v>
      </c>
      <c r="K92" s="1068">
        <v>7.0668336992239764</v>
      </c>
      <c r="L92" s="1068">
        <v>8.8481430201027482</v>
      </c>
      <c r="M92" s="1068">
        <v>4.0298473160863999</v>
      </c>
      <c r="N92" s="1068">
        <v>4.7209563968645023</v>
      </c>
      <c r="O92" s="260">
        <f t="shared" ref="O92:AR92" si="233">O109*($C92/mmBTU_to_GJ*$G92/$F92)</f>
        <v>5.428419936541526</v>
      </c>
      <c r="P92" s="260">
        <f t="shared" si="233"/>
        <v>3.8227359244888057</v>
      </c>
      <c r="Q92" s="260">
        <f t="shared" si="233"/>
        <v>4.804318007935696</v>
      </c>
      <c r="R92" s="260">
        <f t="shared" si="233"/>
        <v>4.9697558517179701</v>
      </c>
      <c r="S92" s="260">
        <f t="shared" si="233"/>
        <v>4.9242593883272674</v>
      </c>
      <c r="T92" s="260">
        <f t="shared" si="233"/>
        <v>4.9757470274132745</v>
      </c>
      <c r="U92" s="260">
        <f t="shared" si="233"/>
        <v>5.2156664824796266</v>
      </c>
      <c r="V92" s="260">
        <f t="shared" si="233"/>
        <v>5.6287951857333169</v>
      </c>
      <c r="W92" s="260">
        <f t="shared" si="233"/>
        <v>5.7592455864471468</v>
      </c>
      <c r="X92" s="260">
        <f t="shared" si="233"/>
        <v>5.6424810414233342</v>
      </c>
      <c r="Y92" s="260">
        <f t="shared" si="233"/>
        <v>5.8292060172603444</v>
      </c>
      <c r="Z92" s="260">
        <f t="shared" si="233"/>
        <v>5.8870328717581808</v>
      </c>
      <c r="AA92" s="260">
        <f t="shared" si="233"/>
        <v>6.0268258593673236</v>
      </c>
      <c r="AB92" s="260">
        <f t="shared" si="233"/>
        <v>6.2516128144267338</v>
      </c>
      <c r="AC92" s="260">
        <f t="shared" si="233"/>
        <v>6.4022817651902537</v>
      </c>
      <c r="AD92" s="260">
        <f t="shared" si="233"/>
        <v>6.4648666450778842</v>
      </c>
      <c r="AE92" s="260">
        <f t="shared" si="233"/>
        <v>6.5662751885515531</v>
      </c>
      <c r="AF92" s="260">
        <f t="shared" si="233"/>
        <v>6.7024543452383245</v>
      </c>
      <c r="AG92" s="260">
        <f t="shared" si="233"/>
        <v>6.9426740262582278</v>
      </c>
      <c r="AH92" s="260">
        <f t="shared" si="233"/>
        <v>7.2203541226454542</v>
      </c>
      <c r="AI92" s="260">
        <f t="shared" si="233"/>
        <v>7.3578387062561834</v>
      </c>
      <c r="AJ92" s="260">
        <f t="shared" si="233"/>
        <v>7.4795914499008447</v>
      </c>
      <c r="AK92" s="260">
        <f t="shared" si="233"/>
        <v>7.7064221653403528</v>
      </c>
      <c r="AL92" s="260">
        <f t="shared" si="233"/>
        <v>7.8847308069461519</v>
      </c>
      <c r="AM92" s="260">
        <f t="shared" si="233"/>
        <v>8.102560303519013</v>
      </c>
      <c r="AN92" s="260">
        <f t="shared" si="233"/>
        <v>8.418335737567924</v>
      </c>
      <c r="AO92" s="260">
        <f t="shared" si="233"/>
        <v>8.4846512029154173</v>
      </c>
      <c r="AP92" s="260">
        <f t="shared" si="233"/>
        <v>8.5378634733123793</v>
      </c>
      <c r="AQ92" s="260">
        <f t="shared" si="233"/>
        <v>8.7815535439657371</v>
      </c>
      <c r="AR92" s="260">
        <f t="shared" si="233"/>
        <v>9.0721244532400576</v>
      </c>
      <c r="AS92" s="260">
        <f t="shared" ref="AS92:BA92" si="234">($BB92-$AR92)/10+AR92</f>
        <v>9.0766346022812474</v>
      </c>
      <c r="AT92" s="260">
        <f t="shared" si="234"/>
        <v>9.0811447513224373</v>
      </c>
      <c r="AU92" s="260">
        <f t="shared" si="234"/>
        <v>9.0856549003636271</v>
      </c>
      <c r="AV92" s="260">
        <f t="shared" si="234"/>
        <v>9.090165049404817</v>
      </c>
      <c r="AW92" s="260">
        <f t="shared" si="234"/>
        <v>9.0946751984460068</v>
      </c>
      <c r="AX92" s="260">
        <f t="shared" si="234"/>
        <v>9.0991853474871967</v>
      </c>
      <c r="AY92" s="260">
        <f t="shared" si="234"/>
        <v>9.1036954965283865</v>
      </c>
      <c r="AZ92" s="260">
        <f t="shared" si="234"/>
        <v>9.1082056455695763</v>
      </c>
      <c r="BA92" s="260">
        <f t="shared" si="234"/>
        <v>9.1127157946107662</v>
      </c>
      <c r="BB92" s="939">
        <f>'AEO Data'!$B$30*AM92</f>
        <v>9.1172259436519631</v>
      </c>
      <c r="BC92" s="260">
        <f t="shared" si="224"/>
        <v>9.1915161172266959</v>
      </c>
      <c r="BD92" s="260">
        <f t="shared" si="224"/>
        <v>9.2658062908014287</v>
      </c>
      <c r="BE92" s="260">
        <f t="shared" si="224"/>
        <v>9.3400964643761615</v>
      </c>
      <c r="BF92" s="260">
        <f t="shared" si="224"/>
        <v>9.4143866379508943</v>
      </c>
      <c r="BG92" s="260">
        <f t="shared" si="224"/>
        <v>9.488676811525627</v>
      </c>
      <c r="BH92" s="260">
        <f t="shared" si="224"/>
        <v>9.5629669851003598</v>
      </c>
      <c r="BI92" s="260">
        <f t="shared" si="224"/>
        <v>9.6372571586750926</v>
      </c>
      <c r="BJ92" s="260">
        <f t="shared" si="224"/>
        <v>9.7115473322498254</v>
      </c>
      <c r="BK92" s="260">
        <f t="shared" si="224"/>
        <v>9.7858375058245581</v>
      </c>
      <c r="BL92" s="260">
        <f t="shared" si="224"/>
        <v>9.8601276793992909</v>
      </c>
      <c r="BM92" s="260">
        <f t="shared" si="224"/>
        <v>9.9344178529740237</v>
      </c>
      <c r="BN92" s="260">
        <f t="shared" si="224"/>
        <v>10.008708026548756</v>
      </c>
      <c r="BO92" s="260">
        <f t="shared" si="224"/>
        <v>10.082998200123489</v>
      </c>
      <c r="BP92" s="260">
        <f t="shared" si="224"/>
        <v>10.157288373698222</v>
      </c>
      <c r="BQ92" s="939">
        <f>'AEO Data'!$C$30*BB92</f>
        <v>10.231578547272965</v>
      </c>
      <c r="BR92" s="260">
        <f t="shared" si="225"/>
        <v>10.2900609139843</v>
      </c>
      <c r="BS92" s="260">
        <f t="shared" si="225"/>
        <v>10.348543280695635</v>
      </c>
      <c r="BT92" s="260">
        <f t="shared" si="225"/>
        <v>10.40702564740697</v>
      </c>
      <c r="BU92" s="260">
        <f t="shared" si="225"/>
        <v>10.465508014118305</v>
      </c>
      <c r="BV92" s="963">
        <f>'AEO Data'!$D$30*BQ92</f>
        <v>10.523990380829638</v>
      </c>
      <c r="BW92" s="1397">
        <f>+BV92*BW$136/BV$136</f>
        <v>10.558933123372203</v>
      </c>
      <c r="BX92" s="1397">
        <f t="shared" ref="BX92:CZ92" si="235">+BW92*BX$136/BW$136</f>
        <v>10.593991886094585</v>
      </c>
      <c r="BY92" s="1397">
        <f t="shared" si="235"/>
        <v>10.6291670542179</v>
      </c>
      <c r="BZ92" s="1397">
        <f t="shared" si="235"/>
        <v>10.664459014242302</v>
      </c>
      <c r="CA92" s="1397">
        <f t="shared" si="235"/>
        <v>10.699868153951249</v>
      </c>
      <c r="CB92" s="1397">
        <f t="shared" si="235"/>
        <v>10.722700904777984</v>
      </c>
      <c r="CC92" s="1397">
        <f t="shared" si="235"/>
        <v>10.745582379056525</v>
      </c>
      <c r="CD92" s="1397">
        <f t="shared" si="235"/>
        <v>10.768512680759219</v>
      </c>
      <c r="CE92" s="1397">
        <f t="shared" si="235"/>
        <v>10.791491914080288</v>
      </c>
      <c r="CF92" s="1397">
        <f t="shared" si="235"/>
        <v>10.814520183436294</v>
      </c>
      <c r="CG92" s="1397">
        <f t="shared" si="235"/>
        <v>10.82199731641864</v>
      </c>
      <c r="CH92" s="1397">
        <f t="shared" si="235"/>
        <v>10.829479619072567</v>
      </c>
      <c r="CI92" s="1397">
        <f t="shared" si="235"/>
        <v>10.836967094972369</v>
      </c>
      <c r="CJ92" s="1397">
        <f t="shared" si="235"/>
        <v>10.84445974769482</v>
      </c>
      <c r="CK92" s="1397">
        <f t="shared" si="235"/>
        <v>10.851957580819162</v>
      </c>
      <c r="CL92" s="1397">
        <f t="shared" si="235"/>
        <v>10.854499013417151</v>
      </c>
      <c r="CM92" s="1397">
        <f t="shared" si="235"/>
        <v>10.857041041196203</v>
      </c>
      <c r="CN92" s="1397">
        <f t="shared" si="235"/>
        <v>10.859583664295704</v>
      </c>
      <c r="CO92" s="1397">
        <f t="shared" si="235"/>
        <v>10.862126882855071</v>
      </c>
      <c r="CP92" s="1397">
        <f t="shared" si="235"/>
        <v>10.864670697013759</v>
      </c>
      <c r="CQ92" s="1397">
        <f t="shared" si="235"/>
        <v>10.868526091607942</v>
      </c>
      <c r="CR92" s="1397">
        <f t="shared" si="235"/>
        <v>10.872382854312388</v>
      </c>
      <c r="CS92" s="1397">
        <f t="shared" si="235"/>
        <v>10.876240985612579</v>
      </c>
      <c r="CT92" s="1397">
        <f t="shared" si="235"/>
        <v>10.88010048599417</v>
      </c>
      <c r="CU92" s="1397">
        <f t="shared" si="235"/>
        <v>10.883961355942985</v>
      </c>
      <c r="CV92" s="1397">
        <f t="shared" si="235"/>
        <v>10.889903251140053</v>
      </c>
      <c r="CW92" s="1397">
        <f t="shared" si="235"/>
        <v>10.895848390203703</v>
      </c>
      <c r="CX92" s="1397">
        <f t="shared" si="235"/>
        <v>10.901796774904867</v>
      </c>
      <c r="CY92" s="1397">
        <f t="shared" si="235"/>
        <v>10.907748407015436</v>
      </c>
      <c r="CZ92" s="1397">
        <f t="shared" si="235"/>
        <v>10.913703288308273</v>
      </c>
    </row>
    <row r="93" spans="1:104" ht="13" x14ac:dyDescent="0.3">
      <c r="A93" s="873" t="str">
        <f>'HyARC Physical Property Data'!A75</f>
        <v>Bio Methane</v>
      </c>
      <c r="B93" s="260">
        <v>2007</v>
      </c>
      <c r="C93" s="874">
        <f t="shared" si="221"/>
        <v>1.1446359956438654</v>
      </c>
      <c r="D93" s="1257" t="str">
        <f>'HyARC Physical Property Data'!H75</f>
        <v>mmBtu</v>
      </c>
      <c r="E93" s="874" t="s">
        <v>1058</v>
      </c>
      <c r="F93" s="260">
        <f>'HyARC Physical Property Data'!$E$6</f>
        <v>47.141269049911173</v>
      </c>
      <c r="G93" s="260">
        <f>'HyARC Physical Property Data'!$I$6</f>
        <v>52.224661236371581</v>
      </c>
      <c r="H93" s="1068">
        <v>12.42654028436019</v>
      </c>
      <c r="I93" s="1068">
        <v>12.42654028436019</v>
      </c>
      <c r="J93" s="1068">
        <v>12.42654028436019</v>
      </c>
      <c r="K93" s="1068">
        <v>12.42654028436019</v>
      </c>
      <c r="L93" s="1068">
        <v>12.42654028436019</v>
      </c>
      <c r="M93" s="1068">
        <v>12.42654028436019</v>
      </c>
      <c r="N93" s="1068">
        <v>12.42654028436019</v>
      </c>
      <c r="O93" s="260">
        <f t="shared" ref="O93:AM93" si="236">13.11*($C$93/mmBTU_to_GJ)</f>
        <v>14.223865310797228</v>
      </c>
      <c r="P93" s="260">
        <f t="shared" si="236"/>
        <v>14.223865310797228</v>
      </c>
      <c r="Q93" s="260">
        <f t="shared" si="236"/>
        <v>14.223865310797228</v>
      </c>
      <c r="R93" s="260">
        <f t="shared" si="236"/>
        <v>14.223865310797228</v>
      </c>
      <c r="S93" s="260">
        <f t="shared" si="236"/>
        <v>14.223865310797228</v>
      </c>
      <c r="T93" s="260">
        <f t="shared" si="236"/>
        <v>14.223865310797228</v>
      </c>
      <c r="U93" s="260">
        <f t="shared" si="236"/>
        <v>14.223865310797228</v>
      </c>
      <c r="V93" s="260">
        <f t="shared" si="236"/>
        <v>14.223865310797228</v>
      </c>
      <c r="W93" s="260">
        <f t="shared" si="236"/>
        <v>14.223865310797228</v>
      </c>
      <c r="X93" s="260">
        <f t="shared" si="236"/>
        <v>14.223865310797228</v>
      </c>
      <c r="Y93" s="260">
        <f t="shared" si="236"/>
        <v>14.223865310797228</v>
      </c>
      <c r="Z93" s="260">
        <f t="shared" si="236"/>
        <v>14.223865310797228</v>
      </c>
      <c r="AA93" s="260">
        <f t="shared" si="236"/>
        <v>14.223865310797228</v>
      </c>
      <c r="AB93" s="260">
        <f t="shared" si="236"/>
        <v>14.223865310797228</v>
      </c>
      <c r="AC93" s="260">
        <f t="shared" si="236"/>
        <v>14.223865310797228</v>
      </c>
      <c r="AD93" s="260">
        <f t="shared" si="236"/>
        <v>14.223865310797228</v>
      </c>
      <c r="AE93" s="260">
        <f t="shared" si="236"/>
        <v>14.223865310797228</v>
      </c>
      <c r="AF93" s="260">
        <f t="shared" si="236"/>
        <v>14.223865310797228</v>
      </c>
      <c r="AG93" s="260">
        <f t="shared" si="236"/>
        <v>14.223865310797228</v>
      </c>
      <c r="AH93" s="260">
        <f t="shared" si="236"/>
        <v>14.223865310797228</v>
      </c>
      <c r="AI93" s="260">
        <f t="shared" si="236"/>
        <v>14.223865310797228</v>
      </c>
      <c r="AJ93" s="260">
        <f t="shared" si="236"/>
        <v>14.223865310797228</v>
      </c>
      <c r="AK93" s="260">
        <f t="shared" si="236"/>
        <v>14.223865310797228</v>
      </c>
      <c r="AL93" s="260">
        <f t="shared" si="236"/>
        <v>14.223865310797228</v>
      </c>
      <c r="AM93" s="260">
        <f t="shared" si="236"/>
        <v>14.223865310797228</v>
      </c>
      <c r="AN93" s="260">
        <f t="shared" ref="AN93:BV93" si="237">13.11*($C$93/mmBTU_to_GJ)</f>
        <v>14.223865310797228</v>
      </c>
      <c r="AO93" s="260">
        <f t="shared" si="237"/>
        <v>14.223865310797228</v>
      </c>
      <c r="AP93" s="260">
        <f t="shared" si="237"/>
        <v>14.223865310797228</v>
      </c>
      <c r="AQ93" s="260">
        <f t="shared" si="237"/>
        <v>14.223865310797228</v>
      </c>
      <c r="AR93" s="260">
        <f t="shared" si="237"/>
        <v>14.223865310797228</v>
      </c>
      <c r="AS93" s="260">
        <f t="shared" si="237"/>
        <v>14.223865310797228</v>
      </c>
      <c r="AT93" s="260">
        <f t="shared" si="237"/>
        <v>14.223865310797228</v>
      </c>
      <c r="AU93" s="260">
        <f t="shared" si="237"/>
        <v>14.223865310797228</v>
      </c>
      <c r="AV93" s="260">
        <f t="shared" si="237"/>
        <v>14.223865310797228</v>
      </c>
      <c r="AW93" s="260">
        <f t="shared" si="237"/>
        <v>14.223865310797228</v>
      </c>
      <c r="AX93" s="260">
        <f t="shared" si="237"/>
        <v>14.223865310797228</v>
      </c>
      <c r="AY93" s="260">
        <f t="shared" si="237"/>
        <v>14.223865310797228</v>
      </c>
      <c r="AZ93" s="260">
        <f t="shared" si="237"/>
        <v>14.223865310797228</v>
      </c>
      <c r="BA93" s="260">
        <f t="shared" si="237"/>
        <v>14.223865310797228</v>
      </c>
      <c r="BB93" s="260">
        <f t="shared" si="237"/>
        <v>14.223865310797228</v>
      </c>
      <c r="BC93" s="260">
        <f t="shared" si="237"/>
        <v>14.223865310797228</v>
      </c>
      <c r="BD93" s="260">
        <f t="shared" si="237"/>
        <v>14.223865310797228</v>
      </c>
      <c r="BE93" s="260">
        <f t="shared" si="237"/>
        <v>14.223865310797228</v>
      </c>
      <c r="BF93" s="260">
        <f t="shared" si="237"/>
        <v>14.223865310797228</v>
      </c>
      <c r="BG93" s="260">
        <f t="shared" si="237"/>
        <v>14.223865310797228</v>
      </c>
      <c r="BH93" s="260">
        <f t="shared" si="237"/>
        <v>14.223865310797228</v>
      </c>
      <c r="BI93" s="260">
        <f t="shared" si="237"/>
        <v>14.223865310797228</v>
      </c>
      <c r="BJ93" s="260">
        <f t="shared" si="237"/>
        <v>14.223865310797228</v>
      </c>
      <c r="BK93" s="260">
        <f t="shared" si="237"/>
        <v>14.223865310797228</v>
      </c>
      <c r="BL93" s="260">
        <f t="shared" si="237"/>
        <v>14.223865310797228</v>
      </c>
      <c r="BM93" s="260">
        <f t="shared" si="237"/>
        <v>14.223865310797228</v>
      </c>
      <c r="BN93" s="260">
        <f t="shared" si="237"/>
        <v>14.223865310797228</v>
      </c>
      <c r="BO93" s="260">
        <f t="shared" si="237"/>
        <v>14.223865310797228</v>
      </c>
      <c r="BP93" s="260">
        <f t="shared" si="237"/>
        <v>14.223865310797228</v>
      </c>
      <c r="BQ93" s="260">
        <f t="shared" si="237"/>
        <v>14.223865310797228</v>
      </c>
      <c r="BR93" s="260">
        <f t="shared" si="237"/>
        <v>14.223865310797228</v>
      </c>
      <c r="BS93" s="260">
        <f t="shared" si="237"/>
        <v>14.223865310797228</v>
      </c>
      <c r="BT93" s="260">
        <f t="shared" si="237"/>
        <v>14.223865310797228</v>
      </c>
      <c r="BU93" s="260">
        <f t="shared" si="237"/>
        <v>14.223865310797228</v>
      </c>
      <c r="BV93" s="876">
        <f t="shared" si="237"/>
        <v>14.223865310797228</v>
      </c>
      <c r="BW93" s="1397">
        <f>+BV93*BW$136/BV$136</f>
        <v>14.271092726019944</v>
      </c>
      <c r="BX93" s="1397">
        <f t="shared" ref="BX93:CZ93" si="238">+BW93*BX$136/BW$136</f>
        <v>14.318476950147966</v>
      </c>
      <c r="BY93" s="1397">
        <f t="shared" si="238"/>
        <v>14.366018503832969</v>
      </c>
      <c r="BZ93" s="1397">
        <f t="shared" si="238"/>
        <v>14.413717909455341</v>
      </c>
      <c r="CA93" s="1397">
        <f t="shared" si="238"/>
        <v>14.461575691129934</v>
      </c>
      <c r="CB93" s="1397">
        <f t="shared" si="238"/>
        <v>14.49243565590395</v>
      </c>
      <c r="CC93" s="1397">
        <f t="shared" si="238"/>
        <v>14.523361473628309</v>
      </c>
      <c r="CD93" s="1397">
        <f t="shared" si="238"/>
        <v>14.554353284828478</v>
      </c>
      <c r="CE93" s="1397">
        <f t="shared" si="238"/>
        <v>14.585411230329802</v>
      </c>
      <c r="CF93" s="1397">
        <f t="shared" si="238"/>
        <v>14.616535451258134</v>
      </c>
      <c r="CG93" s="1397">
        <f t="shared" si="238"/>
        <v>14.626641288360148</v>
      </c>
      <c r="CH93" s="1397">
        <f t="shared" si="238"/>
        <v>14.636754112613382</v>
      </c>
      <c r="CI93" s="1397">
        <f t="shared" si="238"/>
        <v>14.646873928848736</v>
      </c>
      <c r="CJ93" s="1397">
        <f t="shared" si="238"/>
        <v>14.657000741900452</v>
      </c>
      <c r="CK93" s="1397">
        <f t="shared" si="238"/>
        <v>14.667134556606111</v>
      </c>
      <c r="CL93" s="1397">
        <f t="shared" si="238"/>
        <v>14.670569469948116</v>
      </c>
      <c r="CM93" s="1397">
        <f t="shared" si="238"/>
        <v>14.674005187716483</v>
      </c>
      <c r="CN93" s="1397">
        <f t="shared" si="238"/>
        <v>14.6774417100996</v>
      </c>
      <c r="CO93" s="1397">
        <f t="shared" si="238"/>
        <v>14.6808790372859</v>
      </c>
      <c r="CP93" s="1397">
        <f t="shared" si="238"/>
        <v>14.684317169463862</v>
      </c>
      <c r="CQ93" s="1397">
        <f t="shared" si="238"/>
        <v>14.689527988881515</v>
      </c>
      <c r="CR93" s="1397">
        <f t="shared" si="238"/>
        <v>14.69474065739019</v>
      </c>
      <c r="CS93" s="1397">
        <f t="shared" si="238"/>
        <v>14.699955175646044</v>
      </c>
      <c r="CT93" s="1397">
        <f t="shared" si="238"/>
        <v>14.705171544305472</v>
      </c>
      <c r="CU93" s="1397">
        <f t="shared" si="238"/>
        <v>14.710389764025104</v>
      </c>
      <c r="CV93" s="1397">
        <f t="shared" si="238"/>
        <v>14.718420626266095</v>
      </c>
      <c r="CW93" s="1397">
        <f t="shared" si="238"/>
        <v>14.726455872806168</v>
      </c>
      <c r="CX93" s="1397">
        <f t="shared" si="238"/>
        <v>14.734495506038849</v>
      </c>
      <c r="CY93" s="1397">
        <f t="shared" si="238"/>
        <v>14.74253952835897</v>
      </c>
      <c r="CZ93" s="1397">
        <f t="shared" si="238"/>
        <v>14.750587942162673</v>
      </c>
    </row>
    <row r="94" spans="1:104" ht="13" x14ac:dyDescent="0.3">
      <c r="A94" s="964" t="str">
        <f>'HyARC Physical Property Data'!A85</f>
        <v>Woody Biomass</v>
      </c>
      <c r="B94" s="260">
        <v>2005</v>
      </c>
      <c r="C94" s="874">
        <f t="shared" si="221"/>
        <v>1.2112501494873942</v>
      </c>
      <c r="D94" s="1259" t="str">
        <f>+'HyARC Physical Property Data'!$H$85</f>
        <v>kg</v>
      </c>
      <c r="E94" s="874" t="s">
        <v>1058</v>
      </c>
      <c r="F94" s="260">
        <f>'HyARC Physical Property Data'!$E$45</f>
        <v>19.551069237418005</v>
      </c>
      <c r="G94" s="260">
        <f>'HyARC Physical Property Data'!$I$45</f>
        <v>20.588656379262464</v>
      </c>
      <c r="H94" s="1068">
        <v>1.3438238843289665</v>
      </c>
      <c r="I94" s="1068">
        <v>1.3438238843289665</v>
      </c>
      <c r="J94" s="1068">
        <v>1.3438238843289665</v>
      </c>
      <c r="K94" s="1068">
        <v>1.3438238843289665</v>
      </c>
      <c r="L94" s="1068">
        <v>1.3438238843289665</v>
      </c>
      <c r="M94" s="1068">
        <v>1.3438238843289665</v>
      </c>
      <c r="N94" s="1068">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76">
        <f>4.99*($C$94)</f>
        <v>6.0441382459420971</v>
      </c>
      <c r="BW94" s="1397">
        <f>+BV94*BW$137/BV$137</f>
        <v>6.0586659764672328</v>
      </c>
      <c r="BX94" s="1397">
        <f t="shared" ref="BX94:CZ94" si="239">+BW94*BX$137/BW$137</f>
        <v>6.0732286259412112</v>
      </c>
      <c r="BY94" s="1397">
        <f t="shared" si="239"/>
        <v>6.0878262782954495</v>
      </c>
      <c r="BZ94" s="1397">
        <f t="shared" si="239"/>
        <v>6.1024590176630999</v>
      </c>
      <c r="CA94" s="1397">
        <f t="shared" si="239"/>
        <v>6.1171269283795393</v>
      </c>
      <c r="CB94" s="1397">
        <f t="shared" si="239"/>
        <v>6.1299667153690152</v>
      </c>
      <c r="CC94" s="1397">
        <f t="shared" si="239"/>
        <v>6.1428334529403346</v>
      </c>
      <c r="CD94" s="1397">
        <f t="shared" si="239"/>
        <v>6.155727197662495</v>
      </c>
      <c r="CE94" s="1397">
        <f t="shared" si="239"/>
        <v>6.1686480062232301</v>
      </c>
      <c r="CF94" s="1397">
        <f t="shared" si="239"/>
        <v>6.18159593542926</v>
      </c>
      <c r="CG94" s="1397">
        <f t="shared" si="239"/>
        <v>6.197524392005751</v>
      </c>
      <c r="CH94" s="1397">
        <f t="shared" si="239"/>
        <v>6.2134938923080965</v>
      </c>
      <c r="CI94" s="1397">
        <f t="shared" si="239"/>
        <v>6.229504542095909</v>
      </c>
      <c r="CJ94" s="1397">
        <f t="shared" si="239"/>
        <v>6.245556447401321</v>
      </c>
      <c r="CK94" s="1397">
        <f t="shared" si="239"/>
        <v>6.2616497145296828</v>
      </c>
      <c r="CL94" s="1397">
        <f t="shared" si="239"/>
        <v>6.2750522655841658</v>
      </c>
      <c r="CM94" s="1397">
        <f t="shared" si="239"/>
        <v>6.2884835037072264</v>
      </c>
      <c r="CN94" s="1397">
        <f t="shared" si="239"/>
        <v>6.3019434903011975</v>
      </c>
      <c r="CO94" s="1397">
        <f t="shared" si="239"/>
        <v>6.3154322868998385</v>
      </c>
      <c r="CP94" s="1397">
        <f t="shared" si="239"/>
        <v>6.3289499551686168</v>
      </c>
      <c r="CQ94" s="1397">
        <f t="shared" si="239"/>
        <v>6.3413225489579119</v>
      </c>
      <c r="CR94" s="1397">
        <f t="shared" si="239"/>
        <v>6.3537193301840116</v>
      </c>
      <c r="CS94" s="1397">
        <f t="shared" si="239"/>
        <v>6.3661403461314299</v>
      </c>
      <c r="CT94" s="1397">
        <f t="shared" si="239"/>
        <v>6.3785856441771198</v>
      </c>
      <c r="CU94" s="1397">
        <f t="shared" si="239"/>
        <v>6.3910552717906537</v>
      </c>
      <c r="CV94" s="1397">
        <f t="shared" si="239"/>
        <v>6.4057772391562917</v>
      </c>
      <c r="CW94" s="1397">
        <f t="shared" si="239"/>
        <v>6.4205331189689208</v>
      </c>
      <c r="CX94" s="1397">
        <f t="shared" si="239"/>
        <v>6.4353229893467718</v>
      </c>
      <c r="CY94" s="1397">
        <f t="shared" si="239"/>
        <v>6.4501469285880244</v>
      </c>
      <c r="CZ94" s="1397">
        <f t="shared" si="239"/>
        <v>6.4650050151712186</v>
      </c>
    </row>
    <row r="95" spans="1:104" ht="13" x14ac:dyDescent="0.3">
      <c r="A95" s="910" t="str">
        <f>'HyARC Physical Property Data'!A80</f>
        <v>Metallurgical Coal</v>
      </c>
      <c r="B95" s="260">
        <v>2012</v>
      </c>
      <c r="C95" s="874">
        <f t="shared" si="221"/>
        <v>1.0589185747008452</v>
      </c>
      <c r="D95" s="1258" t="str">
        <f>+'HyARC Physical Property Data'!H80</f>
        <v>kg</v>
      </c>
      <c r="E95" s="901" t="s">
        <v>1052</v>
      </c>
      <c r="F95" s="260">
        <f>'HyARC Physical Property Data'!$E$44</f>
        <v>28.610197070281195</v>
      </c>
      <c r="G95" s="260">
        <f>'HyARC Physical Property Data'!$I$44</f>
        <v>29.865267156269461</v>
      </c>
      <c r="H95" s="1069">
        <v>3.3844321322674711</v>
      </c>
      <c r="I95" s="1069">
        <v>3.3844321322674711</v>
      </c>
      <c r="J95" s="1069">
        <v>3.3844321322674711</v>
      </c>
      <c r="K95" s="1069">
        <v>3.3844321322674711</v>
      </c>
      <c r="L95" s="1069">
        <v>4.1181843560652975</v>
      </c>
      <c r="M95" s="1069">
        <v>4.3291381204071717</v>
      </c>
      <c r="N95" s="1069">
        <v>4.4025133427869543</v>
      </c>
      <c r="O95" s="965">
        <f t="shared" ref="O95:AR95" si="240">O111*($C95/mmBTU_to_GJ*$G95/$F95)</f>
        <v>7.4754647098413036</v>
      </c>
      <c r="P95" s="965">
        <f t="shared" si="240"/>
        <v>7.5961523788362539</v>
      </c>
      <c r="Q95" s="965">
        <f t="shared" si="240"/>
        <v>7.7888515723825718</v>
      </c>
      <c r="R95" s="965">
        <f t="shared" si="240"/>
        <v>7.8710115565120651</v>
      </c>
      <c r="S95" s="965">
        <f t="shared" si="240"/>
        <v>8.1298664269345355</v>
      </c>
      <c r="T95" s="965">
        <f t="shared" si="240"/>
        <v>8.3275528874219908</v>
      </c>
      <c r="U95" s="965">
        <f t="shared" si="240"/>
        <v>8.4326459175194799</v>
      </c>
      <c r="V95" s="965">
        <f t="shared" si="240"/>
        <v>8.5820072281905144</v>
      </c>
      <c r="W95" s="965">
        <f t="shared" si="240"/>
        <v>8.6973241555173413</v>
      </c>
      <c r="X95" s="965">
        <f t="shared" si="240"/>
        <v>8.8306675382480098</v>
      </c>
      <c r="Y95" s="965">
        <f t="shared" si="240"/>
        <v>8.9332721736007059</v>
      </c>
      <c r="Z95" s="965">
        <f t="shared" si="240"/>
        <v>9.0455694993887992</v>
      </c>
      <c r="AA95" s="965">
        <f t="shared" si="240"/>
        <v>9.1556508441725821</v>
      </c>
      <c r="AB95" s="965">
        <f t="shared" si="240"/>
        <v>9.2678109153452777</v>
      </c>
      <c r="AC95" s="965">
        <f t="shared" si="240"/>
        <v>9.379158984022304</v>
      </c>
      <c r="AD95" s="965">
        <f t="shared" si="240"/>
        <v>9.4759674931736608</v>
      </c>
      <c r="AE95" s="965">
        <f t="shared" si="240"/>
        <v>9.5858141430425672</v>
      </c>
      <c r="AF95" s="965">
        <f t="shared" si="240"/>
        <v>9.7090321165885385</v>
      </c>
      <c r="AG95" s="965">
        <f t="shared" si="240"/>
        <v>9.8280622527471682</v>
      </c>
      <c r="AH95" s="965">
        <f t="shared" si="240"/>
        <v>9.9673233001172399</v>
      </c>
      <c r="AI95" s="965">
        <f t="shared" si="240"/>
        <v>10.050780392749491</v>
      </c>
      <c r="AJ95" s="965">
        <f t="shared" si="240"/>
        <v>10.135476967900939</v>
      </c>
      <c r="AK95" s="965">
        <f t="shared" si="240"/>
        <v>10.225183860386949</v>
      </c>
      <c r="AL95" s="965">
        <f t="shared" si="240"/>
        <v>10.307087146953293</v>
      </c>
      <c r="AM95" s="965">
        <f t="shared" si="240"/>
        <v>10.409246490614819</v>
      </c>
      <c r="AN95" s="260">
        <f t="shared" si="240"/>
        <v>10.490880506676149</v>
      </c>
      <c r="AO95" s="260">
        <f t="shared" si="240"/>
        <v>10.58291758438844</v>
      </c>
      <c r="AP95" s="260">
        <f t="shared" si="240"/>
        <v>10.589678683878184</v>
      </c>
      <c r="AQ95" s="260">
        <f t="shared" si="240"/>
        <v>10.619779354456332</v>
      </c>
      <c r="AR95" s="260">
        <f t="shared" si="240"/>
        <v>10.683904501220734</v>
      </c>
      <c r="AS95" s="260">
        <f>($BB95-$AR95)/10+AR95</f>
        <v>10.706641272001209</v>
      </c>
      <c r="AT95" s="260">
        <f t="shared" ref="AT95:BA95" si="241">($BB95-$AR95)/10+AS95</f>
        <v>10.729378042781683</v>
      </c>
      <c r="AU95" s="260">
        <f t="shared" si="241"/>
        <v>10.752114813562157</v>
      </c>
      <c r="AV95" s="260">
        <f t="shared" si="241"/>
        <v>10.774851584342631</v>
      </c>
      <c r="AW95" s="260">
        <f t="shared" si="241"/>
        <v>10.797588355123105</v>
      </c>
      <c r="AX95" s="260">
        <f t="shared" si="241"/>
        <v>10.82032512590358</v>
      </c>
      <c r="AY95" s="260">
        <f t="shared" si="241"/>
        <v>10.843061896684054</v>
      </c>
      <c r="AZ95" s="260">
        <f t="shared" si="241"/>
        <v>10.865798667464528</v>
      </c>
      <c r="BA95" s="260">
        <f t="shared" si="241"/>
        <v>10.888535438245002</v>
      </c>
      <c r="BB95" s="939">
        <f>('AEO Data'!$B$28*AM95)</f>
        <v>10.911272209025483</v>
      </c>
      <c r="BC95" s="260">
        <f t="shared" ref="BC95:BP95" si="242">($BQ95-$BB95)/15+BB95</f>
        <v>10.949564626152206</v>
      </c>
      <c r="BD95" s="260">
        <f t="shared" si="242"/>
        <v>10.987857043278929</v>
      </c>
      <c r="BE95" s="260">
        <f t="shared" si="242"/>
        <v>11.026149460405652</v>
      </c>
      <c r="BF95" s="260">
        <f t="shared" si="242"/>
        <v>11.064441877532374</v>
      </c>
      <c r="BG95" s="260">
        <f t="shared" si="242"/>
        <v>11.102734294659097</v>
      </c>
      <c r="BH95" s="260">
        <f t="shared" si="242"/>
        <v>11.14102671178582</v>
      </c>
      <c r="BI95" s="260">
        <f t="shared" si="242"/>
        <v>11.179319128912542</v>
      </c>
      <c r="BJ95" s="260">
        <f t="shared" si="242"/>
        <v>11.217611546039265</v>
      </c>
      <c r="BK95" s="260">
        <f t="shared" si="242"/>
        <v>11.255903963165988</v>
      </c>
      <c r="BL95" s="260">
        <f t="shared" si="242"/>
        <v>11.294196380292711</v>
      </c>
      <c r="BM95" s="260">
        <f t="shared" si="242"/>
        <v>11.332488797419433</v>
      </c>
      <c r="BN95" s="260">
        <f t="shared" si="242"/>
        <v>11.370781214546156</v>
      </c>
      <c r="BO95" s="260">
        <f t="shared" si="242"/>
        <v>11.409073631672879</v>
      </c>
      <c r="BP95" s="260">
        <f t="shared" si="242"/>
        <v>11.447366048799601</v>
      </c>
      <c r="BQ95" s="939">
        <f>('AEO Data'!$C$28*BB95)</f>
        <v>11.485658465926328</v>
      </c>
      <c r="BR95" s="260">
        <f t="shared" ref="BR95:BU100" si="243">($BV95-$BQ95)/5+BQ95</f>
        <v>11.522480349055732</v>
      </c>
      <c r="BS95" s="260">
        <f t="shared" si="243"/>
        <v>11.559302232185136</v>
      </c>
      <c r="BT95" s="260">
        <f t="shared" si="243"/>
        <v>11.59612411531454</v>
      </c>
      <c r="BU95" s="260">
        <f t="shared" si="243"/>
        <v>11.632945998443944</v>
      </c>
      <c r="BV95" s="963">
        <f>('AEO Data'!$D$28*BQ95)</f>
        <v>11.669767881573351</v>
      </c>
      <c r="BW95" s="1397">
        <f t="shared" ref="BW95:CZ95" si="244">+BV95*BW$138/BV$138</f>
        <v>11.709222844508201</v>
      </c>
      <c r="BX95" s="1397">
        <f t="shared" si="244"/>
        <v>11.748811202906952</v>
      </c>
      <c r="BY95" s="1397">
        <f t="shared" si="244"/>
        <v>11.788533407773697</v>
      </c>
      <c r="BZ95" s="1397">
        <f t="shared" si="244"/>
        <v>11.828389911637355</v>
      </c>
      <c r="CA95" s="1397">
        <f t="shared" si="244"/>
        <v>11.868381168556825</v>
      </c>
      <c r="CB95" s="1397">
        <f t="shared" si="244"/>
        <v>11.902362207175498</v>
      </c>
      <c r="CC95" s="1397">
        <f t="shared" si="244"/>
        <v>11.936440538842751</v>
      </c>
      <c r="CD95" s="1397">
        <f t="shared" si="244"/>
        <v>11.970616442123857</v>
      </c>
      <c r="CE95" s="1397">
        <f t="shared" si="244"/>
        <v>12.004890196381666</v>
      </c>
      <c r="CF95" s="1397">
        <f t="shared" si="244"/>
        <v>12.039262081778887</v>
      </c>
      <c r="CG95" s="1397">
        <f t="shared" si="244"/>
        <v>12.065505052077379</v>
      </c>
      <c r="CH95" s="1397">
        <f t="shared" si="244"/>
        <v>12.091805226337826</v>
      </c>
      <c r="CI95" s="1397">
        <f t="shared" si="244"/>
        <v>12.118162729252409</v>
      </c>
      <c r="CJ95" s="1397">
        <f t="shared" si="244"/>
        <v>12.144577685785119</v>
      </c>
      <c r="CK95" s="1397">
        <f t="shared" si="244"/>
        <v>12.171050221172331</v>
      </c>
      <c r="CL95" s="1397">
        <f t="shared" si="244"/>
        <v>12.188996392854733</v>
      </c>
      <c r="CM95" s="1397">
        <f t="shared" si="244"/>
        <v>12.206969026105547</v>
      </c>
      <c r="CN95" s="1397">
        <f t="shared" si="244"/>
        <v>12.224968159942263</v>
      </c>
      <c r="CO95" s="1397">
        <f t="shared" si="244"/>
        <v>12.242993833439904</v>
      </c>
      <c r="CP95" s="1397">
        <f t="shared" si="244"/>
        <v>12.261046085731108</v>
      </c>
      <c r="CQ95" s="1397">
        <f t="shared" si="244"/>
        <v>12.267091502720543</v>
      </c>
      <c r="CR95" s="1397">
        <f t="shared" si="244"/>
        <v>12.273139900456183</v>
      </c>
      <c r="CS95" s="1397">
        <f t="shared" si="244"/>
        <v>12.27919128040771</v>
      </c>
      <c r="CT95" s="1397">
        <f t="shared" si="244"/>
        <v>12.285245644045531</v>
      </c>
      <c r="CU95" s="1397">
        <f t="shared" si="244"/>
        <v>12.291302992840782</v>
      </c>
      <c r="CV95" s="1397">
        <f t="shared" si="244"/>
        <v>12.282597276301862</v>
      </c>
      <c r="CW95" s="1397">
        <f t="shared" si="244"/>
        <v>12.273897725870841</v>
      </c>
      <c r="CX95" s="1397">
        <f t="shared" si="244"/>
        <v>12.26520433718037</v>
      </c>
      <c r="CY95" s="1397">
        <f t="shared" si="244"/>
        <v>12.256517105866193</v>
      </c>
      <c r="CZ95" s="1397">
        <f t="shared" si="244"/>
        <v>12.247836027567152</v>
      </c>
    </row>
    <row r="96" spans="1:104" ht="13" x14ac:dyDescent="0.3">
      <c r="A96" s="910" t="str">
        <f>'HyARC Physical Property Data'!A81</f>
        <v>Other Industrial Coal</v>
      </c>
      <c r="B96" s="260">
        <v>2012</v>
      </c>
      <c r="C96" s="874">
        <f t="shared" si="221"/>
        <v>1.0589185747008452</v>
      </c>
      <c r="D96" s="1258" t="str">
        <f>+'HyARC Physical Property Data'!H81</f>
        <v>kg</v>
      </c>
      <c r="E96" s="901" t="s">
        <v>1052</v>
      </c>
      <c r="F96" s="260">
        <f>'HyARC Physical Property Data'!$E$42</f>
        <v>22.7322030001394</v>
      </c>
      <c r="G96" s="260">
        <f>'HyARC Physical Property Data'!$I$42</f>
        <v>23.967615189707661</v>
      </c>
      <c r="H96" s="1069">
        <v>1.7045706620386931</v>
      </c>
      <c r="I96" s="1069">
        <v>1.7045706620386931</v>
      </c>
      <c r="J96" s="1069">
        <v>1.7045706620386931</v>
      </c>
      <c r="K96" s="1069">
        <v>1.7045706620386931</v>
      </c>
      <c r="L96" s="1069">
        <v>1.9454339077615519</v>
      </c>
      <c r="M96" s="1069">
        <v>2.0288096466656182</v>
      </c>
      <c r="N96" s="1069">
        <v>1.8805861108361666</v>
      </c>
      <c r="O96" s="965">
        <f t="shared" ref="O96:AR96" si="245">O112*($C96/mmBTU_to_GJ*$G96/$F96)</f>
        <v>3.5000719734406505</v>
      </c>
      <c r="P96" s="965">
        <f t="shared" si="245"/>
        <v>3.4283630486034649</v>
      </c>
      <c r="Q96" s="965">
        <f t="shared" si="245"/>
        <v>3.5082354103172322</v>
      </c>
      <c r="R96" s="965">
        <f t="shared" si="245"/>
        <v>3.4729360065765973</v>
      </c>
      <c r="S96" s="965">
        <f t="shared" si="245"/>
        <v>3.5728444520840283</v>
      </c>
      <c r="T96" s="965">
        <f t="shared" si="245"/>
        <v>3.6374683095257363</v>
      </c>
      <c r="U96" s="965">
        <f t="shared" si="245"/>
        <v>3.6626327333639828</v>
      </c>
      <c r="V96" s="965">
        <f t="shared" si="245"/>
        <v>3.7258057129267965</v>
      </c>
      <c r="W96" s="965">
        <f t="shared" si="245"/>
        <v>3.7685626924606996</v>
      </c>
      <c r="X96" s="965">
        <f t="shared" si="245"/>
        <v>3.8026038220962977</v>
      </c>
      <c r="Y96" s="965">
        <f t="shared" si="245"/>
        <v>3.8249701999011396</v>
      </c>
      <c r="Z96" s="965">
        <f t="shared" si="245"/>
        <v>3.8516352399554865</v>
      </c>
      <c r="AA96" s="965">
        <f t="shared" si="245"/>
        <v>3.8787257015323093</v>
      </c>
      <c r="AB96" s="965">
        <f t="shared" si="245"/>
        <v>3.9124059636575477</v>
      </c>
      <c r="AC96" s="965">
        <f t="shared" si="245"/>
        <v>3.9446681540411968</v>
      </c>
      <c r="AD96" s="965">
        <f t="shared" si="245"/>
        <v>3.9749376361491651</v>
      </c>
      <c r="AE96" s="965">
        <f t="shared" si="245"/>
        <v>4.0052642644317942</v>
      </c>
      <c r="AF96" s="965">
        <f t="shared" si="245"/>
        <v>4.0387455732082129</v>
      </c>
      <c r="AG96" s="965">
        <f t="shared" si="245"/>
        <v>4.0690235214161303</v>
      </c>
      <c r="AH96" s="965">
        <f t="shared" si="245"/>
        <v>4.1108047829308205</v>
      </c>
      <c r="AI96" s="965">
        <f t="shared" si="245"/>
        <v>4.1436733577233733</v>
      </c>
      <c r="AJ96" s="965">
        <f t="shared" si="245"/>
        <v>4.1746317687147547</v>
      </c>
      <c r="AK96" s="965">
        <f t="shared" si="245"/>
        <v>4.2078082978929805</v>
      </c>
      <c r="AL96" s="965">
        <f t="shared" si="245"/>
        <v>4.2335251347529512</v>
      </c>
      <c r="AM96" s="965">
        <f t="shared" si="245"/>
        <v>4.2641893487710778</v>
      </c>
      <c r="AN96" s="260">
        <f t="shared" si="245"/>
        <v>4.2965838219664425</v>
      </c>
      <c r="AO96" s="260">
        <f t="shared" si="245"/>
        <v>4.3287105547508951</v>
      </c>
      <c r="AP96" s="260">
        <f t="shared" si="245"/>
        <v>4.3570423582328557</v>
      </c>
      <c r="AQ96" s="260">
        <f t="shared" si="245"/>
        <v>4.3910559730436169</v>
      </c>
      <c r="AR96" s="260">
        <f t="shared" si="245"/>
        <v>4.4340140224513274</v>
      </c>
      <c r="AS96" s="260">
        <f t="shared" ref="AS96:BA96" si="246">($BB96-$AR96)/10+AR96</f>
        <v>4.4375972389028373</v>
      </c>
      <c r="AT96" s="260">
        <f t="shared" si="246"/>
        <v>4.4411804553543472</v>
      </c>
      <c r="AU96" s="260">
        <f t="shared" si="246"/>
        <v>4.4447636718058572</v>
      </c>
      <c r="AV96" s="260">
        <f t="shared" si="246"/>
        <v>4.4483468882573671</v>
      </c>
      <c r="AW96" s="260">
        <f t="shared" si="246"/>
        <v>4.4519301047088771</v>
      </c>
      <c r="AX96" s="260">
        <f t="shared" si="246"/>
        <v>4.455513321160387</v>
      </c>
      <c r="AY96" s="260">
        <f t="shared" si="246"/>
        <v>4.4590965376118969</v>
      </c>
      <c r="AZ96" s="260">
        <f t="shared" si="246"/>
        <v>4.4626797540634069</v>
      </c>
      <c r="BA96" s="260">
        <f t="shared" si="246"/>
        <v>4.4662629705149168</v>
      </c>
      <c r="BB96" s="939">
        <f>('AEO Data'!$B$28*AM96)</f>
        <v>4.4698461869664294</v>
      </c>
      <c r="BC96" s="260">
        <f t="shared" ref="BC96:BP96" si="247">($BQ96-$BB96)/15+BB96</f>
        <v>4.4855328283960176</v>
      </c>
      <c r="BD96" s="260">
        <f t="shared" si="247"/>
        <v>4.5012194698256058</v>
      </c>
      <c r="BE96" s="260">
        <f t="shared" si="247"/>
        <v>4.516906111255194</v>
      </c>
      <c r="BF96" s="260">
        <f t="shared" si="247"/>
        <v>4.5325927526847822</v>
      </c>
      <c r="BG96" s="260">
        <f t="shared" si="247"/>
        <v>4.5482793941143704</v>
      </c>
      <c r="BH96" s="260">
        <f t="shared" si="247"/>
        <v>4.5639660355439586</v>
      </c>
      <c r="BI96" s="260">
        <f t="shared" si="247"/>
        <v>4.5796526769735468</v>
      </c>
      <c r="BJ96" s="260">
        <f t="shared" si="247"/>
        <v>4.595339318403135</v>
      </c>
      <c r="BK96" s="260">
        <f t="shared" si="247"/>
        <v>4.6110259598327232</v>
      </c>
      <c r="BL96" s="260">
        <f t="shared" si="247"/>
        <v>4.6267126012623114</v>
      </c>
      <c r="BM96" s="260">
        <f t="shared" si="247"/>
        <v>4.6423992426918996</v>
      </c>
      <c r="BN96" s="260">
        <f t="shared" si="247"/>
        <v>4.6580858841214878</v>
      </c>
      <c r="BO96" s="260">
        <f t="shared" si="247"/>
        <v>4.673772525551076</v>
      </c>
      <c r="BP96" s="260">
        <f t="shared" si="247"/>
        <v>4.6894591669806642</v>
      </c>
      <c r="BQ96" s="939">
        <f>('AEO Data'!$C$28*BB96)</f>
        <v>4.705145808410248</v>
      </c>
      <c r="BR96" s="260">
        <f t="shared" si="243"/>
        <v>4.7202300397216757</v>
      </c>
      <c r="BS96" s="260">
        <f t="shared" si="243"/>
        <v>4.7353142710331033</v>
      </c>
      <c r="BT96" s="260">
        <f t="shared" si="243"/>
        <v>4.750398502344531</v>
      </c>
      <c r="BU96" s="260">
        <f t="shared" si="243"/>
        <v>4.7654827336559586</v>
      </c>
      <c r="BV96" s="963">
        <f>('AEO Data'!$D$28*BQ96)</f>
        <v>4.7805669649673872</v>
      </c>
      <c r="BW96" s="1397">
        <f t="shared" ref="BW96:CZ96" si="248">+BV96*BW$138/BV$138</f>
        <v>4.7967298479248255</v>
      </c>
      <c r="BX96" s="1397">
        <f t="shared" si="248"/>
        <v>4.8129473768661839</v>
      </c>
      <c r="BY96" s="1397">
        <f t="shared" si="248"/>
        <v>4.8292197365470884</v>
      </c>
      <c r="BZ96" s="1397">
        <f t="shared" si="248"/>
        <v>4.8455471123478153</v>
      </c>
      <c r="CA96" s="1397">
        <f t="shared" si="248"/>
        <v>4.8619296902754039</v>
      </c>
      <c r="CB96" s="1397">
        <f t="shared" si="248"/>
        <v>4.8758501583004978</v>
      </c>
      <c r="CC96" s="1397">
        <f t="shared" si="248"/>
        <v>4.8898104828110576</v>
      </c>
      <c r="CD96" s="1397">
        <f t="shared" si="248"/>
        <v>4.9038107779224589</v>
      </c>
      <c r="CE96" s="1397">
        <f t="shared" si="248"/>
        <v>4.9178511580768074</v>
      </c>
      <c r="CF96" s="1397">
        <f t="shared" si="248"/>
        <v>4.9319317380438736</v>
      </c>
      <c r="CG96" s="1397">
        <f t="shared" si="248"/>
        <v>4.9426822755134054</v>
      </c>
      <c r="CH96" s="1397">
        <f t="shared" si="248"/>
        <v>4.9534562468141461</v>
      </c>
      <c r="CI96" s="1397">
        <f t="shared" si="248"/>
        <v>4.9642537030267464</v>
      </c>
      <c r="CJ96" s="1397">
        <f t="shared" si="248"/>
        <v>4.9750746953432019</v>
      </c>
      <c r="CK96" s="1397">
        <f t="shared" si="248"/>
        <v>4.9859192750670944</v>
      </c>
      <c r="CL96" s="1397">
        <f t="shared" si="248"/>
        <v>4.993270995886494</v>
      </c>
      <c r="CM96" s="1397">
        <f t="shared" si="248"/>
        <v>5.0006335567929519</v>
      </c>
      <c r="CN96" s="1397">
        <f t="shared" si="248"/>
        <v>5.0080069737701391</v>
      </c>
      <c r="CO96" s="1397">
        <f t="shared" si="248"/>
        <v>5.015391262825295</v>
      </c>
      <c r="CP96" s="1397">
        <f t="shared" si="248"/>
        <v>5.0227864399892601</v>
      </c>
      <c r="CQ96" s="1397">
        <f t="shared" si="248"/>
        <v>5.0252629691749675</v>
      </c>
      <c r="CR96" s="1397">
        <f t="shared" si="248"/>
        <v>5.0277407194352479</v>
      </c>
      <c r="CS96" s="1397">
        <f t="shared" si="248"/>
        <v>5.0302196913721628</v>
      </c>
      <c r="CT96" s="1397">
        <f t="shared" si="248"/>
        <v>5.0326998855880705</v>
      </c>
      <c r="CU96" s="1397">
        <f t="shared" si="248"/>
        <v>5.0351813026856274</v>
      </c>
      <c r="CV96" s="1397">
        <f t="shared" si="248"/>
        <v>5.0316149711771789</v>
      </c>
      <c r="CW96" s="1397">
        <f t="shared" si="248"/>
        <v>5.0280511656394289</v>
      </c>
      <c r="CX96" s="1397">
        <f t="shared" si="248"/>
        <v>5.024489884283275</v>
      </c>
      <c r="CY96" s="1397">
        <f t="shared" si="248"/>
        <v>5.0209311253208835</v>
      </c>
      <c r="CZ96" s="1397">
        <f t="shared" si="248"/>
        <v>5.0173748869656869</v>
      </c>
    </row>
    <row r="97" spans="1:104" ht="13" x14ac:dyDescent="0.3">
      <c r="A97" s="910" t="str">
        <f>'HyARC Physical Property Data'!A79</f>
        <v>Electric Utility Steam Coal</v>
      </c>
      <c r="B97" s="260">
        <v>2012</v>
      </c>
      <c r="C97" s="874">
        <f t="shared" si="221"/>
        <v>1.0589185747008452</v>
      </c>
      <c r="D97" s="1259" t="str">
        <f>+'HyARC Physical Property Data'!$H$79</f>
        <v>kg</v>
      </c>
      <c r="E97" s="901" t="s">
        <v>1052</v>
      </c>
      <c r="F97" s="260">
        <f>'HyARC Physical Property Data'!$E$42</f>
        <v>22.7322030001394</v>
      </c>
      <c r="G97" s="260">
        <f>'HyARC Physical Property Data'!$I$42</f>
        <v>23.967615189707661</v>
      </c>
      <c r="H97" s="1068">
        <v>1.6675147780813302</v>
      </c>
      <c r="I97" s="1068">
        <v>1.6675147780813302</v>
      </c>
      <c r="J97" s="1068">
        <v>1.6675147780813302</v>
      </c>
      <c r="K97" s="1068">
        <v>1.6675147780813302</v>
      </c>
      <c r="L97" s="1068">
        <v>1.899114052814848</v>
      </c>
      <c r="M97" s="1068">
        <v>1.9917537627082553</v>
      </c>
      <c r="N97" s="1068">
        <v>1.8435302268788039</v>
      </c>
      <c r="O97" s="260">
        <f t="shared" ref="O97:AR97" si="249">O113*($C97/mmBTU_to_GJ*$G97/$F97)</f>
        <v>2.563508608233021</v>
      </c>
      <c r="P97" s="260">
        <f t="shared" si="249"/>
        <v>2.5292473599987289</v>
      </c>
      <c r="Q97" s="260">
        <f t="shared" si="249"/>
        <v>2.512156420725097</v>
      </c>
      <c r="R97" s="260">
        <f t="shared" si="249"/>
        <v>2.4655759388013712</v>
      </c>
      <c r="S97" s="260">
        <f t="shared" si="249"/>
        <v>2.5439953061112566</v>
      </c>
      <c r="T97" s="260">
        <f t="shared" si="249"/>
        <v>2.5633361114465441</v>
      </c>
      <c r="U97" s="260">
        <f t="shared" si="249"/>
        <v>2.6312374078313132</v>
      </c>
      <c r="V97" s="260">
        <f t="shared" si="249"/>
        <v>2.6989005951549947</v>
      </c>
      <c r="W97" s="260">
        <f t="shared" si="249"/>
        <v>2.7399495390240283</v>
      </c>
      <c r="X97" s="260">
        <f t="shared" si="249"/>
        <v>2.7634874134094223</v>
      </c>
      <c r="Y97" s="260">
        <f t="shared" si="249"/>
        <v>2.7969877709107278</v>
      </c>
      <c r="Z97" s="260">
        <f t="shared" si="249"/>
        <v>2.8315834300930369</v>
      </c>
      <c r="AA97" s="260">
        <f t="shared" si="249"/>
        <v>2.8599236996749471</v>
      </c>
      <c r="AB97" s="260">
        <f t="shared" si="249"/>
        <v>2.8986106016579902</v>
      </c>
      <c r="AC97" s="260">
        <f t="shared" si="249"/>
        <v>2.9354709425768672</v>
      </c>
      <c r="AD97" s="260">
        <f t="shared" si="249"/>
        <v>2.9708190263922138</v>
      </c>
      <c r="AE97" s="260">
        <f t="shared" si="249"/>
        <v>3.0020991491816877</v>
      </c>
      <c r="AF97" s="260">
        <f t="shared" si="249"/>
        <v>3.0319082871048861</v>
      </c>
      <c r="AG97" s="260">
        <f t="shared" si="249"/>
        <v>3.0598453586766876</v>
      </c>
      <c r="AH97" s="260">
        <f t="shared" si="249"/>
        <v>3.0960559264244187</v>
      </c>
      <c r="AI97" s="260">
        <f t="shared" si="249"/>
        <v>3.1212584477124392</v>
      </c>
      <c r="AJ97" s="260">
        <f t="shared" si="249"/>
        <v>3.1476800873932294</v>
      </c>
      <c r="AK97" s="260">
        <f t="shared" si="249"/>
        <v>3.1754446621785544</v>
      </c>
      <c r="AL97" s="260">
        <f t="shared" si="249"/>
        <v>3.2007075044287174</v>
      </c>
      <c r="AM97" s="260">
        <f t="shared" si="249"/>
        <v>3.2277789172806535</v>
      </c>
      <c r="AN97" s="260">
        <f t="shared" si="249"/>
        <v>3.2553731118044889</v>
      </c>
      <c r="AO97" s="260">
        <f t="shared" si="249"/>
        <v>3.279584041135891</v>
      </c>
      <c r="AP97" s="260">
        <f t="shared" si="249"/>
        <v>3.3026478139240969</v>
      </c>
      <c r="AQ97" s="260">
        <f t="shared" si="249"/>
        <v>3.3375450779171172</v>
      </c>
      <c r="AR97" s="260">
        <f t="shared" si="249"/>
        <v>3.3755134196669223</v>
      </c>
      <c r="AS97" s="260">
        <f t="shared" ref="AS97:BA97" si="250">($BB97-$AR97)/10+AR97</f>
        <v>3.3763071676042595</v>
      </c>
      <c r="AT97" s="260">
        <f t="shared" si="250"/>
        <v>3.3771009155415967</v>
      </c>
      <c r="AU97" s="260">
        <f t="shared" si="250"/>
        <v>3.377894663478934</v>
      </c>
      <c r="AV97" s="260">
        <f t="shared" si="250"/>
        <v>3.3786884114162712</v>
      </c>
      <c r="AW97" s="260">
        <f t="shared" si="250"/>
        <v>3.3794821593536084</v>
      </c>
      <c r="AX97" s="260">
        <f t="shared" si="250"/>
        <v>3.3802759072909456</v>
      </c>
      <c r="AY97" s="260">
        <f t="shared" si="250"/>
        <v>3.3810696552282828</v>
      </c>
      <c r="AZ97" s="260">
        <f t="shared" si="250"/>
        <v>3.3818634031656201</v>
      </c>
      <c r="BA97" s="260">
        <f t="shared" si="250"/>
        <v>3.3826571511029573</v>
      </c>
      <c r="BB97" s="939">
        <f>('AEO Data'!$B$28*AM97)</f>
        <v>3.3834508990402963</v>
      </c>
      <c r="BC97" s="260">
        <f t="shared" ref="BC97:BP97" si="251">($BQ97-$BB97)/15+BB97</f>
        <v>3.3953249051755909</v>
      </c>
      <c r="BD97" s="260">
        <f t="shared" si="251"/>
        <v>3.4071989113108856</v>
      </c>
      <c r="BE97" s="260">
        <f t="shared" si="251"/>
        <v>3.4190729174461802</v>
      </c>
      <c r="BF97" s="260">
        <f t="shared" si="251"/>
        <v>3.4309469235814749</v>
      </c>
      <c r="BG97" s="260">
        <f t="shared" si="251"/>
        <v>3.4428209297167696</v>
      </c>
      <c r="BH97" s="260">
        <f t="shared" si="251"/>
        <v>3.4546949358520642</v>
      </c>
      <c r="BI97" s="260">
        <f t="shared" si="251"/>
        <v>3.4665689419873589</v>
      </c>
      <c r="BJ97" s="260">
        <f t="shared" si="251"/>
        <v>3.4784429481226535</v>
      </c>
      <c r="BK97" s="260">
        <f t="shared" si="251"/>
        <v>3.4903169542579482</v>
      </c>
      <c r="BL97" s="260">
        <f t="shared" si="251"/>
        <v>3.5021909603932428</v>
      </c>
      <c r="BM97" s="260">
        <f t="shared" si="251"/>
        <v>3.5140649665285375</v>
      </c>
      <c r="BN97" s="260">
        <f t="shared" si="251"/>
        <v>3.5259389726638322</v>
      </c>
      <c r="BO97" s="260">
        <f t="shared" si="251"/>
        <v>3.5378129787991268</v>
      </c>
      <c r="BP97" s="260">
        <f t="shared" si="251"/>
        <v>3.5496869849344215</v>
      </c>
      <c r="BQ97" s="939">
        <f>('AEO Data'!$C$28*BB97)</f>
        <v>3.5615609910697135</v>
      </c>
      <c r="BR97" s="260">
        <f t="shared" si="243"/>
        <v>3.5729790027545003</v>
      </c>
      <c r="BS97" s="260">
        <f t="shared" si="243"/>
        <v>3.5843970144392872</v>
      </c>
      <c r="BT97" s="260">
        <f t="shared" si="243"/>
        <v>3.595815026124074</v>
      </c>
      <c r="BU97" s="260">
        <f t="shared" si="243"/>
        <v>3.6072330378088608</v>
      </c>
      <c r="BV97" s="963">
        <f>('AEO Data'!$D$28*BQ97)</f>
        <v>3.6186510494936472</v>
      </c>
      <c r="BW97" s="1397">
        <f t="shared" ref="BW97:CZ97" si="252">+BV97*BW$138/BV$138</f>
        <v>3.6308855467416481</v>
      </c>
      <c r="BX97" s="1397">
        <f t="shared" si="252"/>
        <v>3.6431614082772978</v>
      </c>
      <c r="BY97" s="1397">
        <f t="shared" si="252"/>
        <v>3.6554787739514016</v>
      </c>
      <c r="BZ97" s="1397">
        <f t="shared" si="252"/>
        <v>3.6678377840875944</v>
      </c>
      <c r="CA97" s="1397">
        <f t="shared" si="252"/>
        <v>3.6802385794839378</v>
      </c>
      <c r="CB97" s="1397">
        <f t="shared" si="252"/>
        <v>3.6907756803336049</v>
      </c>
      <c r="CC97" s="1397">
        <f t="shared" si="252"/>
        <v>3.701342950557327</v>
      </c>
      <c r="CD97" s="1397">
        <f t="shared" si="252"/>
        <v>3.7119404765347586</v>
      </c>
      <c r="CE97" s="1397">
        <f t="shared" si="252"/>
        <v>3.7225683448928724</v>
      </c>
      <c r="CF97" s="1397">
        <f t="shared" si="252"/>
        <v>3.7332266425066685</v>
      </c>
      <c r="CG97" s="1397">
        <f t="shared" si="252"/>
        <v>3.7413642638352314</v>
      </c>
      <c r="CH97" s="1397">
        <f t="shared" si="252"/>
        <v>3.7495196234066683</v>
      </c>
      <c r="CI97" s="1397">
        <f t="shared" si="252"/>
        <v>3.7576927598864862</v>
      </c>
      <c r="CJ97" s="1397">
        <f t="shared" si="252"/>
        <v>3.7658837120244759</v>
      </c>
      <c r="CK97" s="1397">
        <f t="shared" si="252"/>
        <v>3.7740925186548933</v>
      </c>
      <c r="CL97" s="1397">
        <f t="shared" si="252"/>
        <v>3.7796574050906777</v>
      </c>
      <c r="CM97" s="1397">
        <f t="shared" si="252"/>
        <v>3.785230496932368</v>
      </c>
      <c r="CN97" s="1397">
        <f t="shared" si="252"/>
        <v>3.7908118062788079</v>
      </c>
      <c r="CO97" s="1397">
        <f t="shared" si="252"/>
        <v>3.7964013452466796</v>
      </c>
      <c r="CP97" s="1397">
        <f t="shared" si="252"/>
        <v>3.8019991259705304</v>
      </c>
      <c r="CQ97" s="1397">
        <f t="shared" si="252"/>
        <v>3.803873735196305</v>
      </c>
      <c r="CR97" s="1397">
        <f t="shared" si="252"/>
        <v>3.8057492687147039</v>
      </c>
      <c r="CS97" s="1397">
        <f t="shared" si="252"/>
        <v>3.807625726981458</v>
      </c>
      <c r="CT97" s="1397">
        <f t="shared" si="252"/>
        <v>3.8095031104525217</v>
      </c>
      <c r="CU97" s="1397">
        <f t="shared" si="252"/>
        <v>3.8113814195840758</v>
      </c>
      <c r="CV97" s="1397">
        <f t="shared" si="252"/>
        <v>3.808681884288271</v>
      </c>
      <c r="CW97" s="1397">
        <f t="shared" si="252"/>
        <v>3.8059842610264538</v>
      </c>
      <c r="CX97" s="1397">
        <f t="shared" si="252"/>
        <v>3.8032885484443635</v>
      </c>
      <c r="CY97" s="1397">
        <f t="shared" si="252"/>
        <v>3.8005947451886986</v>
      </c>
      <c r="CZ97" s="1397">
        <f t="shared" si="252"/>
        <v>3.7979028499071168</v>
      </c>
    </row>
    <row r="98" spans="1:104" ht="13" x14ac:dyDescent="0.3">
      <c r="A98" s="877" t="str">
        <f>'HyARC Physical Property Data'!A76</f>
        <v>Commercial Electricity</v>
      </c>
      <c r="B98" s="260">
        <v>2012</v>
      </c>
      <c r="C98" s="874">
        <f t="shared" si="221"/>
        <v>1.0589185747008452</v>
      </c>
      <c r="D98" s="1247" t="str">
        <f>'HyARC Physical Property Data'!$H$76</f>
        <v>kWh</v>
      </c>
      <c r="E98" s="874" t="s">
        <v>1071</v>
      </c>
      <c r="F98" s="878"/>
      <c r="G98" s="874"/>
      <c r="H98" s="1068">
        <v>26.706046857142852</v>
      </c>
      <c r="I98" s="1068">
        <v>26.706046857142852</v>
      </c>
      <c r="J98" s="1068">
        <v>26.706046857142852</v>
      </c>
      <c r="K98" s="1068">
        <v>26.706046857142852</v>
      </c>
      <c r="L98" s="1068">
        <v>28.244819428571425</v>
      </c>
      <c r="M98" s="1068">
        <v>26.82655314285714</v>
      </c>
      <c r="N98" s="1068">
        <v>25.371207999999996</v>
      </c>
      <c r="O98" s="260">
        <f>O114*($C98)</f>
        <v>32.330007136570579</v>
      </c>
      <c r="P98" s="260">
        <f t="shared" ref="P98:AR98" si="253">P114*($C98)</f>
        <v>31.294588082879496</v>
      </c>
      <c r="Q98" s="260">
        <f t="shared" si="253"/>
        <v>31.198589701652843</v>
      </c>
      <c r="R98" s="260">
        <f t="shared" si="253"/>
        <v>31.36496487027269</v>
      </c>
      <c r="S98" s="260">
        <f t="shared" si="253"/>
        <v>31.759086951346323</v>
      </c>
      <c r="T98" s="260">
        <f t="shared" si="253"/>
        <v>31.913488927642028</v>
      </c>
      <c r="U98" s="260">
        <f t="shared" si="253"/>
        <v>32.158172183779577</v>
      </c>
      <c r="V98" s="260">
        <f t="shared" si="253"/>
        <v>32.533567289859626</v>
      </c>
      <c r="W98" s="260">
        <f t="shared" si="253"/>
        <v>32.841645883227365</v>
      </c>
      <c r="X98" s="260">
        <f t="shared" si="253"/>
        <v>32.614198644730223</v>
      </c>
      <c r="Y98" s="260">
        <f t="shared" si="253"/>
        <v>32.436733421877534</v>
      </c>
      <c r="Z98" s="260">
        <f t="shared" si="253"/>
        <v>32.079793148717371</v>
      </c>
      <c r="AA98" s="260">
        <f t="shared" si="253"/>
        <v>31.936446282341542</v>
      </c>
      <c r="AB98" s="260">
        <f t="shared" si="253"/>
        <v>32.294334287626057</v>
      </c>
      <c r="AC98" s="260">
        <f t="shared" si="253"/>
        <v>32.349416055126277</v>
      </c>
      <c r="AD98" s="260">
        <f t="shared" si="253"/>
        <v>32.432684117247874</v>
      </c>
      <c r="AE98" s="260">
        <f t="shared" si="253"/>
        <v>32.648171929362348</v>
      </c>
      <c r="AF98" s="260">
        <f t="shared" si="253"/>
        <v>32.727937088838836</v>
      </c>
      <c r="AG98" s="260">
        <f t="shared" si="253"/>
        <v>32.843544524231802</v>
      </c>
      <c r="AH98" s="260">
        <f t="shared" si="253"/>
        <v>33.101402845275778</v>
      </c>
      <c r="AI98" s="260">
        <f t="shared" si="253"/>
        <v>33.362655000351673</v>
      </c>
      <c r="AJ98" s="260">
        <f t="shared" si="253"/>
        <v>33.40757114953476</v>
      </c>
      <c r="AK98" s="260">
        <f t="shared" si="253"/>
        <v>33.395441237261558</v>
      </c>
      <c r="AL98" s="260">
        <f t="shared" si="253"/>
        <v>33.59644198435555</v>
      </c>
      <c r="AM98" s="260">
        <f t="shared" si="253"/>
        <v>33.868319328409996</v>
      </c>
      <c r="AN98" s="260">
        <f t="shared" si="253"/>
        <v>34.152252460437403</v>
      </c>
      <c r="AO98" s="260">
        <f t="shared" si="253"/>
        <v>34.36864670685182</v>
      </c>
      <c r="AP98" s="260">
        <f t="shared" si="253"/>
        <v>34.442402503416886</v>
      </c>
      <c r="AQ98" s="260">
        <f t="shared" si="253"/>
        <v>34.677078979023513</v>
      </c>
      <c r="AR98" s="260">
        <f t="shared" si="253"/>
        <v>34.95210131124481</v>
      </c>
      <c r="AS98" s="260">
        <f t="shared" ref="AS98:BA98" si="254">($BB98-$AR98)/10+AR98</f>
        <v>34.759294585447087</v>
      </c>
      <c r="AT98" s="260">
        <f t="shared" si="254"/>
        <v>34.566487859649364</v>
      </c>
      <c r="AU98" s="260">
        <f t="shared" si="254"/>
        <v>34.37368113385164</v>
      </c>
      <c r="AV98" s="260">
        <f t="shared" si="254"/>
        <v>34.180874408053917</v>
      </c>
      <c r="AW98" s="260">
        <f t="shared" si="254"/>
        <v>33.988067682256194</v>
      </c>
      <c r="AX98" s="260">
        <f t="shared" si="254"/>
        <v>33.795260956458471</v>
      </c>
      <c r="AY98" s="260">
        <f t="shared" si="254"/>
        <v>33.602454230660747</v>
      </c>
      <c r="AZ98" s="260">
        <f t="shared" si="254"/>
        <v>33.409647504863024</v>
      </c>
      <c r="BA98" s="260">
        <f t="shared" si="254"/>
        <v>33.216840779065301</v>
      </c>
      <c r="BB98" s="939">
        <f>'AEO Data'!$B$33*AM98</f>
        <v>33.024034053267563</v>
      </c>
      <c r="BC98" s="260">
        <f t="shared" ref="BC98:BP98" si="255">($BQ98-$BB98)/15+BB98</f>
        <v>33.043274641864315</v>
      </c>
      <c r="BD98" s="260">
        <f t="shared" si="255"/>
        <v>33.062515230461067</v>
      </c>
      <c r="BE98" s="260">
        <f t="shared" si="255"/>
        <v>33.081755819057818</v>
      </c>
      <c r="BF98" s="260">
        <f t="shared" si="255"/>
        <v>33.10099640765457</v>
      </c>
      <c r="BG98" s="260">
        <f t="shared" si="255"/>
        <v>33.120236996251322</v>
      </c>
      <c r="BH98" s="260">
        <f t="shared" si="255"/>
        <v>33.139477584848073</v>
      </c>
      <c r="BI98" s="260">
        <f t="shared" si="255"/>
        <v>33.158718173444825</v>
      </c>
      <c r="BJ98" s="260">
        <f t="shared" si="255"/>
        <v>33.177958762041577</v>
      </c>
      <c r="BK98" s="260">
        <f t="shared" si="255"/>
        <v>33.197199350638328</v>
      </c>
      <c r="BL98" s="260">
        <f t="shared" si="255"/>
        <v>33.21643993923508</v>
      </c>
      <c r="BM98" s="260">
        <f t="shared" si="255"/>
        <v>33.235680527831832</v>
      </c>
      <c r="BN98" s="260">
        <f t="shared" si="255"/>
        <v>33.254921116428584</v>
      </c>
      <c r="BO98" s="260">
        <f t="shared" si="255"/>
        <v>33.274161705025335</v>
      </c>
      <c r="BP98" s="260">
        <f t="shared" si="255"/>
        <v>33.293402293622087</v>
      </c>
      <c r="BQ98" s="939">
        <f>'AEO Data'!$C$33*BB98</f>
        <v>33.312642882218888</v>
      </c>
      <c r="BR98" s="260">
        <f t="shared" si="243"/>
        <v>33.29021180684974</v>
      </c>
      <c r="BS98" s="260">
        <f t="shared" si="243"/>
        <v>33.267780731480592</v>
      </c>
      <c r="BT98" s="260">
        <f t="shared" si="243"/>
        <v>33.245349656111443</v>
      </c>
      <c r="BU98" s="260">
        <f t="shared" si="243"/>
        <v>33.222918580742295</v>
      </c>
      <c r="BV98" s="963">
        <f>'AEO Data'!$D$33*BQ98</f>
        <v>33.200487505373161</v>
      </c>
      <c r="BW98" s="1397">
        <f>+BV98*BW$139/BV$139</f>
        <v>33.185869205539639</v>
      </c>
      <c r="BX98" s="1397">
        <f t="shared" ref="BX98:CZ98" si="256">+BW98*BX$139/BW$139</f>
        <v>33.171257342198651</v>
      </c>
      <c r="BY98" s="1397">
        <f t="shared" si="256"/>
        <v>33.156651912516189</v>
      </c>
      <c r="BZ98" s="1397">
        <f t="shared" si="256"/>
        <v>33.142052913659484</v>
      </c>
      <c r="CA98" s="1397">
        <f t="shared" si="256"/>
        <v>33.127460342797029</v>
      </c>
      <c r="CB98" s="1397">
        <f t="shared" si="256"/>
        <v>33.100925764400195</v>
      </c>
      <c r="CC98" s="1397">
        <f t="shared" si="256"/>
        <v>33.074412439786272</v>
      </c>
      <c r="CD98" s="1397">
        <f t="shared" si="256"/>
        <v>33.047920351931317</v>
      </c>
      <c r="CE98" s="1397">
        <f t="shared" si="256"/>
        <v>33.021449483825023</v>
      </c>
      <c r="CF98" s="1397">
        <f t="shared" si="256"/>
        <v>32.994999818470696</v>
      </c>
      <c r="CG98" s="1397">
        <f t="shared" si="256"/>
        <v>32.958563922192354</v>
      </c>
      <c r="CH98" s="1397">
        <f t="shared" si="256"/>
        <v>32.922168261541977</v>
      </c>
      <c r="CI98" s="1397">
        <f t="shared" si="256"/>
        <v>32.885812792087954</v>
      </c>
      <c r="CJ98" s="1397">
        <f t="shared" si="256"/>
        <v>32.849497469447741</v>
      </c>
      <c r="CK98" s="1397">
        <f t="shared" si="256"/>
        <v>32.81322224928779</v>
      </c>
      <c r="CL98" s="1397">
        <f t="shared" si="256"/>
        <v>32.773673393987664</v>
      </c>
      <c r="CM98" s="1397">
        <f t="shared" si="256"/>
        <v>32.734172205812207</v>
      </c>
      <c r="CN98" s="1397">
        <f t="shared" si="256"/>
        <v>32.694718627309562</v>
      </c>
      <c r="CO98" s="1397">
        <f t="shared" si="256"/>
        <v>32.65531260109713</v>
      </c>
      <c r="CP98" s="1397">
        <f t="shared" si="256"/>
        <v>32.615954069861473</v>
      </c>
      <c r="CQ98" s="1397">
        <f t="shared" si="256"/>
        <v>32.57036661325251</v>
      </c>
      <c r="CR98" s="1397">
        <f t="shared" si="256"/>
        <v>32.524842874423982</v>
      </c>
      <c r="CS98" s="1397">
        <f t="shared" si="256"/>
        <v>32.479382764317279</v>
      </c>
      <c r="CT98" s="1397">
        <f t="shared" si="256"/>
        <v>32.433986193998265</v>
      </c>
      <c r="CU98" s="1397">
        <f t="shared" si="256"/>
        <v>32.388653074657114</v>
      </c>
      <c r="CV98" s="1397">
        <f t="shared" si="256"/>
        <v>32.344399879459552</v>
      </c>
      <c r="CW98" s="1397">
        <f t="shared" si="256"/>
        <v>32.300207148193003</v>
      </c>
      <c r="CX98" s="1397">
        <f t="shared" si="256"/>
        <v>32.256074798244526</v>
      </c>
      <c r="CY98" s="1397">
        <f t="shared" si="256"/>
        <v>32.212002747114042</v>
      </c>
      <c r="CZ98" s="1397">
        <f t="shared" si="256"/>
        <v>32.167990912414197</v>
      </c>
    </row>
    <row r="99" spans="1:104" ht="13" x14ac:dyDescent="0.3">
      <c r="A99" s="877" t="str">
        <f>'HyARC Physical Property Data'!A77</f>
        <v>Industrial Electricity</v>
      </c>
      <c r="B99" s="260">
        <v>2012</v>
      </c>
      <c r="C99" s="874">
        <f t="shared" si="221"/>
        <v>1.0589185747008452</v>
      </c>
      <c r="D99" s="1247" t="str">
        <f>'HyARC Physical Property Data'!$H$77</f>
        <v>kWh</v>
      </c>
      <c r="E99" s="874" t="s">
        <v>1071</v>
      </c>
      <c r="F99" s="885"/>
      <c r="G99" s="222"/>
      <c r="H99" s="1068">
        <v>17.630996571428568</v>
      </c>
      <c r="I99" s="1068">
        <v>17.630996571428568</v>
      </c>
      <c r="J99" s="1068">
        <v>17.630996571428568</v>
      </c>
      <c r="K99" s="1068">
        <v>17.630996571428568</v>
      </c>
      <c r="L99" s="1068">
        <v>18.734092571428569</v>
      </c>
      <c r="M99" s="1068">
        <v>18.576507428571425</v>
      </c>
      <c r="N99" s="1068">
        <v>17.751502857142853</v>
      </c>
      <c r="O99" s="260">
        <f t="shared" ref="O99:AR99" si="257">O115*($C99)</f>
        <v>21.546913279081487</v>
      </c>
      <c r="P99" s="260">
        <f t="shared" si="257"/>
        <v>20.644255082774947</v>
      </c>
      <c r="Q99" s="260">
        <f t="shared" si="257"/>
        <v>21.265150930132211</v>
      </c>
      <c r="R99" s="260">
        <f t="shared" si="257"/>
        <v>21.043453619495697</v>
      </c>
      <c r="S99" s="260">
        <f t="shared" si="257"/>
        <v>21.290934538507603</v>
      </c>
      <c r="T99" s="260">
        <f t="shared" si="257"/>
        <v>21.295208333875095</v>
      </c>
      <c r="U99" s="260">
        <f t="shared" si="257"/>
        <v>21.481681777042766</v>
      </c>
      <c r="V99" s="260">
        <f t="shared" si="257"/>
        <v>21.805181401613872</v>
      </c>
      <c r="W99" s="260">
        <f t="shared" si="257"/>
        <v>22.088499301949383</v>
      </c>
      <c r="X99" s="260">
        <f t="shared" si="257"/>
        <v>21.993341702071042</v>
      </c>
      <c r="Y99" s="260">
        <f t="shared" si="257"/>
        <v>21.973911605143858</v>
      </c>
      <c r="Z99" s="260">
        <f t="shared" si="257"/>
        <v>21.871052490471715</v>
      </c>
      <c r="AA99" s="260">
        <f t="shared" si="257"/>
        <v>21.880460982007932</v>
      </c>
      <c r="AB99" s="260">
        <f t="shared" si="257"/>
        <v>22.180329779666014</v>
      </c>
      <c r="AC99" s="260">
        <f t="shared" si="257"/>
        <v>22.321195599821319</v>
      </c>
      <c r="AD99" s="260">
        <f t="shared" si="257"/>
        <v>22.488160586087275</v>
      </c>
      <c r="AE99" s="260">
        <f t="shared" si="257"/>
        <v>22.726148300076993</v>
      </c>
      <c r="AF99" s="260">
        <f t="shared" si="257"/>
        <v>22.858293925769633</v>
      </c>
      <c r="AG99" s="260">
        <f t="shared" si="257"/>
        <v>23.018536896923386</v>
      </c>
      <c r="AH99" s="260">
        <f t="shared" si="257"/>
        <v>23.283823531768892</v>
      </c>
      <c r="AI99" s="260">
        <f t="shared" si="257"/>
        <v>23.547517553078045</v>
      </c>
      <c r="AJ99" s="260">
        <f t="shared" si="257"/>
        <v>23.658798247174783</v>
      </c>
      <c r="AK99" s="260">
        <f t="shared" si="257"/>
        <v>23.759156196173482</v>
      </c>
      <c r="AL99" s="260">
        <f t="shared" si="257"/>
        <v>23.989354505127697</v>
      </c>
      <c r="AM99" s="260">
        <f t="shared" si="257"/>
        <v>24.26178778143386</v>
      </c>
      <c r="AN99" s="260">
        <f t="shared" si="257"/>
        <v>24.557527855569184</v>
      </c>
      <c r="AO99" s="260">
        <f t="shared" si="257"/>
        <v>24.788558474523114</v>
      </c>
      <c r="AP99" s="260">
        <f t="shared" si="257"/>
        <v>24.907507856937837</v>
      </c>
      <c r="AQ99" s="260">
        <f t="shared" si="257"/>
        <v>25.164130420005137</v>
      </c>
      <c r="AR99" s="260">
        <f t="shared" si="257"/>
        <v>25.469928102762971</v>
      </c>
      <c r="AS99" s="260">
        <f t="shared" ref="AS99:BA99" si="258">($BB99-$AR99)/10+AR99</f>
        <v>25.288633153422833</v>
      </c>
      <c r="AT99" s="260">
        <f t="shared" si="258"/>
        <v>25.107338204082694</v>
      </c>
      <c r="AU99" s="260">
        <f t="shared" si="258"/>
        <v>24.926043254742556</v>
      </c>
      <c r="AV99" s="260">
        <f t="shared" si="258"/>
        <v>24.744748305402418</v>
      </c>
      <c r="AW99" s="260">
        <f t="shared" si="258"/>
        <v>24.563453356062279</v>
      </c>
      <c r="AX99" s="260">
        <f t="shared" si="258"/>
        <v>24.382158406722141</v>
      </c>
      <c r="AY99" s="260">
        <f t="shared" si="258"/>
        <v>24.200863457382003</v>
      </c>
      <c r="AZ99" s="260">
        <f t="shared" si="258"/>
        <v>24.019568508041864</v>
      </c>
      <c r="BA99" s="260">
        <f t="shared" si="258"/>
        <v>23.838273558701726</v>
      </c>
      <c r="BB99" s="939">
        <f>'AEO Data'!$B$33*AM99</f>
        <v>23.65697860936158</v>
      </c>
      <c r="BC99" s="260">
        <f t="shared" ref="BC99:BP99" si="259">($BQ99-$BB99)/15+BB99</f>
        <v>23.670761728411506</v>
      </c>
      <c r="BD99" s="260">
        <f t="shared" si="259"/>
        <v>23.684544847461432</v>
      </c>
      <c r="BE99" s="260">
        <f t="shared" si="259"/>
        <v>23.698327966511357</v>
      </c>
      <c r="BF99" s="260">
        <f t="shared" si="259"/>
        <v>23.712111085561283</v>
      </c>
      <c r="BG99" s="260">
        <f t="shared" si="259"/>
        <v>23.725894204611208</v>
      </c>
      <c r="BH99" s="260">
        <f t="shared" si="259"/>
        <v>23.739677323661134</v>
      </c>
      <c r="BI99" s="260">
        <f t="shared" si="259"/>
        <v>23.753460442711059</v>
      </c>
      <c r="BJ99" s="260">
        <f t="shared" si="259"/>
        <v>23.767243561760985</v>
      </c>
      <c r="BK99" s="260">
        <f t="shared" si="259"/>
        <v>23.781026680810911</v>
      </c>
      <c r="BL99" s="260">
        <f t="shared" si="259"/>
        <v>23.794809799860836</v>
      </c>
      <c r="BM99" s="260">
        <f t="shared" si="259"/>
        <v>23.808592918910762</v>
      </c>
      <c r="BN99" s="260">
        <f t="shared" si="259"/>
        <v>23.822376037960687</v>
      </c>
      <c r="BO99" s="260">
        <f t="shared" si="259"/>
        <v>23.836159157010613</v>
      </c>
      <c r="BP99" s="260">
        <f t="shared" si="259"/>
        <v>23.849942276060538</v>
      </c>
      <c r="BQ99" s="939">
        <f>'AEO Data'!$C$33*BB99</f>
        <v>23.863725395110453</v>
      </c>
      <c r="BR99" s="260">
        <f t="shared" si="243"/>
        <v>23.847656750397427</v>
      </c>
      <c r="BS99" s="260">
        <f t="shared" si="243"/>
        <v>23.8315881056844</v>
      </c>
      <c r="BT99" s="260">
        <f t="shared" si="243"/>
        <v>23.815519460971373</v>
      </c>
      <c r="BU99" s="260">
        <f t="shared" si="243"/>
        <v>23.799450816258346</v>
      </c>
      <c r="BV99" s="963">
        <f>'AEO Data'!$D$33*BQ99</f>
        <v>23.783382171545323</v>
      </c>
      <c r="BW99" s="1397">
        <f>+BV99*BW$140/BV$140</f>
        <v>23.79056855003947</v>
      </c>
      <c r="BX99" s="1397">
        <f t="shared" ref="BX99:CZ99" si="260">+BW99*BX$140/BW$140</f>
        <v>23.797757099967246</v>
      </c>
      <c r="BY99" s="1397">
        <f t="shared" si="260"/>
        <v>23.804947821984772</v>
      </c>
      <c r="BZ99" s="1397">
        <f t="shared" si="260"/>
        <v>23.812140716748367</v>
      </c>
      <c r="CA99" s="1397">
        <f t="shared" si="260"/>
        <v>23.819335784914539</v>
      </c>
      <c r="CB99" s="1397">
        <f t="shared" si="260"/>
        <v>23.816642001078176</v>
      </c>
      <c r="CC99" s="1397">
        <f t="shared" si="260"/>
        <v>23.813948521888062</v>
      </c>
      <c r="CD99" s="1397">
        <f t="shared" si="260"/>
        <v>23.811255347309746</v>
      </c>
      <c r="CE99" s="1397">
        <f t="shared" si="260"/>
        <v>23.808562477308776</v>
      </c>
      <c r="CF99" s="1397">
        <f t="shared" si="260"/>
        <v>23.805869911850717</v>
      </c>
      <c r="CG99" s="1397">
        <f t="shared" si="260"/>
        <v>23.795071358532098</v>
      </c>
      <c r="CH99" s="1397">
        <f t="shared" si="260"/>
        <v>23.784277703532847</v>
      </c>
      <c r="CI99" s="1397">
        <f t="shared" si="260"/>
        <v>23.773488944631048</v>
      </c>
      <c r="CJ99" s="1397">
        <f t="shared" si="260"/>
        <v>23.762705079605791</v>
      </c>
      <c r="CK99" s="1397">
        <f t="shared" si="260"/>
        <v>23.751926106237168</v>
      </c>
      <c r="CL99" s="1397">
        <f t="shared" si="260"/>
        <v>23.738702519984074</v>
      </c>
      <c r="CM99" s="1397">
        <f t="shared" si="260"/>
        <v>23.725486295796383</v>
      </c>
      <c r="CN99" s="1397">
        <f t="shared" si="260"/>
        <v>23.712277429575355</v>
      </c>
      <c r="CO99" s="1397">
        <f t="shared" si="260"/>
        <v>23.699075917224537</v>
      </c>
      <c r="CP99" s="1397">
        <f t="shared" si="260"/>
        <v>23.685881754649749</v>
      </c>
      <c r="CQ99" s="1397">
        <f t="shared" si="260"/>
        <v>23.667805095398695</v>
      </c>
      <c r="CR99" s="1397">
        <f t="shared" si="260"/>
        <v>23.649742231944352</v>
      </c>
      <c r="CS99" s="1397">
        <f t="shared" si="260"/>
        <v>23.631693153758011</v>
      </c>
      <c r="CT99" s="1397">
        <f t="shared" si="260"/>
        <v>23.613657850318987</v>
      </c>
      <c r="CU99" s="1397">
        <f t="shared" si="260"/>
        <v>23.595636311114628</v>
      </c>
      <c r="CV99" s="1397">
        <f t="shared" si="260"/>
        <v>23.578692647144699</v>
      </c>
      <c r="CW99" s="1397">
        <f t="shared" si="260"/>
        <v>23.561761150159583</v>
      </c>
      <c r="CX99" s="1397">
        <f t="shared" si="260"/>
        <v>23.544841811422359</v>
      </c>
      <c r="CY99" s="1397">
        <f t="shared" si="260"/>
        <v>23.527934622202373</v>
      </c>
      <c r="CZ99" s="1397">
        <f t="shared" si="260"/>
        <v>23.511039573775246</v>
      </c>
    </row>
    <row r="100" spans="1:104" ht="13.5" thickBot="1" x14ac:dyDescent="0.35">
      <c r="A100" s="879" t="str">
        <f>'HyARC Physical Property Data'!A78</f>
        <v>Residential Electricity</v>
      </c>
      <c r="B100" s="880">
        <v>2012</v>
      </c>
      <c r="C100" s="881">
        <f t="shared" si="221"/>
        <v>1.0589185747008452</v>
      </c>
      <c r="D100" s="1248" t="str">
        <f>'HyARC Physical Property Data'!$H$78</f>
        <v>kWh</v>
      </c>
      <c r="E100" s="881" t="s">
        <v>1071</v>
      </c>
      <c r="F100" s="886"/>
      <c r="G100" s="569"/>
      <c r="H100" s="1070">
        <v>29.496230857142855</v>
      </c>
      <c r="I100" s="1070">
        <v>29.496230857142855</v>
      </c>
      <c r="J100" s="1070">
        <v>29.496230857142855</v>
      </c>
      <c r="K100" s="1070">
        <v>29.496230857142855</v>
      </c>
      <c r="L100" s="1070">
        <v>30.858878857142852</v>
      </c>
      <c r="M100" s="1070">
        <v>29.96898628571428</v>
      </c>
      <c r="N100" s="1070">
        <v>28.680495999999998</v>
      </c>
      <c r="O100" s="880">
        <f t="shared" ref="O100:AR100" si="261">O116*($C100)</f>
        <v>37.012259165882554</v>
      </c>
      <c r="P100" s="880">
        <f t="shared" si="261"/>
        <v>36.883387716422881</v>
      </c>
      <c r="Q100" s="880">
        <f t="shared" si="261"/>
        <v>36.020153058652454</v>
      </c>
      <c r="R100" s="880">
        <f t="shared" si="261"/>
        <v>36.437036594489285</v>
      </c>
      <c r="S100" s="880">
        <f t="shared" si="261"/>
        <v>37.000471284308979</v>
      </c>
      <c r="T100" s="880">
        <f t="shared" si="261"/>
        <v>37.234901031887702</v>
      </c>
      <c r="U100" s="880">
        <f t="shared" si="261"/>
        <v>37.611895105015549</v>
      </c>
      <c r="V100" s="880">
        <f t="shared" si="261"/>
        <v>38.029256213129564</v>
      </c>
      <c r="W100" s="880">
        <f t="shared" si="261"/>
        <v>38.30980398247366</v>
      </c>
      <c r="X100" s="880">
        <f t="shared" si="261"/>
        <v>38.276616415423959</v>
      </c>
      <c r="Y100" s="880">
        <f t="shared" si="261"/>
        <v>38.186511974984086</v>
      </c>
      <c r="Z100" s="880">
        <f t="shared" si="261"/>
        <v>37.913659366922346</v>
      </c>
      <c r="AA100" s="880">
        <f t="shared" si="261"/>
        <v>37.798756112381561</v>
      </c>
      <c r="AB100" s="880">
        <f t="shared" si="261"/>
        <v>38.164246094113849</v>
      </c>
      <c r="AC100" s="880">
        <f t="shared" si="261"/>
        <v>38.270815659471751</v>
      </c>
      <c r="AD100" s="880">
        <f t="shared" si="261"/>
        <v>38.382554865311334</v>
      </c>
      <c r="AE100" s="880">
        <f t="shared" si="261"/>
        <v>38.619545078003675</v>
      </c>
      <c r="AF100" s="880">
        <f t="shared" si="261"/>
        <v>38.734851780521424</v>
      </c>
      <c r="AG100" s="880">
        <f t="shared" si="261"/>
        <v>38.88910974389097</v>
      </c>
      <c r="AH100" s="880">
        <f t="shared" si="261"/>
        <v>39.160747772347534</v>
      </c>
      <c r="AI100" s="880">
        <f t="shared" si="261"/>
        <v>39.451321382756888</v>
      </c>
      <c r="AJ100" s="880">
        <f t="shared" si="261"/>
        <v>39.535438697575401</v>
      </c>
      <c r="AK100" s="880">
        <f t="shared" si="261"/>
        <v>39.570735630425908</v>
      </c>
      <c r="AL100" s="880">
        <f t="shared" si="261"/>
        <v>39.780803897275057</v>
      </c>
      <c r="AM100" s="880">
        <f t="shared" si="261"/>
        <v>40.046078884016239</v>
      </c>
      <c r="AN100" s="880">
        <f t="shared" si="261"/>
        <v>40.326008244912707</v>
      </c>
      <c r="AO100" s="880">
        <f t="shared" si="261"/>
        <v>40.555429307633098</v>
      </c>
      <c r="AP100" s="880">
        <f t="shared" si="261"/>
        <v>40.630021649872177</v>
      </c>
      <c r="AQ100" s="880">
        <f t="shared" si="261"/>
        <v>40.855427293357288</v>
      </c>
      <c r="AR100" s="880">
        <f t="shared" si="261"/>
        <v>41.122689870263187</v>
      </c>
      <c r="AS100" s="880">
        <f t="shared" ref="AS100:BA100" si="262">($BB100-$AR100)/10+AR100</f>
        <v>40.915200036704469</v>
      </c>
      <c r="AT100" s="880">
        <f t="shared" si="262"/>
        <v>40.707710203145751</v>
      </c>
      <c r="AU100" s="880">
        <f t="shared" si="262"/>
        <v>40.500220369587034</v>
      </c>
      <c r="AV100" s="880">
        <f t="shared" si="262"/>
        <v>40.292730536028316</v>
      </c>
      <c r="AW100" s="880">
        <f t="shared" si="262"/>
        <v>40.085240702469598</v>
      </c>
      <c r="AX100" s="880">
        <f t="shared" si="262"/>
        <v>39.87775086891088</v>
      </c>
      <c r="AY100" s="880">
        <f t="shared" si="262"/>
        <v>39.670261035352162</v>
      </c>
      <c r="AZ100" s="880">
        <f t="shared" si="262"/>
        <v>39.462771201793444</v>
      </c>
      <c r="BA100" s="880">
        <f t="shared" si="262"/>
        <v>39.255281368234726</v>
      </c>
      <c r="BB100" s="968">
        <f>'AEO Data'!$B$33*AM100</f>
        <v>39.047791534675994</v>
      </c>
      <c r="BC100" s="880">
        <f t="shared" ref="BC100:BP100" si="263">($BQ100-$BB100)/15+BB100</f>
        <v>39.070541707817128</v>
      </c>
      <c r="BD100" s="880">
        <f t="shared" si="263"/>
        <v>39.093291880958262</v>
      </c>
      <c r="BE100" s="880">
        <f t="shared" si="263"/>
        <v>39.116042054099395</v>
      </c>
      <c r="BF100" s="880">
        <f t="shared" si="263"/>
        <v>39.138792227240529</v>
      </c>
      <c r="BG100" s="880">
        <f t="shared" si="263"/>
        <v>39.161542400381663</v>
      </c>
      <c r="BH100" s="880">
        <f t="shared" si="263"/>
        <v>39.184292573522796</v>
      </c>
      <c r="BI100" s="880">
        <f t="shared" si="263"/>
        <v>39.20704274666393</v>
      </c>
      <c r="BJ100" s="880">
        <f t="shared" si="263"/>
        <v>39.229792919805064</v>
      </c>
      <c r="BK100" s="880">
        <f t="shared" si="263"/>
        <v>39.252543092946198</v>
      </c>
      <c r="BL100" s="880">
        <f t="shared" si="263"/>
        <v>39.275293266087331</v>
      </c>
      <c r="BM100" s="880">
        <f t="shared" si="263"/>
        <v>39.298043439228465</v>
      </c>
      <c r="BN100" s="880">
        <f t="shared" si="263"/>
        <v>39.320793612369599</v>
      </c>
      <c r="BO100" s="880">
        <f t="shared" si="263"/>
        <v>39.343543785510732</v>
      </c>
      <c r="BP100" s="880">
        <f t="shared" si="263"/>
        <v>39.366293958651866</v>
      </c>
      <c r="BQ100" s="968">
        <f>'AEO Data'!$C$33*BB100</f>
        <v>39.389044131793007</v>
      </c>
      <c r="BR100" s="880">
        <f t="shared" si="243"/>
        <v>39.362521510313748</v>
      </c>
      <c r="BS100" s="880">
        <f t="shared" si="243"/>
        <v>39.335998888834489</v>
      </c>
      <c r="BT100" s="880">
        <f t="shared" si="243"/>
        <v>39.30947626735523</v>
      </c>
      <c r="BU100" s="880">
        <f t="shared" si="243"/>
        <v>39.28295364587597</v>
      </c>
      <c r="BV100" s="969">
        <f>'AEO Data'!$D$33*BQ100</f>
        <v>39.256431024396711</v>
      </c>
      <c r="BW100" s="1397">
        <f>+BV100*BW$141/BV$141</f>
        <v>39.239146269797381</v>
      </c>
      <c r="BX100" s="1397">
        <f t="shared" ref="BX100:CZ100" si="264">+BW100*BX$141/BW$141</f>
        <v>39.221869125740675</v>
      </c>
      <c r="BY100" s="1397">
        <f t="shared" si="264"/>
        <v>39.204599588875645</v>
      </c>
      <c r="BZ100" s="1397">
        <f t="shared" si="264"/>
        <v>39.187337655852808</v>
      </c>
      <c r="CA100" s="1397">
        <f t="shared" si="264"/>
        <v>39.170083323324171</v>
      </c>
      <c r="CB100" s="1397">
        <f t="shared" si="264"/>
        <v>39.138708698285058</v>
      </c>
      <c r="CC100" s="1397">
        <f t="shared" si="264"/>
        <v>39.107359203830633</v>
      </c>
      <c r="CD100" s="1397">
        <f t="shared" si="264"/>
        <v>39.076034819831698</v>
      </c>
      <c r="CE100" s="1397">
        <f t="shared" si="264"/>
        <v>39.044735526175167</v>
      </c>
      <c r="CF100" s="1397">
        <f t="shared" si="264"/>
        <v>39.013461302764064</v>
      </c>
      <c r="CG100" s="1397">
        <f t="shared" si="264"/>
        <v>38.970379307391816</v>
      </c>
      <c r="CH100" s="1397">
        <f t="shared" si="264"/>
        <v>38.927344886837673</v>
      </c>
      <c r="CI100" s="1397">
        <f t="shared" si="264"/>
        <v>38.884357988565462</v>
      </c>
      <c r="CJ100" s="1397">
        <f t="shared" si="264"/>
        <v>38.841418560097019</v>
      </c>
      <c r="CK100" s="1397">
        <f t="shared" si="264"/>
        <v>38.798526549012138</v>
      </c>
      <c r="CL100" s="1397">
        <f t="shared" si="264"/>
        <v>38.751763774521798</v>
      </c>
      <c r="CM100" s="1397">
        <f t="shared" si="264"/>
        <v>38.70505736189034</v>
      </c>
      <c r="CN100" s="1397">
        <f t="shared" si="264"/>
        <v>38.658407243186389</v>
      </c>
      <c r="CO100" s="1397">
        <f t="shared" si="264"/>
        <v>38.61181335056046</v>
      </c>
      <c r="CP100" s="1397">
        <f t="shared" si="264"/>
        <v>38.565275616244847</v>
      </c>
      <c r="CQ100" s="1397">
        <f t="shared" si="264"/>
        <v>38.511372767810535</v>
      </c>
      <c r="CR100" s="1397">
        <f t="shared" si="264"/>
        <v>38.457545259614896</v>
      </c>
      <c r="CS100" s="1397">
        <f t="shared" si="264"/>
        <v>38.403792986354553</v>
      </c>
      <c r="CT100" s="1397">
        <f t="shared" si="264"/>
        <v>38.350115842873322</v>
      </c>
      <c r="CU100" s="1397">
        <f t="shared" si="264"/>
        <v>38.296513724162004</v>
      </c>
      <c r="CV100" s="1397">
        <f t="shared" si="264"/>
        <v>38.244188513437287</v>
      </c>
      <c r="CW100" s="1397">
        <f t="shared" si="264"/>
        <v>38.191934795582569</v>
      </c>
      <c r="CX100" s="1397">
        <f t="shared" si="264"/>
        <v>38.139752472915873</v>
      </c>
      <c r="CY100" s="1397">
        <f t="shared" si="264"/>
        <v>38.087641447888679</v>
      </c>
      <c r="CZ100" s="1397">
        <f t="shared" si="264"/>
        <v>38.035601623085753</v>
      </c>
    </row>
    <row r="101" spans="1:104" ht="13" thickTop="1" x14ac:dyDescent="0.25">
      <c r="D101" s="1095"/>
    </row>
    <row r="102" spans="1:104" ht="13" thickBot="1" x14ac:dyDescent="0.3">
      <c r="D102" s="1095"/>
    </row>
    <row r="103" spans="1:104" s="1052" customFormat="1" ht="13" x14ac:dyDescent="0.3">
      <c r="A103" s="1048" t="s">
        <v>1159</v>
      </c>
      <c r="B103" s="1049"/>
      <c r="C103" s="1050"/>
      <c r="D103" s="1251"/>
      <c r="E103" s="1050"/>
      <c r="F103" s="1049"/>
      <c r="G103" s="1049"/>
      <c r="H103" s="1049"/>
      <c r="I103" s="1049"/>
      <c r="J103" s="1049"/>
      <c r="K103" s="1049"/>
      <c r="L103" s="1049"/>
      <c r="M103" s="1049"/>
      <c r="N103" s="1049"/>
      <c r="O103" s="1049"/>
      <c r="P103" s="1049"/>
      <c r="Q103" s="1049"/>
      <c r="R103" s="1049"/>
      <c r="S103" s="1049"/>
      <c r="T103" s="1049"/>
      <c r="U103" s="1049"/>
      <c r="V103" s="1049"/>
      <c r="W103" s="1049"/>
      <c r="X103" s="1049"/>
      <c r="Y103" s="1049"/>
      <c r="Z103" s="1049"/>
      <c r="AA103" s="1049"/>
      <c r="AB103" s="1049"/>
      <c r="AC103" s="1049"/>
      <c r="AD103" s="1049"/>
      <c r="AE103" s="1049"/>
      <c r="AF103" s="1049"/>
      <c r="AG103" s="1049"/>
      <c r="AH103" s="1049"/>
      <c r="AI103" s="1049"/>
      <c r="AJ103" s="1049"/>
      <c r="AK103" s="1049"/>
      <c r="AL103" s="1049"/>
      <c r="AM103" s="1049"/>
      <c r="AN103" s="1049"/>
      <c r="AO103" s="1049"/>
      <c r="AP103" s="1049"/>
      <c r="AQ103" s="1049"/>
      <c r="AR103" s="1049"/>
      <c r="AS103" s="1049"/>
      <c r="AT103" s="1049"/>
      <c r="AU103" s="1049"/>
      <c r="AV103" s="1049"/>
      <c r="AW103" s="1049"/>
      <c r="AX103" s="1049"/>
      <c r="AY103" s="1049"/>
      <c r="AZ103" s="1049"/>
      <c r="BA103" s="1049"/>
      <c r="BB103" s="1049"/>
      <c r="BC103" s="1049"/>
      <c r="BD103" s="1049"/>
      <c r="BE103" s="1049"/>
      <c r="BF103" s="1049"/>
      <c r="BG103" s="1049"/>
      <c r="BH103" s="1049"/>
      <c r="BI103" s="1049"/>
      <c r="BJ103" s="1049"/>
      <c r="BK103" s="1049"/>
      <c r="BL103" s="1049"/>
      <c r="BM103" s="1049"/>
      <c r="BN103" s="1049"/>
      <c r="BO103" s="1049"/>
      <c r="BP103" s="1049"/>
      <c r="BQ103" s="1049"/>
      <c r="BR103" s="1049"/>
      <c r="BS103" s="1049"/>
      <c r="BT103" s="1049"/>
      <c r="BU103" s="1049"/>
      <c r="BV103" s="1051"/>
    </row>
    <row r="104" spans="1:104" s="1052" customFormat="1" ht="13" x14ac:dyDescent="0.3">
      <c r="A104" s="1053" t="s">
        <v>1113</v>
      </c>
      <c r="B104" s="1054"/>
      <c r="C104" s="1055"/>
      <c r="D104" s="1252"/>
      <c r="E104" s="1055"/>
      <c r="F104" s="1054"/>
      <c r="G104" s="1054"/>
      <c r="H104" s="1054"/>
      <c r="I104" s="1054"/>
      <c r="J104" s="1054"/>
      <c r="K104" s="1054"/>
      <c r="L104" s="1054"/>
      <c r="M104" s="1054"/>
      <c r="N104" s="1054"/>
      <c r="O104" s="1054"/>
      <c r="P104" s="1054"/>
      <c r="Q104" s="1054"/>
      <c r="R104" s="1054"/>
      <c r="S104" s="1054"/>
      <c r="T104" s="1054"/>
      <c r="U104" s="1054"/>
      <c r="V104" s="1054"/>
      <c r="W104" s="1054"/>
      <c r="X104" s="1054"/>
      <c r="Y104" s="1054"/>
      <c r="Z104" s="1054"/>
      <c r="AA104" s="1054"/>
      <c r="AB104" s="1054"/>
      <c r="AC104" s="1054"/>
      <c r="AD104" s="1054"/>
      <c r="AE104" s="1054"/>
      <c r="AF104" s="1054"/>
      <c r="AG104" s="1054"/>
      <c r="AH104" s="1054"/>
      <c r="AI104" s="1054"/>
      <c r="AJ104" s="1054"/>
      <c r="AK104" s="1054"/>
      <c r="AL104" s="1054"/>
      <c r="AM104" s="1054"/>
      <c r="AN104" s="1054"/>
      <c r="AO104" s="1054"/>
      <c r="AP104" s="1054"/>
      <c r="AQ104" s="1054"/>
      <c r="AR104" s="1054"/>
      <c r="AS104" s="1054"/>
      <c r="AT104" s="1054"/>
      <c r="AU104" s="1054"/>
      <c r="AV104" s="1054"/>
      <c r="AW104" s="1054"/>
      <c r="AX104" s="1054"/>
      <c r="AY104" s="1054"/>
      <c r="AZ104" s="1054"/>
      <c r="BA104" s="1054"/>
      <c r="BB104" s="1054"/>
      <c r="BC104" s="1054"/>
      <c r="BD104" s="1054"/>
      <c r="BE104" s="1054"/>
      <c r="BF104" s="1054"/>
      <c r="BG104" s="1054"/>
      <c r="BH104" s="1054"/>
      <c r="BI104" s="1054"/>
      <c r="BJ104" s="1054"/>
      <c r="BK104" s="1054"/>
      <c r="BL104" s="1054"/>
      <c r="BM104" s="1054"/>
      <c r="BN104" s="1054"/>
      <c r="BO104" s="1054"/>
      <c r="BP104" s="1054"/>
      <c r="BQ104" s="1054"/>
      <c r="BR104" s="1054"/>
      <c r="BS104" s="1054"/>
      <c r="BT104" s="1054"/>
      <c r="BU104" s="1054"/>
      <c r="BV104" s="1056"/>
    </row>
    <row r="105" spans="1:104" s="1052" customFormat="1" x14ac:dyDescent="0.25">
      <c r="A105" s="1057"/>
      <c r="B105" s="1054"/>
      <c r="C105" s="1055"/>
      <c r="D105" s="1252"/>
      <c r="E105" s="1055"/>
      <c r="F105" s="1054"/>
      <c r="G105" s="1054"/>
      <c r="H105" s="1054"/>
      <c r="I105" s="1054"/>
      <c r="J105" s="1054"/>
      <c r="K105" s="1054"/>
      <c r="L105" s="1054"/>
      <c r="M105" s="1054"/>
      <c r="N105" s="1054"/>
      <c r="O105" s="1054"/>
      <c r="P105" s="1054"/>
      <c r="Q105" s="1054"/>
      <c r="R105" s="1054"/>
      <c r="S105" s="1054"/>
      <c r="T105" s="1054"/>
      <c r="U105" s="1054"/>
      <c r="V105" s="1054"/>
      <c r="W105" s="1054"/>
      <c r="X105" s="1054"/>
      <c r="Y105" s="1054"/>
      <c r="Z105" s="1054"/>
      <c r="AA105" s="1054"/>
      <c r="AB105" s="1054"/>
      <c r="AC105" s="1054"/>
      <c r="AD105" s="1054"/>
      <c r="AE105" s="1054"/>
      <c r="AF105" s="1054"/>
      <c r="AG105" s="1054"/>
      <c r="AH105" s="1054"/>
      <c r="AI105" s="1054"/>
      <c r="AJ105" s="1054"/>
      <c r="AK105" s="1054"/>
      <c r="AL105" s="1054"/>
      <c r="AM105" s="1054"/>
      <c r="AN105" s="1054"/>
      <c r="AO105" s="1054"/>
      <c r="AP105" s="1054"/>
      <c r="AQ105" s="1054"/>
      <c r="AR105" s="1054"/>
      <c r="AS105" s="1054"/>
      <c r="AT105" s="1054"/>
      <c r="AU105" s="1054"/>
      <c r="AV105" s="1054"/>
      <c r="AW105" s="1054"/>
      <c r="AX105" s="1054"/>
      <c r="AY105" s="1054"/>
      <c r="AZ105" s="1054"/>
      <c r="BA105" s="1054"/>
      <c r="BB105" s="1054"/>
      <c r="BC105" s="1054"/>
      <c r="BD105" s="1054"/>
      <c r="BE105" s="1054"/>
      <c r="BF105" s="1054"/>
      <c r="BG105" s="1054"/>
      <c r="BH105" s="1054"/>
      <c r="BI105" s="1054"/>
      <c r="BJ105" s="1054"/>
      <c r="BK105" s="1054"/>
      <c r="BL105" s="1054"/>
      <c r="BM105" s="1054"/>
      <c r="BN105" s="1054"/>
      <c r="BO105" s="1054"/>
      <c r="BP105" s="1054"/>
      <c r="BQ105" s="1054"/>
      <c r="BR105" s="1054"/>
      <c r="BS105" s="1054"/>
      <c r="BT105" s="1054"/>
      <c r="BU105" s="1054"/>
      <c r="BV105" s="1056"/>
    </row>
    <row r="106" spans="1:104" s="1052" customFormat="1" x14ac:dyDescent="0.25">
      <c r="A106" s="1057" t="s">
        <v>681</v>
      </c>
      <c r="B106" s="1054"/>
      <c r="C106" s="1055"/>
      <c r="D106" s="1252"/>
      <c r="E106" s="1055"/>
      <c r="F106" s="1054"/>
      <c r="G106" s="1054"/>
      <c r="H106" s="1054"/>
      <c r="I106" s="1054"/>
      <c r="J106" s="1054"/>
      <c r="K106" s="1054"/>
      <c r="L106" s="1054"/>
      <c r="M106" s="1054"/>
      <c r="N106" s="1054"/>
      <c r="O106" s="1058">
        <v>10.979644</v>
      </c>
      <c r="P106" s="1058">
        <v>10.458463</v>
      </c>
      <c r="Q106" s="1058">
        <v>10.386789</v>
      </c>
      <c r="R106" s="1058">
        <v>11.197535999999999</v>
      </c>
      <c r="S106" s="1058">
        <v>10.997512</v>
      </c>
      <c r="T106" s="1058">
        <v>10.684602</v>
      </c>
      <c r="U106" s="1058">
        <v>11.01057</v>
      </c>
      <c r="V106" s="1058">
        <v>11.455973999999999</v>
      </c>
      <c r="W106" s="1058">
        <v>11.627091999999999</v>
      </c>
      <c r="X106" s="1058">
        <v>11.591965</v>
      </c>
      <c r="Y106" s="1058">
        <v>11.804651</v>
      </c>
      <c r="Z106" s="1058">
        <v>11.896172</v>
      </c>
      <c r="AA106" s="1058">
        <v>12.056948999999999</v>
      </c>
      <c r="AB106" s="1058">
        <v>12.305148000000001</v>
      </c>
      <c r="AC106" s="1058">
        <v>12.475469</v>
      </c>
      <c r="AD106" s="1058">
        <v>12.579926</v>
      </c>
      <c r="AE106" s="1058">
        <v>12.716393999999999</v>
      </c>
      <c r="AF106" s="1058">
        <v>12.897914999999999</v>
      </c>
      <c r="AG106" s="1058">
        <v>13.184208999999999</v>
      </c>
      <c r="AH106" s="1058">
        <v>13.502886999999999</v>
      </c>
      <c r="AI106" s="1058">
        <v>13.64997</v>
      </c>
      <c r="AJ106" s="1058">
        <v>13.712135</v>
      </c>
      <c r="AK106" s="1058">
        <v>13.943460999999999</v>
      </c>
      <c r="AL106" s="1058">
        <v>14.339456999999999</v>
      </c>
      <c r="AM106" s="1058">
        <v>14.605688000000001</v>
      </c>
      <c r="AN106" s="1058">
        <v>14.994783</v>
      </c>
      <c r="AO106" s="1058">
        <v>15.152347000000001</v>
      </c>
      <c r="AP106" s="1058">
        <v>15.279963</v>
      </c>
      <c r="AQ106" s="1058">
        <v>15.618371</v>
      </c>
      <c r="AR106" s="1058">
        <v>15.977807</v>
      </c>
      <c r="AS106" s="1054"/>
      <c r="AT106" s="1054"/>
      <c r="AU106" s="1054"/>
      <c r="AV106" s="1054"/>
      <c r="AW106" s="1054"/>
      <c r="AX106" s="1054"/>
      <c r="AY106" s="1054"/>
      <c r="AZ106" s="1054"/>
      <c r="BA106" s="1054"/>
      <c r="BB106" s="1054"/>
      <c r="BC106" s="1054"/>
      <c r="BD106" s="1054"/>
      <c r="BE106" s="1054"/>
      <c r="BF106" s="1054"/>
      <c r="BG106" s="1054"/>
      <c r="BH106" s="1054"/>
      <c r="BI106" s="1054"/>
      <c r="BJ106" s="1054"/>
      <c r="BK106" s="1054"/>
      <c r="BL106" s="1054"/>
      <c r="BM106" s="1054"/>
      <c r="BN106" s="1054"/>
      <c r="BO106" s="1054"/>
      <c r="BP106" s="1054"/>
      <c r="BQ106" s="1054"/>
      <c r="BR106" s="1054"/>
      <c r="BS106" s="1054"/>
      <c r="BT106" s="1054"/>
      <c r="BU106" s="1054"/>
      <c r="BV106" s="1056"/>
    </row>
    <row r="107" spans="1:104" s="1052" customFormat="1" x14ac:dyDescent="0.25">
      <c r="A107" s="1057" t="s">
        <v>1085</v>
      </c>
      <c r="B107" s="1054"/>
      <c r="C107" s="1055"/>
      <c r="D107" s="1252"/>
      <c r="E107" s="1055"/>
      <c r="F107" s="1054"/>
      <c r="G107" s="1054"/>
      <c r="H107" s="1054"/>
      <c r="I107" s="1054"/>
      <c r="J107" s="1054"/>
      <c r="K107" s="1054"/>
      <c r="L107" s="1054"/>
      <c r="M107" s="1054"/>
      <c r="N107" s="1054"/>
      <c r="O107" s="1058">
        <v>8.9608349999999994</v>
      </c>
      <c r="P107" s="1058">
        <v>8.1128640000000001</v>
      </c>
      <c r="Q107" s="1058">
        <v>8.3120530000000006</v>
      </c>
      <c r="R107" s="1058">
        <v>9.0860579999999995</v>
      </c>
      <c r="S107" s="1058">
        <v>8.9185510000000008</v>
      </c>
      <c r="T107" s="1058">
        <v>8.7230709999999991</v>
      </c>
      <c r="U107" s="1058">
        <v>9.0072580000000002</v>
      </c>
      <c r="V107" s="1058">
        <v>9.4091780000000007</v>
      </c>
      <c r="W107" s="1058">
        <v>9.5464699999999993</v>
      </c>
      <c r="X107" s="1058">
        <v>9.490774</v>
      </c>
      <c r="Y107" s="1058">
        <v>9.6849690000000006</v>
      </c>
      <c r="Z107" s="1058">
        <v>9.7584820000000008</v>
      </c>
      <c r="AA107" s="1058">
        <v>9.8987529999999992</v>
      </c>
      <c r="AB107" s="1058">
        <v>10.127039999999999</v>
      </c>
      <c r="AC107" s="1058">
        <v>10.286922000000001</v>
      </c>
      <c r="AD107" s="1058">
        <v>10.380953999999999</v>
      </c>
      <c r="AE107" s="1058">
        <v>10.496881999999999</v>
      </c>
      <c r="AF107" s="1058">
        <v>10.657225</v>
      </c>
      <c r="AG107" s="1058">
        <v>10.911016</v>
      </c>
      <c r="AH107" s="1058">
        <v>11.192325</v>
      </c>
      <c r="AI107" s="1058">
        <v>11.294316</v>
      </c>
      <c r="AJ107" s="1058">
        <v>11.292712999999999</v>
      </c>
      <c r="AK107" s="1058">
        <v>11.478382999999999</v>
      </c>
      <c r="AL107" s="1058">
        <v>11.747921</v>
      </c>
      <c r="AM107" s="1058">
        <v>11.953430000000001</v>
      </c>
      <c r="AN107" s="1058">
        <v>12.263629999999999</v>
      </c>
      <c r="AO107" s="1058">
        <v>12.368285999999999</v>
      </c>
      <c r="AP107" s="1058">
        <v>12.459205000000001</v>
      </c>
      <c r="AQ107" s="1058">
        <v>12.755896</v>
      </c>
      <c r="AR107" s="1058">
        <v>13.077387</v>
      </c>
      <c r="AS107" s="1054"/>
      <c r="AT107" s="1054"/>
      <c r="AU107" s="1054"/>
      <c r="AV107" s="1054"/>
      <c r="AW107" s="1054"/>
      <c r="AX107" s="1054"/>
      <c r="AY107" s="1054"/>
      <c r="AZ107" s="1054"/>
      <c r="BA107" s="1054"/>
      <c r="BB107" s="1054"/>
      <c r="BC107" s="1054"/>
      <c r="BD107" s="1054"/>
      <c r="BE107" s="1054"/>
      <c r="BF107" s="1054"/>
      <c r="BG107" s="1054"/>
      <c r="BH107" s="1054"/>
      <c r="BI107" s="1054"/>
      <c r="BJ107" s="1054"/>
      <c r="BK107" s="1054"/>
      <c r="BL107" s="1054"/>
      <c r="BM107" s="1054"/>
      <c r="BN107" s="1054"/>
      <c r="BO107" s="1054"/>
      <c r="BP107" s="1054"/>
      <c r="BQ107" s="1054"/>
      <c r="BR107" s="1054"/>
      <c r="BS107" s="1054"/>
      <c r="BT107" s="1054"/>
      <c r="BU107" s="1054"/>
      <c r="BV107" s="1056"/>
    </row>
    <row r="108" spans="1:104" s="1052" customFormat="1" x14ac:dyDescent="0.25">
      <c r="A108" s="1057" t="s">
        <v>283</v>
      </c>
      <c r="B108" s="1054"/>
      <c r="C108" s="1055"/>
      <c r="D108" s="1252"/>
      <c r="E108" s="1055"/>
      <c r="F108" s="1054"/>
      <c r="G108" s="1054"/>
      <c r="H108" s="1054"/>
      <c r="I108" s="1054"/>
      <c r="J108" s="1054"/>
      <c r="K108" s="1054"/>
      <c r="L108" s="1054"/>
      <c r="M108" s="1054"/>
      <c r="N108" s="1054"/>
      <c r="O108" s="1058">
        <v>5.093718</v>
      </c>
      <c r="P108" s="1058">
        <v>3.77142</v>
      </c>
      <c r="Q108" s="1058">
        <v>4.594805</v>
      </c>
      <c r="R108" s="1058">
        <v>4.7995720000000004</v>
      </c>
      <c r="S108" s="1058">
        <v>4.9392990000000001</v>
      </c>
      <c r="T108" s="1058">
        <v>5.148549</v>
      </c>
      <c r="U108" s="1058">
        <v>5.425808</v>
      </c>
      <c r="V108" s="1058">
        <v>5.8458810000000003</v>
      </c>
      <c r="W108" s="1058">
        <v>5.9476060000000004</v>
      </c>
      <c r="X108" s="1058">
        <v>5.7923239999999998</v>
      </c>
      <c r="Y108" s="1058">
        <v>5.9347989999999999</v>
      </c>
      <c r="Z108" s="1058">
        <v>5.9545320000000004</v>
      </c>
      <c r="AA108" s="1058">
        <v>6.0522600000000004</v>
      </c>
      <c r="AB108" s="1058">
        <v>6.2273719999999999</v>
      </c>
      <c r="AC108" s="1058">
        <v>6.3209530000000003</v>
      </c>
      <c r="AD108" s="1058">
        <v>6.356109</v>
      </c>
      <c r="AE108" s="1058">
        <v>6.4293370000000003</v>
      </c>
      <c r="AF108" s="1058">
        <v>6.531498</v>
      </c>
      <c r="AG108" s="1058">
        <v>6.7357209999999998</v>
      </c>
      <c r="AH108" s="1058">
        <v>6.9891050000000003</v>
      </c>
      <c r="AI108" s="1058">
        <v>7.1038509999999997</v>
      </c>
      <c r="AJ108" s="1058">
        <v>7.224164</v>
      </c>
      <c r="AK108" s="1058">
        <v>7.420331</v>
      </c>
      <c r="AL108" s="1058">
        <v>7.5726420000000001</v>
      </c>
      <c r="AM108" s="1058">
        <v>7.7575940000000001</v>
      </c>
      <c r="AN108" s="1058">
        <v>8.0432100000000002</v>
      </c>
      <c r="AO108" s="1058">
        <v>8.0942129999999999</v>
      </c>
      <c r="AP108" s="1058">
        <v>8.1302479999999999</v>
      </c>
      <c r="AQ108" s="1058">
        <v>8.3372609999999998</v>
      </c>
      <c r="AR108" s="1058">
        <v>8.5934050000000006</v>
      </c>
      <c r="AS108" s="1054"/>
      <c r="AT108" s="1054"/>
      <c r="AU108" s="1054"/>
      <c r="AV108" s="1054"/>
      <c r="AW108" s="1054"/>
      <c r="AX108" s="1054"/>
      <c r="AY108" s="1054"/>
      <c r="AZ108" s="1054"/>
      <c r="BA108" s="1054"/>
      <c r="BB108" s="1054"/>
      <c r="BC108" s="1054"/>
      <c r="BD108" s="1054"/>
      <c r="BE108" s="1054"/>
      <c r="BF108" s="1054"/>
      <c r="BG108" s="1054"/>
      <c r="BH108" s="1054"/>
      <c r="BI108" s="1054"/>
      <c r="BJ108" s="1054"/>
      <c r="BK108" s="1054"/>
      <c r="BL108" s="1054"/>
      <c r="BM108" s="1054"/>
      <c r="BN108" s="1054"/>
      <c r="BO108" s="1054"/>
      <c r="BP108" s="1054"/>
      <c r="BQ108" s="1054"/>
      <c r="BR108" s="1054"/>
      <c r="BS108" s="1054"/>
      <c r="BT108" s="1054"/>
      <c r="BU108" s="1054"/>
      <c r="BV108" s="1056"/>
    </row>
    <row r="109" spans="1:104" s="1052" customFormat="1" x14ac:dyDescent="0.25">
      <c r="A109" s="1059" t="str">
        <f>'HyARC Physical Property Data'!$A$74</f>
        <v>Electric Utility Natural Gas</v>
      </c>
      <c r="B109" s="1054"/>
      <c r="C109" s="1055"/>
      <c r="D109" s="1252"/>
      <c r="E109" s="1055"/>
      <c r="F109" s="1054"/>
      <c r="G109" s="1054"/>
      <c r="H109" s="1054"/>
      <c r="I109" s="1054"/>
      <c r="J109" s="1054"/>
      <c r="K109" s="1054"/>
      <c r="L109" s="1054"/>
      <c r="M109" s="1054"/>
      <c r="N109" s="1054"/>
      <c r="O109" s="1058">
        <v>4.881901</v>
      </c>
      <c r="P109" s="1058">
        <v>3.4378730000000002</v>
      </c>
      <c r="Q109" s="1058">
        <v>4.3206319999999998</v>
      </c>
      <c r="R109" s="1058">
        <v>4.4694140000000004</v>
      </c>
      <c r="S109" s="1058">
        <v>4.4284980000000003</v>
      </c>
      <c r="T109" s="1058">
        <v>4.4748020000000004</v>
      </c>
      <c r="U109" s="1058">
        <v>4.6905669999999997</v>
      </c>
      <c r="V109" s="1058">
        <v>5.0621029999999996</v>
      </c>
      <c r="W109" s="1058">
        <v>5.1794200000000004</v>
      </c>
      <c r="X109" s="1058">
        <v>5.0744109999999996</v>
      </c>
      <c r="Y109" s="1058">
        <v>5.242337</v>
      </c>
      <c r="Z109" s="1058">
        <v>5.2943420000000003</v>
      </c>
      <c r="AA109" s="1058">
        <v>5.4200609999999996</v>
      </c>
      <c r="AB109" s="1058">
        <v>5.622217</v>
      </c>
      <c r="AC109" s="1058">
        <v>5.7577170000000004</v>
      </c>
      <c r="AD109" s="1058">
        <v>5.8140010000000002</v>
      </c>
      <c r="AE109" s="1058">
        <v>5.9051999999999998</v>
      </c>
      <c r="AF109" s="1058">
        <v>6.0276690000000004</v>
      </c>
      <c r="AG109" s="1058">
        <v>6.2437040000000001</v>
      </c>
      <c r="AH109" s="1058">
        <v>6.4934279999999998</v>
      </c>
      <c r="AI109" s="1058">
        <v>6.6170710000000001</v>
      </c>
      <c r="AJ109" s="1058">
        <v>6.726566</v>
      </c>
      <c r="AK109" s="1058">
        <v>6.9305599999999998</v>
      </c>
      <c r="AL109" s="1058">
        <v>7.0909170000000001</v>
      </c>
      <c r="AM109" s="1058">
        <v>7.286816</v>
      </c>
      <c r="AN109" s="1058">
        <v>7.5708000000000002</v>
      </c>
      <c r="AO109" s="1058">
        <v>7.630439</v>
      </c>
      <c r="AP109" s="1058">
        <v>7.6782940000000002</v>
      </c>
      <c r="AQ109" s="1058">
        <v>7.8974500000000001</v>
      </c>
      <c r="AR109" s="1058">
        <v>8.1587669999999992</v>
      </c>
      <c r="AS109" s="1054"/>
      <c r="AT109" s="1054"/>
      <c r="AU109" s="1054"/>
      <c r="AV109" s="1054"/>
      <c r="AW109" s="1054"/>
      <c r="AX109" s="1054"/>
      <c r="AY109" s="1054"/>
      <c r="AZ109" s="1054"/>
      <c r="BA109" s="1054"/>
      <c r="BB109" s="1054"/>
      <c r="BC109" s="1054"/>
      <c r="BD109" s="1054"/>
      <c r="BE109" s="1054"/>
      <c r="BF109" s="1054"/>
      <c r="BG109" s="1054"/>
      <c r="BH109" s="1054"/>
      <c r="BI109" s="1054"/>
      <c r="BJ109" s="1054"/>
      <c r="BK109" s="1054"/>
      <c r="BL109" s="1054"/>
      <c r="BM109" s="1054"/>
      <c r="BN109" s="1054"/>
      <c r="BO109" s="1054"/>
      <c r="BP109" s="1054"/>
      <c r="BQ109" s="1054"/>
      <c r="BR109" s="1054"/>
      <c r="BS109" s="1054"/>
      <c r="BT109" s="1054"/>
      <c r="BU109" s="1054"/>
      <c r="BV109" s="1056"/>
    </row>
    <row r="110" spans="1:104" s="1052" customFormat="1" x14ac:dyDescent="0.25">
      <c r="A110" s="1054" t="s">
        <v>1081</v>
      </c>
      <c r="B110" s="1054"/>
      <c r="C110" s="1055"/>
      <c r="D110" s="1252"/>
      <c r="E110" s="1055"/>
      <c r="F110" s="1054"/>
      <c r="G110" s="1054"/>
      <c r="H110" s="1054"/>
      <c r="I110" s="1054"/>
      <c r="J110" s="1054"/>
      <c r="K110" s="1054"/>
      <c r="L110" s="1054"/>
      <c r="M110" s="1054"/>
      <c r="N110" s="1054"/>
      <c r="O110" s="1058"/>
      <c r="P110" s="1058"/>
      <c r="Q110" s="1058"/>
      <c r="R110" s="1058"/>
      <c r="S110" s="1058"/>
      <c r="T110" s="1058"/>
      <c r="U110" s="1058"/>
      <c r="V110" s="1058"/>
      <c r="W110" s="1058"/>
      <c r="X110" s="1058"/>
      <c r="Y110" s="1058"/>
      <c r="Z110" s="1058"/>
      <c r="AA110" s="1058"/>
      <c r="AB110" s="1058"/>
      <c r="AC110" s="1058"/>
      <c r="AD110" s="1058"/>
      <c r="AE110" s="1058"/>
      <c r="AF110" s="1058"/>
      <c r="AG110" s="1058"/>
      <c r="AH110" s="1058"/>
      <c r="AI110" s="1058"/>
      <c r="AJ110" s="1058"/>
      <c r="AK110" s="1058"/>
      <c r="AL110" s="1058"/>
      <c r="AM110" s="1058"/>
      <c r="AN110" s="1058"/>
      <c r="AO110" s="1058"/>
      <c r="AP110" s="1058"/>
      <c r="AQ110" s="1058"/>
      <c r="AR110" s="1058"/>
      <c r="AS110" s="1054"/>
      <c r="AT110" s="1054"/>
      <c r="AU110" s="1054"/>
      <c r="AV110" s="1054"/>
      <c r="AW110" s="1054"/>
      <c r="AX110" s="1054"/>
      <c r="AY110" s="1054"/>
      <c r="AZ110" s="1054"/>
      <c r="BA110" s="1054"/>
      <c r="BB110" s="1054"/>
      <c r="BC110" s="1054"/>
      <c r="BD110" s="1054"/>
      <c r="BE110" s="1054"/>
      <c r="BF110" s="1054"/>
      <c r="BG110" s="1054"/>
      <c r="BH110" s="1054"/>
      <c r="BI110" s="1054"/>
      <c r="BJ110" s="1054"/>
      <c r="BK110" s="1054"/>
      <c r="BL110" s="1054"/>
      <c r="BM110" s="1054"/>
      <c r="BN110" s="1054"/>
      <c r="BO110" s="1054"/>
      <c r="BP110" s="1054"/>
      <c r="BQ110" s="1054"/>
      <c r="BR110" s="1054"/>
      <c r="BS110" s="1054"/>
      <c r="BT110" s="1054"/>
      <c r="BU110" s="1054"/>
      <c r="BV110" s="1056"/>
    </row>
    <row r="111" spans="1:104" s="1052" customFormat="1" x14ac:dyDescent="0.25">
      <c r="A111" s="1074" t="s">
        <v>716</v>
      </c>
      <c r="B111" s="1054"/>
      <c r="C111" s="1055"/>
      <c r="D111" s="1252"/>
      <c r="E111" s="1055"/>
      <c r="F111" s="1054"/>
      <c r="G111" s="1054"/>
      <c r="H111" s="1054"/>
      <c r="I111" s="1054"/>
      <c r="J111" s="1054"/>
      <c r="K111" s="1054"/>
      <c r="L111" s="1054"/>
      <c r="M111" s="1054"/>
      <c r="N111" s="1054"/>
      <c r="O111" s="1058">
        <v>7.1348120000000002</v>
      </c>
      <c r="P111" s="1058">
        <v>7.25</v>
      </c>
      <c r="Q111" s="1058">
        <v>7.4339180000000002</v>
      </c>
      <c r="R111" s="1058">
        <v>7.5123340000000001</v>
      </c>
      <c r="S111" s="1058">
        <v>7.7593930000000002</v>
      </c>
      <c r="T111" s="1058">
        <v>7.9480709999999997</v>
      </c>
      <c r="U111" s="1058">
        <v>8.0483750000000001</v>
      </c>
      <c r="V111" s="1058">
        <v>8.1909299999999998</v>
      </c>
      <c r="W111" s="1058">
        <v>8.3009920000000008</v>
      </c>
      <c r="X111" s="1058">
        <v>8.4282590000000006</v>
      </c>
      <c r="Y111" s="1058">
        <v>8.5261879999999994</v>
      </c>
      <c r="Z111" s="1058">
        <v>8.6333680000000008</v>
      </c>
      <c r="AA111" s="1058">
        <v>8.7384330000000006</v>
      </c>
      <c r="AB111" s="1058">
        <v>8.8454820000000005</v>
      </c>
      <c r="AC111" s="1058">
        <v>8.9517559999999996</v>
      </c>
      <c r="AD111" s="1058">
        <v>9.0441529999999997</v>
      </c>
      <c r="AE111" s="1058">
        <v>9.1489940000000001</v>
      </c>
      <c r="AF111" s="1058">
        <v>9.2665970000000009</v>
      </c>
      <c r="AG111" s="1058">
        <v>9.3802029999999998</v>
      </c>
      <c r="AH111" s="1058">
        <v>9.5131180000000004</v>
      </c>
      <c r="AI111" s="1058">
        <v>9.5927720000000001</v>
      </c>
      <c r="AJ111" s="1058">
        <v>9.6736090000000008</v>
      </c>
      <c r="AK111" s="1058">
        <v>9.7592280000000002</v>
      </c>
      <c r="AL111" s="1058">
        <v>9.8373989999999996</v>
      </c>
      <c r="AM111" s="1058">
        <v>9.9349030000000003</v>
      </c>
      <c r="AN111" s="1058">
        <v>10.012817</v>
      </c>
      <c r="AO111" s="1058">
        <v>10.10066</v>
      </c>
      <c r="AP111" s="1058">
        <v>10.107113</v>
      </c>
      <c r="AQ111" s="1058">
        <v>10.135842</v>
      </c>
      <c r="AR111" s="1058">
        <v>10.197044999999999</v>
      </c>
      <c r="AS111" s="1054"/>
      <c r="AT111" s="1054"/>
      <c r="AU111" s="1054"/>
      <c r="AV111" s="1054"/>
      <c r="AW111" s="1054"/>
      <c r="AX111" s="1054"/>
      <c r="AY111" s="1054"/>
      <c r="AZ111" s="1054"/>
      <c r="BA111" s="1054"/>
      <c r="BB111" s="1054"/>
      <c r="BC111" s="1054"/>
      <c r="BD111" s="1054"/>
      <c r="BE111" s="1054"/>
      <c r="BF111" s="1054"/>
      <c r="BG111" s="1054"/>
      <c r="BH111" s="1054"/>
      <c r="BI111" s="1054"/>
      <c r="BJ111" s="1054"/>
      <c r="BK111" s="1054"/>
      <c r="BL111" s="1054"/>
      <c r="BM111" s="1054"/>
      <c r="BN111" s="1054"/>
      <c r="BO111" s="1054"/>
      <c r="BP111" s="1054"/>
      <c r="BQ111" s="1054"/>
      <c r="BR111" s="1054"/>
      <c r="BS111" s="1054"/>
      <c r="BT111" s="1054"/>
      <c r="BU111" s="1054"/>
      <c r="BV111" s="1056"/>
    </row>
    <row r="112" spans="1:104" s="1052" customFormat="1" x14ac:dyDescent="0.25">
      <c r="A112" s="1074" t="s">
        <v>717</v>
      </c>
      <c r="B112" s="1054"/>
      <c r="C112" s="1055"/>
      <c r="D112" s="1252"/>
      <c r="E112" s="1055"/>
      <c r="F112" s="1054"/>
      <c r="G112" s="1054"/>
      <c r="H112" s="1054"/>
      <c r="I112" s="1054"/>
      <c r="J112" s="1054"/>
      <c r="K112" s="1054"/>
      <c r="L112" s="1054"/>
      <c r="M112" s="1054"/>
      <c r="N112" s="1054"/>
      <c r="O112" s="1058">
        <v>3.3073760000000001</v>
      </c>
      <c r="P112" s="1058">
        <v>3.2396150000000001</v>
      </c>
      <c r="Q112" s="1058">
        <v>3.3150900000000001</v>
      </c>
      <c r="R112" s="1058">
        <v>3.2817340000000002</v>
      </c>
      <c r="S112" s="1058">
        <v>3.3761420000000002</v>
      </c>
      <c r="T112" s="1058">
        <v>3.437208</v>
      </c>
      <c r="U112" s="1058">
        <v>3.4609869999999998</v>
      </c>
      <c r="V112" s="1058">
        <v>3.5206819999999999</v>
      </c>
      <c r="W112" s="1058">
        <v>3.5610849999999998</v>
      </c>
      <c r="X112" s="1058">
        <v>3.5932520000000001</v>
      </c>
      <c r="Y112" s="1058">
        <v>3.6143869999999998</v>
      </c>
      <c r="Z112" s="1058">
        <v>3.6395840000000002</v>
      </c>
      <c r="AA112" s="1058">
        <v>3.6651829999999999</v>
      </c>
      <c r="AB112" s="1058">
        <v>3.697009</v>
      </c>
      <c r="AC112" s="1058">
        <v>3.7274949999999998</v>
      </c>
      <c r="AD112" s="1058">
        <v>3.7560980000000002</v>
      </c>
      <c r="AE112" s="1058">
        <v>3.7847550000000001</v>
      </c>
      <c r="AF112" s="1058">
        <v>3.8163930000000001</v>
      </c>
      <c r="AG112" s="1058">
        <v>3.8450039999999999</v>
      </c>
      <c r="AH112" s="1058">
        <v>3.8844850000000002</v>
      </c>
      <c r="AI112" s="1058">
        <v>3.9155440000000001</v>
      </c>
      <c r="AJ112" s="1058">
        <v>3.944798</v>
      </c>
      <c r="AK112" s="1058">
        <v>3.9761479999999998</v>
      </c>
      <c r="AL112" s="1058">
        <v>4.0004489999999997</v>
      </c>
      <c r="AM112" s="1058">
        <v>4.0294249999999998</v>
      </c>
      <c r="AN112" s="1058">
        <v>4.0600360000000002</v>
      </c>
      <c r="AO112" s="1058">
        <v>4.0903939999999999</v>
      </c>
      <c r="AP112" s="1058">
        <v>4.1171660000000001</v>
      </c>
      <c r="AQ112" s="1058">
        <v>4.1493070000000003</v>
      </c>
      <c r="AR112" s="1058">
        <v>4.1898999999999997</v>
      </c>
      <c r="AS112" s="1054"/>
      <c r="AT112" s="1054"/>
      <c r="AU112" s="1054"/>
      <c r="AV112" s="1054"/>
      <c r="AW112" s="1054"/>
      <c r="AX112" s="1054"/>
      <c r="AY112" s="1054"/>
      <c r="AZ112" s="1054"/>
      <c r="BA112" s="1054"/>
      <c r="BB112" s="1054"/>
      <c r="BC112" s="1054"/>
      <c r="BD112" s="1054"/>
      <c r="BE112" s="1054"/>
      <c r="BF112" s="1054"/>
      <c r="BG112" s="1054"/>
      <c r="BH112" s="1054"/>
      <c r="BI112" s="1054"/>
      <c r="BJ112" s="1054"/>
      <c r="BK112" s="1054"/>
      <c r="BL112" s="1054"/>
      <c r="BM112" s="1054"/>
      <c r="BN112" s="1054"/>
      <c r="BO112" s="1054"/>
      <c r="BP112" s="1054"/>
      <c r="BQ112" s="1054"/>
      <c r="BR112" s="1054"/>
      <c r="BS112" s="1054"/>
      <c r="BT112" s="1054"/>
      <c r="BU112" s="1054"/>
      <c r="BV112" s="1056"/>
    </row>
    <row r="113" spans="1:74" s="1052" customFormat="1" x14ac:dyDescent="0.25">
      <c r="A113" s="1057" t="s">
        <v>1087</v>
      </c>
      <c r="B113" s="1054"/>
      <c r="C113" s="1055"/>
      <c r="D113" s="1252"/>
      <c r="E113" s="1055"/>
      <c r="F113" s="1054"/>
      <c r="G113" s="1054"/>
      <c r="H113" s="1054"/>
      <c r="I113" s="1054"/>
      <c r="J113" s="1054"/>
      <c r="K113" s="1054"/>
      <c r="L113" s="1054"/>
      <c r="M113" s="1054"/>
      <c r="N113" s="1054"/>
      <c r="O113" s="1058">
        <v>2.4223750000000002</v>
      </c>
      <c r="P113" s="1058">
        <v>2.39</v>
      </c>
      <c r="Q113" s="1058">
        <v>2.37385</v>
      </c>
      <c r="R113" s="1058">
        <v>2.329834</v>
      </c>
      <c r="S113" s="1058">
        <v>2.4039359999999999</v>
      </c>
      <c r="T113" s="1058">
        <v>2.422212</v>
      </c>
      <c r="U113" s="1058">
        <v>2.4863749999999998</v>
      </c>
      <c r="V113" s="1058">
        <v>2.5503130000000001</v>
      </c>
      <c r="W113" s="1058">
        <v>2.589102</v>
      </c>
      <c r="X113" s="1058">
        <v>2.6113439999999999</v>
      </c>
      <c r="Y113" s="1058">
        <v>2.6429999999999998</v>
      </c>
      <c r="Z113" s="1058">
        <v>2.675691</v>
      </c>
      <c r="AA113" s="1058">
        <v>2.7024710000000001</v>
      </c>
      <c r="AB113" s="1058">
        <v>2.7390279999999998</v>
      </c>
      <c r="AC113" s="1058">
        <v>2.7738589999999999</v>
      </c>
      <c r="AD113" s="1058">
        <v>2.807261</v>
      </c>
      <c r="AE113" s="1058">
        <v>2.8368190000000002</v>
      </c>
      <c r="AF113" s="1058">
        <v>2.8649870000000002</v>
      </c>
      <c r="AG113" s="1058">
        <v>2.8913859999999998</v>
      </c>
      <c r="AH113" s="1058">
        <v>2.9256030000000002</v>
      </c>
      <c r="AI113" s="1058">
        <v>2.9494180000000001</v>
      </c>
      <c r="AJ113" s="1058">
        <v>2.9743849999999998</v>
      </c>
      <c r="AK113" s="1058">
        <v>3.0006210000000002</v>
      </c>
      <c r="AL113" s="1058">
        <v>3.0244930000000001</v>
      </c>
      <c r="AM113" s="1058">
        <v>3.050074</v>
      </c>
      <c r="AN113" s="1058">
        <v>3.076149</v>
      </c>
      <c r="AO113" s="1058">
        <v>3.099027</v>
      </c>
      <c r="AP113" s="1058">
        <v>3.1208209999999998</v>
      </c>
      <c r="AQ113" s="1058">
        <v>3.153797</v>
      </c>
      <c r="AR113" s="1058">
        <v>3.1896749999999998</v>
      </c>
      <c r="AS113" s="1054"/>
      <c r="AT113" s="1054"/>
      <c r="AU113" s="1054"/>
      <c r="AV113" s="1054"/>
      <c r="AW113" s="1054"/>
      <c r="AX113" s="1054"/>
      <c r="AY113" s="1054"/>
      <c r="AZ113" s="1054"/>
      <c r="BA113" s="1054"/>
      <c r="BB113" s="1054"/>
      <c r="BC113" s="1054"/>
      <c r="BD113" s="1054"/>
      <c r="BE113" s="1054"/>
      <c r="BF113" s="1054"/>
      <c r="BG113" s="1054"/>
      <c r="BH113" s="1054"/>
      <c r="BI113" s="1054"/>
      <c r="BJ113" s="1054"/>
      <c r="BK113" s="1054"/>
      <c r="BL113" s="1054"/>
      <c r="BM113" s="1054"/>
      <c r="BN113" s="1054"/>
      <c r="BO113" s="1054"/>
      <c r="BP113" s="1054"/>
      <c r="BQ113" s="1054"/>
      <c r="BR113" s="1054"/>
      <c r="BS113" s="1054"/>
      <c r="BT113" s="1054"/>
      <c r="BU113" s="1054"/>
      <c r="BV113" s="1056"/>
    </row>
    <row r="114" spans="1:74" s="1052" customFormat="1" x14ac:dyDescent="0.25">
      <c r="A114" s="1057" t="s">
        <v>683</v>
      </c>
      <c r="B114" s="1054"/>
      <c r="C114" s="1055"/>
      <c r="D114" s="1252"/>
      <c r="E114" s="1055"/>
      <c r="F114" s="1054"/>
      <c r="G114" s="1054"/>
      <c r="H114" s="1054"/>
      <c r="I114" s="1054"/>
      <c r="J114" s="1054"/>
      <c r="K114" s="1054"/>
      <c r="L114" s="1054"/>
      <c r="M114" s="1054"/>
      <c r="N114" s="1054"/>
      <c r="O114" s="1058">
        <v>30.531154999999998</v>
      </c>
      <c r="P114" s="1058">
        <v>29.553346999999999</v>
      </c>
      <c r="Q114" s="1058">
        <v>29.462689999999998</v>
      </c>
      <c r="R114" s="1058">
        <v>29.619807999999999</v>
      </c>
      <c r="S114" s="1058">
        <v>29.992000999999998</v>
      </c>
      <c r="T114" s="1058">
        <v>30.137812</v>
      </c>
      <c r="U114" s="1058">
        <v>30.368880999999998</v>
      </c>
      <c r="V114" s="1058">
        <v>30.723389000000001</v>
      </c>
      <c r="W114" s="1058">
        <v>31.014326000000001</v>
      </c>
      <c r="X114" s="1058">
        <v>30.799534000000001</v>
      </c>
      <c r="Y114" s="1058">
        <v>30.631943</v>
      </c>
      <c r="Z114" s="1058">
        <v>30.294862999999999</v>
      </c>
      <c r="AA114" s="1058">
        <v>30.159492</v>
      </c>
      <c r="AB114" s="1058">
        <v>30.497467</v>
      </c>
      <c r="AC114" s="1058">
        <v>30.549484</v>
      </c>
      <c r="AD114" s="1058">
        <v>30.628119000000002</v>
      </c>
      <c r="AE114" s="1058">
        <v>30.831617000000001</v>
      </c>
      <c r="AF114" s="1058">
        <v>30.906943999999999</v>
      </c>
      <c r="AG114" s="1058">
        <v>31.016119</v>
      </c>
      <c r="AH114" s="1058">
        <v>31.259630000000001</v>
      </c>
      <c r="AI114" s="1058">
        <v>31.506346000000001</v>
      </c>
      <c r="AJ114" s="1058">
        <v>31.548763000000001</v>
      </c>
      <c r="AK114" s="1058">
        <v>31.537307999999999</v>
      </c>
      <c r="AL114" s="1058">
        <v>31.727125000000001</v>
      </c>
      <c r="AM114" s="1058">
        <v>31.983875000000001</v>
      </c>
      <c r="AN114" s="1058">
        <v>32.252009999999999</v>
      </c>
      <c r="AO114" s="1058">
        <v>32.456364000000001</v>
      </c>
      <c r="AP114" s="1058">
        <v>32.526015999999998</v>
      </c>
      <c r="AQ114" s="1058">
        <v>32.747635000000002</v>
      </c>
      <c r="AR114" s="1058">
        <v>33.007354999999997</v>
      </c>
      <c r="AS114" s="1054"/>
      <c r="AT114" s="1054"/>
      <c r="AU114" s="1054"/>
      <c r="AV114" s="1054"/>
      <c r="AW114" s="1054"/>
      <c r="AX114" s="1054"/>
      <c r="AY114" s="1054"/>
      <c r="AZ114" s="1054"/>
      <c r="BA114" s="1054"/>
      <c r="BB114" s="1054"/>
      <c r="BC114" s="1054"/>
      <c r="BD114" s="1054"/>
      <c r="BE114" s="1054"/>
      <c r="BF114" s="1054"/>
      <c r="BG114" s="1054"/>
      <c r="BH114" s="1054"/>
      <c r="BI114" s="1054"/>
      <c r="BJ114" s="1054"/>
      <c r="BK114" s="1054"/>
      <c r="BL114" s="1054"/>
      <c r="BM114" s="1054"/>
      <c r="BN114" s="1054"/>
      <c r="BO114" s="1054"/>
      <c r="BP114" s="1054"/>
      <c r="BQ114" s="1054"/>
      <c r="BR114" s="1054"/>
      <c r="BS114" s="1054"/>
      <c r="BT114" s="1054"/>
      <c r="BU114" s="1054"/>
      <c r="BV114" s="1056"/>
    </row>
    <row r="115" spans="1:74" s="1052" customFormat="1" x14ac:dyDescent="0.25">
      <c r="A115" s="1057" t="s">
        <v>698</v>
      </c>
      <c r="B115" s="1054"/>
      <c r="C115" s="1055"/>
      <c r="D115" s="1252"/>
      <c r="E115" s="1055"/>
      <c r="F115" s="1054"/>
      <c r="G115" s="1054"/>
      <c r="H115" s="1054"/>
      <c r="I115" s="1054"/>
      <c r="J115" s="1054"/>
      <c r="K115" s="1054"/>
      <c r="L115" s="1054"/>
      <c r="M115" s="1054"/>
      <c r="N115" s="1054"/>
      <c r="O115" s="1058">
        <v>20.348036</v>
      </c>
      <c r="P115" s="1058">
        <v>19.495602000000002</v>
      </c>
      <c r="Q115" s="1058">
        <v>20.081951</v>
      </c>
      <c r="R115" s="1058">
        <v>19.872589000000001</v>
      </c>
      <c r="S115" s="1058">
        <v>20.106300000000001</v>
      </c>
      <c r="T115" s="1058">
        <v>20.110336</v>
      </c>
      <c r="U115" s="1058">
        <v>20.286434</v>
      </c>
      <c r="V115" s="1058">
        <v>20.591933999999998</v>
      </c>
      <c r="W115" s="1058">
        <v>20.859487999999999</v>
      </c>
      <c r="X115" s="1058">
        <v>20.769625000000001</v>
      </c>
      <c r="Y115" s="1058">
        <v>20.751276000000001</v>
      </c>
      <c r="Z115" s="1058">
        <v>20.654140000000002</v>
      </c>
      <c r="AA115" s="1058">
        <v>20.663025000000001</v>
      </c>
      <c r="AB115" s="1058">
        <v>20.946209</v>
      </c>
      <c r="AC115" s="1058">
        <v>21.079236999999999</v>
      </c>
      <c r="AD115" s="1058">
        <v>21.236912</v>
      </c>
      <c r="AE115" s="1058">
        <v>21.461658</v>
      </c>
      <c r="AF115" s="1058">
        <v>21.586451</v>
      </c>
      <c r="AG115" s="1058">
        <v>21.737777999999999</v>
      </c>
      <c r="AH115" s="1058">
        <v>21.988303999999999</v>
      </c>
      <c r="AI115" s="1058">
        <v>22.237325999999999</v>
      </c>
      <c r="AJ115" s="1058">
        <v>22.342414999999999</v>
      </c>
      <c r="AK115" s="1058">
        <v>22.437189</v>
      </c>
      <c r="AL115" s="1058">
        <v>22.654578999999998</v>
      </c>
      <c r="AM115" s="1058">
        <v>22.911854000000002</v>
      </c>
      <c r="AN115" s="1058">
        <v>23.191139</v>
      </c>
      <c r="AO115" s="1058">
        <v>23.409314999999999</v>
      </c>
      <c r="AP115" s="1058">
        <v>23.521646</v>
      </c>
      <c r="AQ115" s="1058">
        <v>23.76399</v>
      </c>
      <c r="AR115" s="1058">
        <v>24.052772999999998</v>
      </c>
      <c r="AS115" s="1054"/>
      <c r="AT115" s="1054"/>
      <c r="AU115" s="1054"/>
      <c r="AV115" s="1054"/>
      <c r="AW115" s="1054"/>
      <c r="AX115" s="1054"/>
      <c r="AY115" s="1054"/>
      <c r="AZ115" s="1054"/>
      <c r="BA115" s="1054"/>
      <c r="BB115" s="1054"/>
      <c r="BC115" s="1054"/>
      <c r="BD115" s="1054"/>
      <c r="BE115" s="1054"/>
      <c r="BF115" s="1054"/>
      <c r="BG115" s="1054"/>
      <c r="BH115" s="1054"/>
      <c r="BI115" s="1054"/>
      <c r="BJ115" s="1054"/>
      <c r="BK115" s="1054"/>
      <c r="BL115" s="1054"/>
      <c r="BM115" s="1054"/>
      <c r="BN115" s="1054"/>
      <c r="BO115" s="1054"/>
      <c r="BP115" s="1054"/>
      <c r="BQ115" s="1054"/>
      <c r="BR115" s="1054"/>
      <c r="BS115" s="1054"/>
      <c r="BT115" s="1054"/>
      <c r="BU115" s="1054"/>
      <c r="BV115" s="1056"/>
    </row>
    <row r="116" spans="1:74" s="1052" customFormat="1" ht="13" thickBot="1" x14ac:dyDescent="0.3">
      <c r="A116" s="1061" t="s">
        <v>684</v>
      </c>
      <c r="B116" s="1062"/>
      <c r="C116" s="1063"/>
      <c r="D116" s="1063"/>
      <c r="E116" s="1063"/>
      <c r="F116" s="1062"/>
      <c r="G116" s="1062"/>
      <c r="H116" s="1062"/>
      <c r="I116" s="1062"/>
      <c r="J116" s="1062"/>
      <c r="K116" s="1062"/>
      <c r="L116" s="1062"/>
      <c r="M116" s="1062"/>
      <c r="N116" s="1062"/>
      <c r="O116" s="1064">
        <v>34.952885000000002</v>
      </c>
      <c r="P116" s="1064">
        <v>34.831184</v>
      </c>
      <c r="Q116" s="1064">
        <v>34.015979999999999</v>
      </c>
      <c r="R116" s="1064">
        <v>34.409668000000003</v>
      </c>
      <c r="S116" s="1064">
        <v>34.941752999999999</v>
      </c>
      <c r="T116" s="1064">
        <v>35.163139000000001</v>
      </c>
      <c r="U116" s="1064">
        <v>35.519157</v>
      </c>
      <c r="V116" s="1064">
        <v>35.913296000000003</v>
      </c>
      <c r="W116" s="1064">
        <v>36.178234000000003</v>
      </c>
      <c r="X116" s="1064">
        <v>36.146892999999999</v>
      </c>
      <c r="Y116" s="1064">
        <v>36.061802</v>
      </c>
      <c r="Z116" s="1064">
        <v>35.804130999999998</v>
      </c>
      <c r="AA116" s="1064">
        <v>35.695621000000003</v>
      </c>
      <c r="AB116" s="1064">
        <v>36.040774999999996</v>
      </c>
      <c r="AC116" s="1064">
        <v>36.141415000000002</v>
      </c>
      <c r="AD116" s="1064">
        <v>36.246937000000003</v>
      </c>
      <c r="AE116" s="1064">
        <v>36.470740999999997</v>
      </c>
      <c r="AF116" s="1064">
        <v>36.579631999999997</v>
      </c>
      <c r="AG116" s="1064">
        <v>36.725307000000001</v>
      </c>
      <c r="AH116" s="1064">
        <v>36.981831</v>
      </c>
      <c r="AI116" s="1064">
        <v>37.256236999999999</v>
      </c>
      <c r="AJ116" s="1064">
        <v>37.335673999999997</v>
      </c>
      <c r="AK116" s="1064">
        <v>37.369007000000003</v>
      </c>
      <c r="AL116" s="1064">
        <v>37.567386999999997</v>
      </c>
      <c r="AM116" s="1064">
        <v>37.817901999999997</v>
      </c>
      <c r="AN116" s="1064">
        <v>38.082256000000001</v>
      </c>
      <c r="AO116" s="1064">
        <v>38.298912000000001</v>
      </c>
      <c r="AP116" s="1064">
        <v>38.369354000000001</v>
      </c>
      <c r="AQ116" s="1064">
        <v>38.582217999999997</v>
      </c>
      <c r="AR116" s="1064">
        <v>38.834609999999998</v>
      </c>
      <c r="AS116" s="1062"/>
      <c r="AT116" s="1062"/>
      <c r="AU116" s="1062"/>
      <c r="AV116" s="1062"/>
      <c r="AW116" s="1062"/>
      <c r="AX116" s="1062"/>
      <c r="AY116" s="1062"/>
      <c r="AZ116" s="1062"/>
      <c r="BA116" s="1062"/>
      <c r="BB116" s="1062"/>
      <c r="BC116" s="1062"/>
      <c r="BD116" s="1062"/>
      <c r="BE116" s="1062"/>
      <c r="BF116" s="1062"/>
      <c r="BG116" s="1062"/>
      <c r="BH116" s="1062"/>
      <c r="BI116" s="1062"/>
      <c r="BJ116" s="1062"/>
      <c r="BK116" s="1062"/>
      <c r="BL116" s="1062"/>
      <c r="BM116" s="1062"/>
      <c r="BN116" s="1062"/>
      <c r="BO116" s="1062"/>
      <c r="BP116" s="1062"/>
      <c r="BQ116" s="1062"/>
      <c r="BR116" s="1062"/>
      <c r="BS116" s="1062"/>
      <c r="BT116" s="1062"/>
      <c r="BU116" s="1062"/>
      <c r="BV116" s="1065"/>
    </row>
    <row r="129" spans="1:104" ht="13" thickBot="1" x14ac:dyDescent="0.3"/>
    <row r="130" spans="1:104" ht="13" x14ac:dyDescent="0.3">
      <c r="A130" s="1381" t="s">
        <v>1290</v>
      </c>
      <c r="B130" s="1382" t="str">
        <f>"Prices are in $(" &amp; ref_year&amp;")/GJ LHV"</f>
        <v>Prices are in $(2016)/GJ LHV</v>
      </c>
      <c r="C130" s="1382"/>
      <c r="D130" s="1383"/>
      <c r="E130" s="1382"/>
      <c r="F130" s="959"/>
      <c r="G130" s="959"/>
      <c r="H130" s="959"/>
      <c r="I130" s="959"/>
      <c r="J130" s="959"/>
      <c r="K130" s="959"/>
      <c r="L130" s="959"/>
      <c r="M130" s="959"/>
      <c r="N130" s="959"/>
      <c r="O130" s="959"/>
      <c r="P130" s="959"/>
      <c r="Q130" s="959"/>
      <c r="R130" s="959"/>
      <c r="S130" s="959"/>
      <c r="T130" s="959"/>
      <c r="U130" s="959"/>
      <c r="V130" s="959"/>
      <c r="W130" s="959"/>
      <c r="X130" s="959"/>
      <c r="Y130" s="959"/>
      <c r="Z130" s="959"/>
      <c r="AA130" s="959"/>
      <c r="AB130" s="959"/>
      <c r="AC130" s="959"/>
      <c r="AD130" s="959"/>
      <c r="AE130" s="959"/>
      <c r="AF130" s="959"/>
      <c r="AG130" s="959"/>
      <c r="AH130" s="959"/>
      <c r="AI130" s="959"/>
      <c r="AJ130" s="959"/>
      <c r="AK130" s="959"/>
      <c r="AL130" s="959"/>
      <c r="AM130" s="959"/>
      <c r="AN130" s="959"/>
      <c r="AO130" s="959"/>
      <c r="AP130" s="959"/>
      <c r="AQ130" s="959"/>
      <c r="AR130" s="959"/>
      <c r="AS130" s="1384"/>
      <c r="AT130" s="1384"/>
      <c r="AU130" s="1384"/>
      <c r="AV130" s="1384"/>
      <c r="AW130" s="1384"/>
      <c r="AX130" s="1384"/>
      <c r="AY130" s="1384"/>
      <c r="AZ130" s="1384"/>
      <c r="BA130" s="1384"/>
      <c r="BB130" s="1385" t="s">
        <v>1291</v>
      </c>
      <c r="BC130" s="1386"/>
      <c r="BD130" s="1386"/>
      <c r="BE130" s="1386"/>
      <c r="BF130" s="1386"/>
      <c r="BG130" s="1386"/>
      <c r="BH130" s="1386"/>
      <c r="BI130" s="1386"/>
      <c r="BJ130" s="1386"/>
      <c r="BK130" s="1386"/>
      <c r="BL130" s="1386"/>
      <c r="BM130" s="1386"/>
      <c r="BN130" s="1386"/>
      <c r="BO130" s="1386"/>
      <c r="BP130" s="1386"/>
      <c r="BQ130" s="1386"/>
      <c r="BR130" s="1386"/>
      <c r="BS130" s="1386"/>
      <c r="BT130" s="1386"/>
      <c r="BU130" s="1386"/>
      <c r="BV130" s="1386"/>
      <c r="BW130" s="1386"/>
      <c r="BX130" s="1386"/>
      <c r="BY130" s="1386"/>
      <c r="BZ130" s="1386"/>
      <c r="CA130" s="1386"/>
      <c r="CB130" s="1386"/>
      <c r="CC130" s="1386"/>
      <c r="CD130" s="1386"/>
      <c r="CE130" s="1386"/>
      <c r="CF130" s="1386"/>
      <c r="CG130" s="1386"/>
      <c r="CH130" s="1386"/>
      <c r="CI130" s="1386"/>
      <c r="CJ130" s="1386"/>
      <c r="CK130" s="1386"/>
      <c r="CL130" s="1386"/>
      <c r="CM130" s="1386"/>
      <c r="CN130" s="1386"/>
      <c r="CO130" s="1386"/>
      <c r="CP130" s="1386"/>
      <c r="CQ130" s="1386"/>
      <c r="CR130" s="1386"/>
      <c r="CS130" s="1386"/>
      <c r="CT130" s="1386"/>
      <c r="CU130" s="1386"/>
      <c r="CV130" s="1386"/>
      <c r="CW130" s="1386"/>
      <c r="CX130" s="1386"/>
      <c r="CY130" s="1386"/>
      <c r="CZ130" s="1387"/>
    </row>
    <row r="131" spans="1:104" ht="39.5" thickBot="1" x14ac:dyDescent="0.35">
      <c r="A131" s="1388" t="s">
        <v>1084</v>
      </c>
      <c r="B131" s="1122" t="s">
        <v>678</v>
      </c>
      <c r="C131" s="1122" t="s">
        <v>679</v>
      </c>
      <c r="D131" s="1255" t="s">
        <v>690</v>
      </c>
      <c r="E131" s="1122" t="s">
        <v>691</v>
      </c>
      <c r="F131" s="1123" t="s">
        <v>680</v>
      </c>
      <c r="G131" s="1123" t="s">
        <v>692</v>
      </c>
      <c r="H131" s="889">
        <v>2004</v>
      </c>
      <c r="I131" s="889">
        <f>+H131+1</f>
        <v>2005</v>
      </c>
      <c r="J131" s="889">
        <f t="shared" ref="J131:BU131" si="265">+I131+1</f>
        <v>2006</v>
      </c>
      <c r="K131" s="889">
        <f t="shared" si="265"/>
        <v>2007</v>
      </c>
      <c r="L131" s="889">
        <f t="shared" si="265"/>
        <v>2008</v>
      </c>
      <c r="M131" s="889">
        <f t="shared" si="265"/>
        <v>2009</v>
      </c>
      <c r="N131" s="889">
        <f t="shared" si="265"/>
        <v>2010</v>
      </c>
      <c r="O131" s="889">
        <f t="shared" si="265"/>
        <v>2011</v>
      </c>
      <c r="P131" s="889">
        <f t="shared" si="265"/>
        <v>2012</v>
      </c>
      <c r="Q131" s="889">
        <f t="shared" si="265"/>
        <v>2013</v>
      </c>
      <c r="R131" s="889">
        <f t="shared" si="265"/>
        <v>2014</v>
      </c>
      <c r="S131" s="889">
        <f t="shared" si="265"/>
        <v>2015</v>
      </c>
      <c r="T131" s="889">
        <f t="shared" si="265"/>
        <v>2016</v>
      </c>
      <c r="U131" s="889">
        <f t="shared" si="265"/>
        <v>2017</v>
      </c>
      <c r="V131" s="889">
        <f t="shared" si="265"/>
        <v>2018</v>
      </c>
      <c r="W131" s="889">
        <f t="shared" si="265"/>
        <v>2019</v>
      </c>
      <c r="X131" s="889">
        <f t="shared" si="265"/>
        <v>2020</v>
      </c>
      <c r="Y131" s="889">
        <f t="shared" si="265"/>
        <v>2021</v>
      </c>
      <c r="Z131" s="889">
        <f t="shared" si="265"/>
        <v>2022</v>
      </c>
      <c r="AA131" s="889">
        <f t="shared" si="265"/>
        <v>2023</v>
      </c>
      <c r="AB131" s="889">
        <f t="shared" si="265"/>
        <v>2024</v>
      </c>
      <c r="AC131" s="889">
        <f t="shared" si="265"/>
        <v>2025</v>
      </c>
      <c r="AD131" s="889">
        <f t="shared" si="265"/>
        <v>2026</v>
      </c>
      <c r="AE131" s="889">
        <f t="shared" si="265"/>
        <v>2027</v>
      </c>
      <c r="AF131" s="889">
        <f t="shared" si="265"/>
        <v>2028</v>
      </c>
      <c r="AG131" s="889">
        <f t="shared" si="265"/>
        <v>2029</v>
      </c>
      <c r="AH131" s="889">
        <f t="shared" si="265"/>
        <v>2030</v>
      </c>
      <c r="AI131" s="889">
        <f t="shared" si="265"/>
        <v>2031</v>
      </c>
      <c r="AJ131" s="889">
        <f t="shared" si="265"/>
        <v>2032</v>
      </c>
      <c r="AK131" s="889">
        <f t="shared" si="265"/>
        <v>2033</v>
      </c>
      <c r="AL131" s="889">
        <f t="shared" si="265"/>
        <v>2034</v>
      </c>
      <c r="AM131" s="889">
        <f t="shared" si="265"/>
        <v>2035</v>
      </c>
      <c r="AN131" s="889">
        <f t="shared" si="265"/>
        <v>2036</v>
      </c>
      <c r="AO131" s="889">
        <f t="shared" si="265"/>
        <v>2037</v>
      </c>
      <c r="AP131" s="889">
        <f t="shared" si="265"/>
        <v>2038</v>
      </c>
      <c r="AQ131" s="889">
        <f t="shared" si="265"/>
        <v>2039</v>
      </c>
      <c r="AR131" s="889">
        <f t="shared" si="265"/>
        <v>2040</v>
      </c>
      <c r="AS131" s="889">
        <f t="shared" si="265"/>
        <v>2041</v>
      </c>
      <c r="AT131" s="889">
        <f t="shared" si="265"/>
        <v>2042</v>
      </c>
      <c r="AU131" s="889">
        <f t="shared" si="265"/>
        <v>2043</v>
      </c>
      <c r="AV131" s="889">
        <f t="shared" si="265"/>
        <v>2044</v>
      </c>
      <c r="AW131" s="889">
        <f t="shared" si="265"/>
        <v>2045</v>
      </c>
      <c r="AX131" s="889">
        <f t="shared" si="265"/>
        <v>2046</v>
      </c>
      <c r="AY131" s="889">
        <f t="shared" si="265"/>
        <v>2047</v>
      </c>
      <c r="AZ131" s="889">
        <f t="shared" si="265"/>
        <v>2048</v>
      </c>
      <c r="BA131" s="889">
        <f t="shared" si="265"/>
        <v>2049</v>
      </c>
      <c r="BB131" s="889">
        <f t="shared" si="265"/>
        <v>2050</v>
      </c>
      <c r="BC131" s="889">
        <f t="shared" si="265"/>
        <v>2051</v>
      </c>
      <c r="BD131" s="889">
        <f t="shared" si="265"/>
        <v>2052</v>
      </c>
      <c r="BE131" s="889">
        <f t="shared" si="265"/>
        <v>2053</v>
      </c>
      <c r="BF131" s="889">
        <f t="shared" si="265"/>
        <v>2054</v>
      </c>
      <c r="BG131" s="889">
        <f t="shared" si="265"/>
        <v>2055</v>
      </c>
      <c r="BH131" s="889">
        <f t="shared" si="265"/>
        <v>2056</v>
      </c>
      <c r="BI131" s="889">
        <f t="shared" si="265"/>
        <v>2057</v>
      </c>
      <c r="BJ131" s="889">
        <f t="shared" si="265"/>
        <v>2058</v>
      </c>
      <c r="BK131" s="889">
        <f t="shared" si="265"/>
        <v>2059</v>
      </c>
      <c r="BL131" s="889">
        <f t="shared" si="265"/>
        <v>2060</v>
      </c>
      <c r="BM131" s="889">
        <f t="shared" si="265"/>
        <v>2061</v>
      </c>
      <c r="BN131" s="889">
        <f t="shared" si="265"/>
        <v>2062</v>
      </c>
      <c r="BO131" s="889">
        <f t="shared" si="265"/>
        <v>2063</v>
      </c>
      <c r="BP131" s="889">
        <f t="shared" si="265"/>
        <v>2064</v>
      </c>
      <c r="BQ131" s="889">
        <f t="shared" si="265"/>
        <v>2065</v>
      </c>
      <c r="BR131" s="889">
        <f t="shared" si="265"/>
        <v>2066</v>
      </c>
      <c r="BS131" s="889">
        <f t="shared" si="265"/>
        <v>2067</v>
      </c>
      <c r="BT131" s="889">
        <f t="shared" si="265"/>
        <v>2068</v>
      </c>
      <c r="BU131" s="889">
        <f t="shared" si="265"/>
        <v>2069</v>
      </c>
      <c r="BV131" s="889">
        <f t="shared" ref="BV131:CZ131" si="266">+BU131+1</f>
        <v>2070</v>
      </c>
      <c r="BW131" s="889">
        <f t="shared" si="266"/>
        <v>2071</v>
      </c>
      <c r="BX131" s="889">
        <f t="shared" si="266"/>
        <v>2072</v>
      </c>
      <c r="BY131" s="889">
        <f t="shared" si="266"/>
        <v>2073</v>
      </c>
      <c r="BZ131" s="889">
        <f t="shared" si="266"/>
        <v>2074</v>
      </c>
      <c r="CA131" s="889">
        <f t="shared" si="266"/>
        <v>2075</v>
      </c>
      <c r="CB131" s="889">
        <f t="shared" si="266"/>
        <v>2076</v>
      </c>
      <c r="CC131" s="889">
        <f t="shared" si="266"/>
        <v>2077</v>
      </c>
      <c r="CD131" s="889">
        <f t="shared" si="266"/>
        <v>2078</v>
      </c>
      <c r="CE131" s="889">
        <f t="shared" si="266"/>
        <v>2079</v>
      </c>
      <c r="CF131" s="889">
        <f t="shared" si="266"/>
        <v>2080</v>
      </c>
      <c r="CG131" s="889">
        <f t="shared" si="266"/>
        <v>2081</v>
      </c>
      <c r="CH131" s="889">
        <f t="shared" si="266"/>
        <v>2082</v>
      </c>
      <c r="CI131" s="889">
        <f t="shared" si="266"/>
        <v>2083</v>
      </c>
      <c r="CJ131" s="889">
        <f t="shared" si="266"/>
        <v>2084</v>
      </c>
      <c r="CK131" s="889">
        <f t="shared" si="266"/>
        <v>2085</v>
      </c>
      <c r="CL131" s="889">
        <f t="shared" si="266"/>
        <v>2086</v>
      </c>
      <c r="CM131" s="889">
        <f t="shared" si="266"/>
        <v>2087</v>
      </c>
      <c r="CN131" s="889">
        <f t="shared" si="266"/>
        <v>2088</v>
      </c>
      <c r="CO131" s="889">
        <f t="shared" si="266"/>
        <v>2089</v>
      </c>
      <c r="CP131" s="889">
        <f t="shared" si="266"/>
        <v>2090</v>
      </c>
      <c r="CQ131" s="889">
        <f t="shared" si="266"/>
        <v>2091</v>
      </c>
      <c r="CR131" s="889">
        <f t="shared" si="266"/>
        <v>2092</v>
      </c>
      <c r="CS131" s="889">
        <f t="shared" si="266"/>
        <v>2093</v>
      </c>
      <c r="CT131" s="889">
        <f t="shared" si="266"/>
        <v>2094</v>
      </c>
      <c r="CU131" s="889">
        <f t="shared" si="266"/>
        <v>2095</v>
      </c>
      <c r="CV131" s="889">
        <f t="shared" si="266"/>
        <v>2096</v>
      </c>
      <c r="CW131" s="889">
        <f t="shared" si="266"/>
        <v>2097</v>
      </c>
      <c r="CX131" s="889">
        <f t="shared" si="266"/>
        <v>2098</v>
      </c>
      <c r="CY131" s="889">
        <f t="shared" si="266"/>
        <v>2099</v>
      </c>
      <c r="CZ131" s="1389">
        <f t="shared" si="266"/>
        <v>2100</v>
      </c>
    </row>
    <row r="132" spans="1:104" ht="13" thickBot="1" x14ac:dyDescent="0.3">
      <c r="A132" s="1390" t="s">
        <v>1090</v>
      </c>
      <c r="B132" s="871"/>
      <c r="C132" s="871"/>
      <c r="D132" s="1256"/>
      <c r="E132" s="871"/>
      <c r="F132" s="871"/>
      <c r="G132" s="871"/>
      <c r="H132" s="959"/>
      <c r="I132" s="959"/>
      <c r="J132" s="959"/>
      <c r="K132" s="959"/>
      <c r="L132" s="959"/>
      <c r="M132" s="959"/>
      <c r="N132" s="959"/>
      <c r="O132" s="959"/>
      <c r="P132" s="959"/>
      <c r="Q132" s="959"/>
      <c r="R132" s="959"/>
      <c r="S132" s="959"/>
      <c r="T132" s="959"/>
      <c r="U132" s="959"/>
      <c r="V132" s="959"/>
      <c r="W132" s="959"/>
      <c r="X132" s="959"/>
      <c r="Y132" s="959"/>
      <c r="Z132" s="959"/>
      <c r="AA132" s="959"/>
      <c r="AB132" s="959"/>
      <c r="AC132" s="959"/>
      <c r="AD132" s="959"/>
      <c r="AE132" s="959"/>
      <c r="AF132" s="959"/>
      <c r="AG132" s="959"/>
      <c r="AH132" s="959"/>
      <c r="AI132" s="959"/>
      <c r="AJ132" s="959"/>
      <c r="AK132" s="959"/>
      <c r="AL132" s="959"/>
      <c r="AM132" s="959"/>
      <c r="AN132" s="959"/>
      <c r="AO132" s="959"/>
      <c r="AP132" s="959"/>
      <c r="AQ132" s="959"/>
      <c r="AR132" s="959"/>
      <c r="AS132" s="959"/>
      <c r="AT132" s="959"/>
      <c r="AU132" s="959"/>
      <c r="AV132" s="959"/>
      <c r="AW132" s="959"/>
      <c r="AX132" s="959"/>
      <c r="AY132" s="959"/>
      <c r="AZ132" s="959"/>
      <c r="BA132" s="959"/>
      <c r="BB132" s="959"/>
      <c r="BC132" s="959"/>
      <c r="BD132" s="959"/>
      <c r="BE132" s="959"/>
      <c r="BF132" s="959"/>
      <c r="BG132" s="959"/>
      <c r="BH132" s="959"/>
      <c r="BI132" s="959"/>
      <c r="BJ132" s="959"/>
      <c r="BK132" s="959"/>
      <c r="BL132" s="959"/>
      <c r="BM132" s="959"/>
      <c r="BN132" s="959"/>
      <c r="BO132" s="959"/>
      <c r="BP132" s="959"/>
      <c r="BQ132" s="959"/>
      <c r="BR132" s="959"/>
      <c r="BS132" s="959"/>
      <c r="BT132" s="959"/>
      <c r="BU132" s="959"/>
      <c r="BV132" s="959"/>
      <c r="BW132" s="959"/>
      <c r="BX132" s="959"/>
      <c r="BY132" s="959"/>
      <c r="BZ132" s="959"/>
      <c r="CA132" s="959"/>
      <c r="CB132" s="959"/>
      <c r="CC132" s="959"/>
      <c r="CD132" s="959"/>
      <c r="CE132" s="959"/>
      <c r="CF132" s="959"/>
      <c r="CG132" s="959"/>
      <c r="CH132" s="959"/>
      <c r="CI132" s="959"/>
      <c r="CJ132" s="959"/>
      <c r="CK132" s="959"/>
      <c r="CL132" s="959"/>
      <c r="CM132" s="959"/>
      <c r="CN132" s="959"/>
      <c r="CO132" s="959"/>
      <c r="CP132" s="959"/>
      <c r="CQ132" s="959"/>
      <c r="CR132" s="959"/>
      <c r="CS132" s="959"/>
      <c r="CT132" s="959"/>
      <c r="CU132" s="959"/>
      <c r="CV132" s="959"/>
      <c r="CW132" s="959"/>
      <c r="CX132" s="959"/>
      <c r="CY132" s="959"/>
      <c r="CZ132" s="1391"/>
    </row>
    <row r="133" spans="1:104" ht="13" x14ac:dyDescent="0.3">
      <c r="A133" s="1476" t="s">
        <v>681</v>
      </c>
      <c r="B133" s="260">
        <v>2016</v>
      </c>
      <c r="C133" s="874">
        <f t="shared" ref="C133:C141" si="267">VLOOKUP(ref_year,DeflatorTable,2,FALSE)/VLOOKUP(B133,DeflatorTable,2,FALSE)</f>
        <v>1</v>
      </c>
      <c r="D133" s="1257" t="s">
        <v>864</v>
      </c>
      <c r="E133" s="874" t="s">
        <v>1058</v>
      </c>
      <c r="F133" s="260">
        <v>47.141269049911173</v>
      </c>
      <c r="G133" s="260">
        <v>52.224661236371581</v>
      </c>
      <c r="H133" s="1067">
        <f>+H153*$C133</f>
        <v>13.604875014867702</v>
      </c>
      <c r="I133" s="1067">
        <f t="shared" ref="I133:BT141" si="268">+I153*$C133</f>
        <v>15.571757228276402</v>
      </c>
      <c r="J133" s="1067">
        <f t="shared" si="268"/>
        <v>16.331995797204218</v>
      </c>
      <c r="K133" s="1067">
        <f t="shared" si="268"/>
        <v>15.155672177020728</v>
      </c>
      <c r="L133" s="1067">
        <f t="shared" si="268"/>
        <v>15.783516201764996</v>
      </c>
      <c r="M133" s="1067">
        <f t="shared" si="268"/>
        <v>13.69149010361817</v>
      </c>
      <c r="N133" s="1067">
        <f t="shared" si="268"/>
        <v>12.691188457250465</v>
      </c>
      <c r="O133" s="959">
        <f t="shared" si="268"/>
        <v>12.04142243701838</v>
      </c>
      <c r="P133" s="959">
        <f t="shared" si="268"/>
        <v>11.415954621928984</v>
      </c>
      <c r="Q133" s="959">
        <f t="shared" si="268"/>
        <v>10.886628367710442</v>
      </c>
      <c r="R133" s="959">
        <f t="shared" si="268"/>
        <v>11.368469484946878</v>
      </c>
      <c r="S133" s="959">
        <f t="shared" si="268"/>
        <v>9.7183315387998359</v>
      </c>
      <c r="T133" s="959">
        <f t="shared" si="268"/>
        <v>9.390001099467705</v>
      </c>
      <c r="U133" s="959">
        <f t="shared" si="268"/>
        <v>10.023002570479671</v>
      </c>
      <c r="V133" s="959">
        <f t="shared" si="268"/>
        <v>10.033707215541167</v>
      </c>
      <c r="W133" s="959">
        <f t="shared" si="268"/>
        <v>10.158951752324048</v>
      </c>
      <c r="X133" s="959">
        <f t="shared" si="268"/>
        <v>10.289627280447673</v>
      </c>
      <c r="Y133" s="959">
        <f t="shared" si="268"/>
        <v>10.38663350570965</v>
      </c>
      <c r="Z133" s="959">
        <f t="shared" si="268"/>
        <v>10.458822090960101</v>
      </c>
      <c r="AA133" s="959">
        <f t="shared" si="268"/>
        <v>10.541361785535555</v>
      </c>
      <c r="AB133" s="959">
        <f t="shared" si="268"/>
        <v>10.671303703310535</v>
      </c>
      <c r="AC133" s="959">
        <f t="shared" si="268"/>
        <v>10.821196220864106</v>
      </c>
      <c r="AD133" s="959">
        <f t="shared" si="268"/>
        <v>10.961130973142659</v>
      </c>
      <c r="AE133" s="959">
        <f t="shared" si="268"/>
        <v>11.387951919139837</v>
      </c>
      <c r="AF133" s="959">
        <f t="shared" si="268"/>
        <v>11.524366479125279</v>
      </c>
      <c r="AG133" s="959">
        <f t="shared" si="268"/>
        <v>11.653679994237272</v>
      </c>
      <c r="AH133" s="959">
        <f t="shared" si="268"/>
        <v>11.727599293307653</v>
      </c>
      <c r="AI133" s="959">
        <f t="shared" si="268"/>
        <v>11.827238554162054</v>
      </c>
      <c r="AJ133" s="959">
        <f t="shared" si="268"/>
        <v>11.877874728924342</v>
      </c>
      <c r="AK133" s="959">
        <f t="shared" si="268"/>
        <v>11.891573527850655</v>
      </c>
      <c r="AL133" s="959">
        <f t="shared" si="268"/>
        <v>11.9827791131466</v>
      </c>
      <c r="AM133" s="959">
        <f t="shared" si="268"/>
        <v>12.163475682807357</v>
      </c>
      <c r="AN133" s="959">
        <f t="shared" si="268"/>
        <v>12.259449735369497</v>
      </c>
      <c r="AO133" s="959">
        <f t="shared" si="268"/>
        <v>12.356256919064013</v>
      </c>
      <c r="AP133" s="959">
        <f t="shared" si="268"/>
        <v>12.41256198723101</v>
      </c>
      <c r="AQ133" s="959">
        <f t="shared" si="268"/>
        <v>12.490714236969412</v>
      </c>
      <c r="AR133" s="959">
        <f t="shared" si="268"/>
        <v>12.496378391289182</v>
      </c>
      <c r="AS133" s="959">
        <f t="shared" si="268"/>
        <v>12.55376491863939</v>
      </c>
      <c r="AT133" s="959">
        <f t="shared" si="268"/>
        <v>12.651412816002184</v>
      </c>
      <c r="AU133" s="959">
        <f t="shared" si="268"/>
        <v>12.770777096192051</v>
      </c>
      <c r="AV133" s="959">
        <f t="shared" si="268"/>
        <v>12.886454368298935</v>
      </c>
      <c r="AW133" s="959">
        <f t="shared" si="268"/>
        <v>13.010888521557151</v>
      </c>
      <c r="AX133" s="959">
        <f t="shared" si="268"/>
        <v>13.118997475015544</v>
      </c>
      <c r="AY133" s="959">
        <f t="shared" si="268"/>
        <v>13.217679440712152</v>
      </c>
      <c r="AZ133" s="959">
        <f t="shared" si="268"/>
        <v>13.363983523149482</v>
      </c>
      <c r="BA133" s="959">
        <f t="shared" si="268"/>
        <v>13.453606254075613</v>
      </c>
      <c r="BB133" s="959">
        <f t="shared" si="268"/>
        <v>13.593337225701765</v>
      </c>
      <c r="BC133" s="959">
        <f t="shared" si="268"/>
        <v>13.668907227280409</v>
      </c>
      <c r="BD133" s="959">
        <f t="shared" si="268"/>
        <v>13.744897348292845</v>
      </c>
      <c r="BE133" s="959">
        <f t="shared" si="268"/>
        <v>13.821309924326409</v>
      </c>
      <c r="BF133" s="959">
        <f t="shared" si="268"/>
        <v>13.898147303952761</v>
      </c>
      <c r="BG133" s="959">
        <f t="shared" si="268"/>
        <v>13.975411848800078</v>
      </c>
      <c r="BH133" s="959">
        <f t="shared" si="268"/>
        <v>14.050424531225174</v>
      </c>
      <c r="BI133" s="959">
        <f t="shared" si="268"/>
        <v>14.12583984239463</v>
      </c>
      <c r="BJ133" s="959">
        <f t="shared" si="268"/>
        <v>14.201659943408417</v>
      </c>
      <c r="BK133" s="959">
        <f t="shared" si="268"/>
        <v>14.277887006966159</v>
      </c>
      <c r="BL133" s="959">
        <f t="shared" si="268"/>
        <v>14.354523217429389</v>
      </c>
      <c r="BM133" s="959">
        <f t="shared" si="268"/>
        <v>14.422221698840277</v>
      </c>
      <c r="BN133" s="959">
        <f t="shared" si="268"/>
        <v>14.490239458315362</v>
      </c>
      <c r="BO133" s="959">
        <f t="shared" si="268"/>
        <v>14.558578001626712</v>
      </c>
      <c r="BP133" s="959">
        <f t="shared" si="268"/>
        <v>14.627238841647882</v>
      </c>
      <c r="BQ133" s="959">
        <f t="shared" si="268"/>
        <v>14.696223498387408</v>
      </c>
      <c r="BR133" s="959">
        <f t="shared" si="268"/>
        <v>14.75529333521281</v>
      </c>
      <c r="BS133" s="959">
        <f t="shared" si="268"/>
        <v>14.814600596681556</v>
      </c>
      <c r="BT133" s="959">
        <f t="shared" si="268"/>
        <v>14.874146237095607</v>
      </c>
      <c r="BU133" s="959">
        <f t="shared" ref="BU133:CZ140" si="269">+BU153*$C133</f>
        <v>14.933931214592636</v>
      </c>
      <c r="BV133" s="959">
        <f t="shared" si="269"/>
        <v>14.993956491161448</v>
      </c>
      <c r="BW133" s="959">
        <f t="shared" si="269"/>
        <v>15.043740835540882</v>
      </c>
      <c r="BX133" s="959">
        <f t="shared" si="269"/>
        <v>15.093690478582264</v>
      </c>
      <c r="BY133" s="959">
        <f t="shared" si="269"/>
        <v>15.143805969125756</v>
      </c>
      <c r="BZ133" s="959">
        <f t="shared" si="269"/>
        <v>15.19408785783383</v>
      </c>
      <c r="CA133" s="959">
        <f t="shared" si="269"/>
        <v>15.244536697197322</v>
      </c>
      <c r="CB133" s="959">
        <f t="shared" si="269"/>
        <v>15.277067444573643</v>
      </c>
      <c r="CC133" s="959">
        <f t="shared" si="269"/>
        <v>15.309667610230484</v>
      </c>
      <c r="CD133" s="959">
        <f t="shared" si="269"/>
        <v>15.342337342301477</v>
      </c>
      <c r="CE133" s="959">
        <f t="shared" si="269"/>
        <v>15.375076789236356</v>
      </c>
      <c r="CF133" s="959">
        <f t="shared" si="269"/>
        <v>15.407886099801638</v>
      </c>
      <c r="CG133" s="959">
        <f t="shared" si="269"/>
        <v>15.41853907481957</v>
      </c>
      <c r="CH133" s="959">
        <f t="shared" si="269"/>
        <v>15.42919941527855</v>
      </c>
      <c r="CI133" s="959">
        <f t="shared" si="269"/>
        <v>15.439867126271025</v>
      </c>
      <c r="CJ133" s="959">
        <f t="shared" si="269"/>
        <v>15.450542212892964</v>
      </c>
      <c r="CK133" s="959">
        <f t="shared" si="269"/>
        <v>15.461224680243861</v>
      </c>
      <c r="CL133" s="959">
        <f t="shared" si="269"/>
        <v>15.464845562477739</v>
      </c>
      <c r="CM133" s="959">
        <f t="shared" si="269"/>
        <v>15.468467292690251</v>
      </c>
      <c r="CN133" s="959">
        <f t="shared" si="269"/>
        <v>15.472089871079984</v>
      </c>
      <c r="CO133" s="959">
        <f t="shared" si="269"/>
        <v>15.475713297845573</v>
      </c>
      <c r="CP133" s="959">
        <f t="shared" si="269"/>
        <v>15.479337573185701</v>
      </c>
      <c r="CQ133" s="959">
        <f t="shared" si="269"/>
        <v>15.484830510437597</v>
      </c>
      <c r="CR133" s="959">
        <f t="shared" si="269"/>
        <v>15.490325396891745</v>
      </c>
      <c r="CS133" s="959">
        <f t="shared" si="269"/>
        <v>15.49582223323983</v>
      </c>
      <c r="CT133" s="959">
        <f t="shared" si="269"/>
        <v>15.501321020173785</v>
      </c>
      <c r="CU133" s="959">
        <f t="shared" si="269"/>
        <v>15.506821758385787</v>
      </c>
      <c r="CV133" s="959">
        <f t="shared" si="269"/>
        <v>15.515287417782641</v>
      </c>
      <c r="CW133" s="959">
        <f t="shared" si="269"/>
        <v>15.523757698847955</v>
      </c>
      <c r="CX133" s="959">
        <f t="shared" si="269"/>
        <v>15.532232604104841</v>
      </c>
      <c r="CY133" s="959">
        <f t="shared" si="269"/>
        <v>15.540712136077792</v>
      </c>
      <c r="CZ133" s="1391">
        <f t="shared" si="269"/>
        <v>15.549196297292674</v>
      </c>
    </row>
    <row r="134" spans="1:104" ht="13" x14ac:dyDescent="0.3">
      <c r="A134" s="1476" t="s">
        <v>1085</v>
      </c>
      <c r="B134" s="260">
        <v>2016</v>
      </c>
      <c r="C134" s="874">
        <f t="shared" si="267"/>
        <v>1</v>
      </c>
      <c r="D134" s="1257" t="s">
        <v>864</v>
      </c>
      <c r="E134" s="874" t="s">
        <v>1058</v>
      </c>
      <c r="F134" s="260">
        <v>47.141269049911173</v>
      </c>
      <c r="G134" s="260">
        <v>52.224661236371581</v>
      </c>
      <c r="H134" s="1068">
        <f t="shared" ref="H134:BS137" si="270">+H154*$C134</f>
        <v>11.934322920018829</v>
      </c>
      <c r="I134" s="1068">
        <f t="shared" si="270"/>
        <v>13.90423046997279</v>
      </c>
      <c r="J134" s="1068">
        <f t="shared" si="270"/>
        <v>14.274140536522257</v>
      </c>
      <c r="K134" s="1068">
        <f t="shared" si="270"/>
        <v>13.139550648884942</v>
      </c>
      <c r="L134" s="1068">
        <f t="shared" si="270"/>
        <v>13.897221248926272</v>
      </c>
      <c r="M134" s="1068">
        <f t="shared" si="270"/>
        <v>11.345666428533674</v>
      </c>
      <c r="N134" s="1068">
        <f t="shared" si="270"/>
        <v>10.551848524158197</v>
      </c>
      <c r="O134" s="260">
        <f t="shared" si="270"/>
        <v>9.7270239269114924</v>
      </c>
      <c r="P134" s="260">
        <f t="shared" si="270"/>
        <v>8.6825570363966911</v>
      </c>
      <c r="Q134" s="260">
        <f t="shared" si="270"/>
        <v>8.5236392646415098</v>
      </c>
      <c r="R134" s="260">
        <f t="shared" si="270"/>
        <v>9.2232797097563566</v>
      </c>
      <c r="S134" s="260">
        <f t="shared" si="270"/>
        <v>7.6085885488542795</v>
      </c>
      <c r="T134" s="260">
        <f t="shared" si="270"/>
        <v>6.813801352724405</v>
      </c>
      <c r="U134" s="260">
        <f t="shared" si="270"/>
        <v>7.4731047451509687</v>
      </c>
      <c r="V134" s="260">
        <f t="shared" si="270"/>
        <v>7.9843107853990691</v>
      </c>
      <c r="W134" s="260">
        <f t="shared" si="270"/>
        <v>8.5650780622071245</v>
      </c>
      <c r="X134" s="260">
        <f t="shared" si="270"/>
        <v>9.1477570858798014</v>
      </c>
      <c r="Y134" s="260">
        <f t="shared" si="270"/>
        <v>9.2514909161219876</v>
      </c>
      <c r="Z134" s="260">
        <f t="shared" si="270"/>
        <v>9.3094669856386769</v>
      </c>
      <c r="AA134" s="260">
        <f t="shared" si="270"/>
        <v>9.3761326413005577</v>
      </c>
      <c r="AB134" s="260">
        <f t="shared" si="270"/>
        <v>9.4891655040111615</v>
      </c>
      <c r="AC134" s="260">
        <f t="shared" si="270"/>
        <v>9.6143446414218783</v>
      </c>
      <c r="AD134" s="260">
        <f t="shared" si="270"/>
        <v>9.7258827967425425</v>
      </c>
      <c r="AE134" s="260">
        <f t="shared" si="270"/>
        <v>10.087086372666475</v>
      </c>
      <c r="AF134" s="260">
        <f t="shared" si="270"/>
        <v>10.198695614261233</v>
      </c>
      <c r="AG134" s="260">
        <f t="shared" si="270"/>
        <v>10.304737378868989</v>
      </c>
      <c r="AH134" s="260">
        <f t="shared" si="270"/>
        <v>10.357640731866367</v>
      </c>
      <c r="AI134" s="260">
        <f t="shared" si="270"/>
        <v>10.427655972763532</v>
      </c>
      <c r="AJ134" s="260">
        <f t="shared" si="270"/>
        <v>10.453569289213085</v>
      </c>
      <c r="AK134" s="260">
        <f t="shared" si="270"/>
        <v>10.441948105124277</v>
      </c>
      <c r="AL134" s="260">
        <f t="shared" si="270"/>
        <v>10.506270757192036</v>
      </c>
      <c r="AM134" s="260">
        <f t="shared" si="270"/>
        <v>10.658282593530579</v>
      </c>
      <c r="AN134" s="260">
        <f t="shared" si="270"/>
        <v>10.722901912315555</v>
      </c>
      <c r="AO134" s="260">
        <f t="shared" si="270"/>
        <v>10.786351624937444</v>
      </c>
      <c r="AP134" s="260">
        <f t="shared" si="270"/>
        <v>10.817805879498341</v>
      </c>
      <c r="AQ134" s="260">
        <f t="shared" si="270"/>
        <v>10.86596540847121</v>
      </c>
      <c r="AR134" s="260">
        <f t="shared" si="270"/>
        <v>10.838793391061706</v>
      </c>
      <c r="AS134" s="260">
        <f t="shared" si="270"/>
        <v>10.868085675073171</v>
      </c>
      <c r="AT134" s="260">
        <f t="shared" si="270"/>
        <v>10.937640276914211</v>
      </c>
      <c r="AU134" s="260">
        <f t="shared" si="270"/>
        <v>11.027299024885883</v>
      </c>
      <c r="AV134" s="260">
        <f t="shared" si="270"/>
        <v>11.114692490256441</v>
      </c>
      <c r="AW134" s="260">
        <f t="shared" si="270"/>
        <v>11.212257927541287</v>
      </c>
      <c r="AX134" s="260">
        <f t="shared" si="270"/>
        <v>11.293368314098968</v>
      </c>
      <c r="AY134" s="260">
        <f t="shared" si="270"/>
        <v>11.35816487466068</v>
      </c>
      <c r="AZ134" s="260">
        <f t="shared" si="270"/>
        <v>11.46581792814789</v>
      </c>
      <c r="BA134" s="260">
        <f t="shared" si="270"/>
        <v>11.521194135666732</v>
      </c>
      <c r="BB134" s="260">
        <f t="shared" si="270"/>
        <v>11.628119265707223</v>
      </c>
      <c r="BC134" s="260">
        <f t="shared" si="270"/>
        <v>11.692763949840026</v>
      </c>
      <c r="BD134" s="260">
        <f t="shared" si="270"/>
        <v>11.757768015837698</v>
      </c>
      <c r="BE134" s="260">
        <f t="shared" si="270"/>
        <v>11.823133461626696</v>
      </c>
      <c r="BF134" s="260">
        <f t="shared" si="270"/>
        <v>11.888862296240635</v>
      </c>
      <c r="BG134" s="260">
        <f t="shared" si="270"/>
        <v>11.954956539882032</v>
      </c>
      <c r="BH134" s="260">
        <f t="shared" si="270"/>
        <v>12.019124477688386</v>
      </c>
      <c r="BI134" s="260">
        <f t="shared" si="270"/>
        <v>12.083636835336717</v>
      </c>
      <c r="BJ134" s="260">
        <f t="shared" si="270"/>
        <v>12.148495461492134</v>
      </c>
      <c r="BK134" s="260">
        <f t="shared" si="270"/>
        <v>12.213702214742405</v>
      </c>
      <c r="BL134" s="260">
        <f t="shared" si="270"/>
        <v>12.279258963651227</v>
      </c>
      <c r="BM134" s="260">
        <f t="shared" si="270"/>
        <v>12.337170130194249</v>
      </c>
      <c r="BN134" s="260">
        <f t="shared" si="270"/>
        <v>12.395354416085945</v>
      </c>
      <c r="BO134" s="260">
        <f t="shared" si="270"/>
        <v>12.453813109405683</v>
      </c>
      <c r="BP134" s="260">
        <f t="shared" si="270"/>
        <v>12.512547504307637</v>
      </c>
      <c r="BQ134" s="260">
        <f t="shared" si="270"/>
        <v>12.571558901049444</v>
      </c>
      <c r="BR134" s="260">
        <f t="shared" si="270"/>
        <v>12.622088884688262</v>
      </c>
      <c r="BS134" s="260">
        <f t="shared" si="270"/>
        <v>12.672821967979766</v>
      </c>
      <c r="BT134" s="260">
        <f t="shared" si="268"/>
        <v>12.723758967260437</v>
      </c>
      <c r="BU134" s="260">
        <f t="shared" si="269"/>
        <v>12.774900702147928</v>
      </c>
      <c r="BV134" s="260">
        <f t="shared" si="269"/>
        <v>12.826247995554251</v>
      </c>
      <c r="BW134" s="260">
        <f t="shared" si="269"/>
        <v>12.868834910334423</v>
      </c>
      <c r="BX134" s="260">
        <f t="shared" si="269"/>
        <v>12.911563226193937</v>
      </c>
      <c r="BY134" s="260">
        <f t="shared" si="269"/>
        <v>12.954433412625956</v>
      </c>
      <c r="BZ134" s="260">
        <f t="shared" si="269"/>
        <v>12.997445940682496</v>
      </c>
      <c r="CA134" s="260">
        <f t="shared" si="269"/>
        <v>13.040601282979605</v>
      </c>
      <c r="CB134" s="260">
        <f t="shared" si="269"/>
        <v>13.06842899033459</v>
      </c>
      <c r="CC134" s="260">
        <f t="shared" si="269"/>
        <v>13.096316080020177</v>
      </c>
      <c r="CD134" s="260">
        <f t="shared" si="269"/>
        <v>13.124262678753999</v>
      </c>
      <c r="CE134" s="260">
        <f t="shared" si="269"/>
        <v>13.152268913524093</v>
      </c>
      <c r="CF134" s="260">
        <f t="shared" si="269"/>
        <v>13.180334911589481</v>
      </c>
      <c r="CG134" s="260">
        <f t="shared" si="269"/>
        <v>13.189447763127433</v>
      </c>
      <c r="CH134" s="260">
        <f t="shared" si="269"/>
        <v>13.198566915268799</v>
      </c>
      <c r="CI134" s="260">
        <f t="shared" si="269"/>
        <v>13.207692372369801</v>
      </c>
      <c r="CJ134" s="260">
        <f t="shared" si="269"/>
        <v>13.216824138789674</v>
      </c>
      <c r="CK134" s="260">
        <f t="shared" si="269"/>
        <v>13.225962218890665</v>
      </c>
      <c r="CL134" s="260">
        <f t="shared" si="269"/>
        <v>13.22905962240266</v>
      </c>
      <c r="CM134" s="260">
        <f t="shared" si="269"/>
        <v>13.232157751299196</v>
      </c>
      <c r="CN134" s="260">
        <f t="shared" si="269"/>
        <v>13.23525660575015</v>
      </c>
      <c r="CO134" s="260">
        <f t="shared" si="269"/>
        <v>13.23835618592544</v>
      </c>
      <c r="CP134" s="260">
        <f t="shared" si="269"/>
        <v>13.241456491995026</v>
      </c>
      <c r="CQ134" s="260">
        <f t="shared" si="269"/>
        <v>13.246155303510076</v>
      </c>
      <c r="CR134" s="260">
        <f t="shared" si="269"/>
        <v>13.250855782427021</v>
      </c>
      <c r="CS134" s="260">
        <f t="shared" si="269"/>
        <v>13.255557929337549</v>
      </c>
      <c r="CT134" s="260">
        <f t="shared" si="269"/>
        <v>13.260261744833558</v>
      </c>
      <c r="CU134" s="260">
        <f t="shared" si="269"/>
        <v>13.264967229507157</v>
      </c>
      <c r="CV134" s="260">
        <f t="shared" si="269"/>
        <v>13.272208990341527</v>
      </c>
      <c r="CW134" s="260">
        <f t="shared" si="269"/>
        <v>13.279454704679821</v>
      </c>
      <c r="CX134" s="260">
        <f t="shared" si="269"/>
        <v>13.286704374680379</v>
      </c>
      <c r="CY134" s="260">
        <f t="shared" si="269"/>
        <v>13.293958002502723</v>
      </c>
      <c r="CZ134" s="449">
        <f t="shared" si="269"/>
        <v>13.30121559030755</v>
      </c>
    </row>
    <row r="135" spans="1:104" ht="13" x14ac:dyDescent="0.3">
      <c r="A135" s="1476" t="s">
        <v>283</v>
      </c>
      <c r="B135" s="260">
        <v>2016</v>
      </c>
      <c r="C135" s="874">
        <f t="shared" si="267"/>
        <v>1</v>
      </c>
      <c r="D135" s="1257" t="s">
        <v>864</v>
      </c>
      <c r="E135" s="874" t="s">
        <v>1058</v>
      </c>
      <c r="F135" s="260">
        <v>47.141269049911173</v>
      </c>
      <c r="G135" s="260">
        <v>52.224661236371581</v>
      </c>
      <c r="H135" s="1068">
        <f t="shared" si="270"/>
        <v>8.2641705904266125</v>
      </c>
      <c r="I135" s="1068">
        <f t="shared" si="270"/>
        <v>10.495609596381577</v>
      </c>
      <c r="J135" s="1068">
        <f t="shared" si="270"/>
        <v>9.3614571685358463</v>
      </c>
      <c r="K135" s="1068">
        <f t="shared" si="270"/>
        <v>8.8987432965993278</v>
      </c>
      <c r="L135" s="1068">
        <f t="shared" si="270"/>
        <v>10.965509816201024</v>
      </c>
      <c r="M135" s="1068">
        <f t="shared" si="270"/>
        <v>6.0111731674040234</v>
      </c>
      <c r="N135" s="1068">
        <f t="shared" si="270"/>
        <v>6.1171751211856922</v>
      </c>
      <c r="O135" s="260">
        <f t="shared" si="270"/>
        <v>5.6004077154944953</v>
      </c>
      <c r="P135" s="260">
        <f t="shared" si="270"/>
        <v>4.1590520124961925</v>
      </c>
      <c r="Q135" s="260">
        <f t="shared" si="270"/>
        <v>4.894763142071362</v>
      </c>
      <c r="R135" s="260">
        <f t="shared" si="270"/>
        <v>5.8241384234641265</v>
      </c>
      <c r="S135" s="260">
        <f t="shared" si="270"/>
        <v>3.5390282601113117</v>
      </c>
      <c r="T135" s="260">
        <f t="shared" si="270"/>
        <v>3.3168400539876552</v>
      </c>
      <c r="U135" s="260">
        <f t="shared" si="270"/>
        <v>3.8686572087168831</v>
      </c>
      <c r="V135" s="260">
        <f t="shared" si="270"/>
        <v>4.230424735748624</v>
      </c>
      <c r="W135" s="260">
        <f t="shared" si="270"/>
        <v>4.6374903322667231</v>
      </c>
      <c r="X135" s="260">
        <f t="shared" si="270"/>
        <v>5.0398775041324821</v>
      </c>
      <c r="Y135" s="260">
        <f t="shared" si="270"/>
        <v>5.0452222441273262</v>
      </c>
      <c r="Z135" s="260">
        <f t="shared" si="270"/>
        <v>4.9894479534735598</v>
      </c>
      <c r="AA135" s="260">
        <f t="shared" si="270"/>
        <v>5.0008757828968315</v>
      </c>
      <c r="AB135" s="260">
        <f t="shared" si="270"/>
        <v>5.0866427943161305</v>
      </c>
      <c r="AC135" s="260">
        <f t="shared" si="270"/>
        <v>5.1985543895300337</v>
      </c>
      <c r="AD135" s="260">
        <f t="shared" si="270"/>
        <v>5.3142743134013735</v>
      </c>
      <c r="AE135" s="260">
        <f t="shared" si="270"/>
        <v>5.4069765017212355</v>
      </c>
      <c r="AF135" s="260">
        <f t="shared" si="270"/>
        <v>5.498883471588238</v>
      </c>
      <c r="AG135" s="260">
        <f t="shared" si="270"/>
        <v>5.5761078084954727</v>
      </c>
      <c r="AH135" s="260">
        <f t="shared" si="270"/>
        <v>5.5953977798334869</v>
      </c>
      <c r="AI135" s="260">
        <f t="shared" si="270"/>
        <v>5.6194116710392619</v>
      </c>
      <c r="AJ135" s="260">
        <f t="shared" si="270"/>
        <v>5.6053299540498323</v>
      </c>
      <c r="AK135" s="260">
        <f t="shared" si="270"/>
        <v>5.5496627667157004</v>
      </c>
      <c r="AL135" s="260">
        <f t="shared" si="270"/>
        <v>5.5482476759527453</v>
      </c>
      <c r="AM135" s="260">
        <f t="shared" si="270"/>
        <v>5.6344516310034729</v>
      </c>
      <c r="AN135" s="260">
        <f t="shared" si="270"/>
        <v>5.6381945602887429</v>
      </c>
      <c r="AO135" s="260">
        <f t="shared" si="270"/>
        <v>5.6485162872871211</v>
      </c>
      <c r="AP135" s="260">
        <f t="shared" si="270"/>
        <v>5.6430123140383071</v>
      </c>
      <c r="AQ135" s="260">
        <f t="shared" si="270"/>
        <v>5.6644386648670784</v>
      </c>
      <c r="AR135" s="260">
        <f t="shared" si="270"/>
        <v>5.6215300420072483</v>
      </c>
      <c r="AS135" s="260">
        <f t="shared" si="270"/>
        <v>5.6260767200982693</v>
      </c>
      <c r="AT135" s="260">
        <f t="shared" si="270"/>
        <v>5.6802473044084865</v>
      </c>
      <c r="AU135" s="260">
        <f t="shared" si="270"/>
        <v>5.7631623345111542</v>
      </c>
      <c r="AV135" s="260">
        <f t="shared" si="270"/>
        <v>5.819991545472468</v>
      </c>
      <c r="AW135" s="260">
        <f t="shared" si="270"/>
        <v>5.8947240715184783</v>
      </c>
      <c r="AX135" s="260">
        <f t="shared" si="270"/>
        <v>5.9518546882819487</v>
      </c>
      <c r="AY135" s="260">
        <f t="shared" si="270"/>
        <v>6.0145186606208574</v>
      </c>
      <c r="AZ135" s="260">
        <f t="shared" si="270"/>
        <v>6.1247620979360331</v>
      </c>
      <c r="BA135" s="260">
        <f t="shared" si="270"/>
        <v>6.1606322318436177</v>
      </c>
      <c r="BB135" s="260">
        <f t="shared" si="270"/>
        <v>6.238633778680942</v>
      </c>
      <c r="BC135" s="260">
        <f t="shared" si="270"/>
        <v>6.2733164733478626</v>
      </c>
      <c r="BD135" s="260">
        <f t="shared" si="270"/>
        <v>6.3081919809530058</v>
      </c>
      <c r="BE135" s="260">
        <f t="shared" si="270"/>
        <v>6.3432613734093088</v>
      </c>
      <c r="BF135" s="260">
        <f t="shared" si="270"/>
        <v>6.3785257285888406</v>
      </c>
      <c r="BG135" s="260">
        <f t="shared" si="270"/>
        <v>6.4139861303559274</v>
      </c>
      <c r="BH135" s="260">
        <f t="shared" si="270"/>
        <v>6.4484130445592944</v>
      </c>
      <c r="BI135" s="260">
        <f t="shared" si="270"/>
        <v>6.4830247443854354</v>
      </c>
      <c r="BJ135" s="260">
        <f t="shared" si="270"/>
        <v>6.5178222216666768</v>
      </c>
      <c r="BK135" s="260">
        <f t="shared" si="270"/>
        <v>6.5528064735589808</v>
      </c>
      <c r="BL135" s="260">
        <f t="shared" si="270"/>
        <v>6.5879785025705191</v>
      </c>
      <c r="BM135" s="260">
        <f t="shared" si="270"/>
        <v>6.6190485794679574</v>
      </c>
      <c r="BN135" s="260">
        <f t="shared" si="270"/>
        <v>6.6502651883672899</v>
      </c>
      <c r="BO135" s="260">
        <f t="shared" si="270"/>
        <v>6.6816290203394662</v>
      </c>
      <c r="BP135" s="260">
        <f t="shared" si="270"/>
        <v>6.7131407697146503</v>
      </c>
      <c r="BQ135" s="260">
        <f t="shared" si="270"/>
        <v>6.7448011340975915</v>
      </c>
      <c r="BR135" s="260">
        <f t="shared" si="270"/>
        <v>6.7719111125525773</v>
      </c>
      <c r="BS135" s="260">
        <f t="shared" si="270"/>
        <v>6.7991300565526132</v>
      </c>
      <c r="BT135" s="260">
        <f t="shared" si="268"/>
        <v>6.8264584040725946</v>
      </c>
      <c r="BU135" s="260">
        <f t="shared" si="269"/>
        <v>6.8538965948478108</v>
      </c>
      <c r="BV135" s="260">
        <f t="shared" si="269"/>
        <v>6.8814450703810159</v>
      </c>
      <c r="BW135" s="260">
        <f t="shared" si="269"/>
        <v>6.904293491437457</v>
      </c>
      <c r="BX135" s="260">
        <f t="shared" si="269"/>
        <v>6.9272177759701634</v>
      </c>
      <c r="BY135" s="260">
        <f t="shared" si="269"/>
        <v>6.9502181758681845</v>
      </c>
      <c r="BZ135" s="260">
        <f t="shared" si="269"/>
        <v>6.9732949438569127</v>
      </c>
      <c r="CA135" s="260">
        <f t="shared" si="269"/>
        <v>6.996448333500866</v>
      </c>
      <c r="CB135" s="260">
        <f t="shared" si="269"/>
        <v>7.0113782521851409</v>
      </c>
      <c r="CC135" s="260">
        <f t="shared" si="269"/>
        <v>7.0263400302445289</v>
      </c>
      <c r="CD135" s="260">
        <f t="shared" si="269"/>
        <v>7.0413337356646508</v>
      </c>
      <c r="CE135" s="260">
        <f t="shared" si="269"/>
        <v>7.0563594365762032</v>
      </c>
      <c r="CF135" s="260">
        <f t="shared" si="269"/>
        <v>7.0714172012552687</v>
      </c>
      <c r="CG135" s="260">
        <f t="shared" si="269"/>
        <v>7.0763063619291211</v>
      </c>
      <c r="CH135" s="260">
        <f t="shared" si="269"/>
        <v>7.0811989029567863</v>
      </c>
      <c r="CI135" s="260">
        <f t="shared" si="269"/>
        <v>7.0860948266754322</v>
      </c>
      <c r="CJ135" s="260">
        <f t="shared" si="269"/>
        <v>7.090994135423843</v>
      </c>
      <c r="CK135" s="260">
        <f t="shared" si="269"/>
        <v>7.0958968315424205</v>
      </c>
      <c r="CL135" s="260">
        <f t="shared" si="269"/>
        <v>7.0975586278944007</v>
      </c>
      <c r="CM135" s="260">
        <f t="shared" si="269"/>
        <v>7.0992208134244059</v>
      </c>
      <c r="CN135" s="260">
        <f t="shared" si="269"/>
        <v>7.1008833882235782</v>
      </c>
      <c r="CO135" s="260">
        <f t="shared" si="269"/>
        <v>7.1025463523830812</v>
      </c>
      <c r="CP135" s="260">
        <f t="shared" si="269"/>
        <v>7.1042097059940996</v>
      </c>
      <c r="CQ135" s="260">
        <f t="shared" si="269"/>
        <v>7.1067306780935082</v>
      </c>
      <c r="CR135" s="260">
        <f t="shared" si="269"/>
        <v>7.1092525447752264</v>
      </c>
      <c r="CS135" s="260">
        <f t="shared" si="269"/>
        <v>7.1117753063567024</v>
      </c>
      <c r="CT135" s="260">
        <f t="shared" si="269"/>
        <v>7.1142989631554965</v>
      </c>
      <c r="CU135" s="260">
        <f t="shared" si="269"/>
        <v>7.1168235154892816</v>
      </c>
      <c r="CV135" s="260">
        <f t="shared" si="269"/>
        <v>7.1207088122192239</v>
      </c>
      <c r="CW135" s="260">
        <f t="shared" si="269"/>
        <v>7.1245962300542702</v>
      </c>
      <c r="CX135" s="260">
        <f t="shared" si="269"/>
        <v>7.1284857701523974</v>
      </c>
      <c r="CY135" s="260">
        <f t="shared" si="269"/>
        <v>7.1323774336722154</v>
      </c>
      <c r="CZ135" s="449">
        <f t="shared" si="269"/>
        <v>7.1362712217729669</v>
      </c>
    </row>
    <row r="136" spans="1:104" ht="13" x14ac:dyDescent="0.3">
      <c r="A136" s="1476" t="s">
        <v>1086</v>
      </c>
      <c r="B136" s="260">
        <v>2016</v>
      </c>
      <c r="C136" s="874">
        <f t="shared" si="267"/>
        <v>1</v>
      </c>
      <c r="D136" s="1257" t="s">
        <v>864</v>
      </c>
      <c r="E136" s="874" t="s">
        <v>1058</v>
      </c>
      <c r="F136" s="260">
        <v>47.141269049911173</v>
      </c>
      <c r="G136" s="260">
        <v>52.224661236371581</v>
      </c>
      <c r="H136" s="1068">
        <f t="shared" si="270"/>
        <v>8.4160389626855991</v>
      </c>
      <c r="I136" s="1068">
        <f t="shared" si="270"/>
        <v>10.630483084185546</v>
      </c>
      <c r="J136" s="1068">
        <f t="shared" si="270"/>
        <v>10.241695834954719</v>
      </c>
      <c r="K136" s="1068">
        <f t="shared" si="270"/>
        <v>9.4549147526367854</v>
      </c>
      <c r="L136" s="1068">
        <f t="shared" si="270"/>
        <v>10.431438353650302</v>
      </c>
      <c r="M136" s="1068">
        <f t="shared" si="270"/>
        <v>7.3081429877632402</v>
      </c>
      <c r="N136" s="1068">
        <f t="shared" si="270"/>
        <v>6.8860004096407268</v>
      </c>
      <c r="O136" s="260">
        <f t="shared" si="270"/>
        <v>6.1462564207083838</v>
      </c>
      <c r="P136" s="260">
        <f t="shared" si="270"/>
        <v>5.0701845410069568</v>
      </c>
      <c r="Q136" s="260">
        <f t="shared" si="270"/>
        <v>5.147940545971605</v>
      </c>
      <c r="R136" s="260">
        <f t="shared" si="270"/>
        <v>5.9174075441245835</v>
      </c>
      <c r="S136" s="260">
        <f t="shared" si="270"/>
        <v>4.3672641892083037</v>
      </c>
      <c r="T136" s="260">
        <f t="shared" si="270"/>
        <v>3.755553639162041</v>
      </c>
      <c r="U136" s="260">
        <f t="shared" si="270"/>
        <v>3.3468214009493336</v>
      </c>
      <c r="V136" s="260">
        <f t="shared" si="270"/>
        <v>3.6078009129373227</v>
      </c>
      <c r="W136" s="260">
        <f t="shared" si="270"/>
        <v>3.9595869792693468</v>
      </c>
      <c r="X136" s="260">
        <f t="shared" si="270"/>
        <v>4.2992239274502966</v>
      </c>
      <c r="Y136" s="260">
        <f t="shared" si="270"/>
        <v>4.3362295461094007</v>
      </c>
      <c r="Z136" s="260">
        <f t="shared" si="270"/>
        <v>4.2972619462853157</v>
      </c>
      <c r="AA136" s="260">
        <f t="shared" si="270"/>
        <v>4.3209431537283329</v>
      </c>
      <c r="AB136" s="260">
        <f t="shared" si="270"/>
        <v>4.4388231525151278</v>
      </c>
      <c r="AC136" s="260">
        <f t="shared" si="270"/>
        <v>4.5598555906037213</v>
      </c>
      <c r="AD136" s="260">
        <f t="shared" si="270"/>
        <v>4.6705511366221319</v>
      </c>
      <c r="AE136" s="260">
        <f t="shared" si="270"/>
        <v>4.7905826799714895</v>
      </c>
      <c r="AF136" s="260">
        <f t="shared" si="270"/>
        <v>4.8909868291351355</v>
      </c>
      <c r="AG136" s="260">
        <f t="shared" si="270"/>
        <v>4.9795195705251665</v>
      </c>
      <c r="AH136" s="260">
        <f t="shared" si="270"/>
        <v>5.0140428564929254</v>
      </c>
      <c r="AI136" s="260">
        <f t="shared" si="270"/>
        <v>5.034241784322349</v>
      </c>
      <c r="AJ136" s="260">
        <f t="shared" si="270"/>
        <v>5.0303794300966009</v>
      </c>
      <c r="AK136" s="260">
        <f t="shared" si="270"/>
        <v>4.9817061843162831</v>
      </c>
      <c r="AL136" s="260">
        <f t="shared" si="270"/>
        <v>5.005816752854825</v>
      </c>
      <c r="AM136" s="260">
        <f t="shared" si="270"/>
        <v>5.1117353012541518</v>
      </c>
      <c r="AN136" s="260">
        <f t="shared" si="270"/>
        <v>5.1218001698488047</v>
      </c>
      <c r="AO136" s="260">
        <f t="shared" si="270"/>
        <v>5.1563490468752367</v>
      </c>
      <c r="AP136" s="260">
        <f t="shared" si="270"/>
        <v>5.1654177598155924</v>
      </c>
      <c r="AQ136" s="260">
        <f t="shared" si="270"/>
        <v>5.1952502995101684</v>
      </c>
      <c r="AR136" s="260">
        <f t="shared" si="270"/>
        <v>5.1548078964528896</v>
      </c>
      <c r="AS136" s="260">
        <f t="shared" si="270"/>
        <v>5.1691436283950809</v>
      </c>
      <c r="AT136" s="260">
        <f t="shared" si="270"/>
        <v>5.2239208155775625</v>
      </c>
      <c r="AU136" s="260">
        <f t="shared" si="270"/>
        <v>5.3036701369405987</v>
      </c>
      <c r="AV136" s="260">
        <f t="shared" si="270"/>
        <v>5.3698761013633396</v>
      </c>
      <c r="AW136" s="260">
        <f t="shared" si="270"/>
        <v>5.4477553798092231</v>
      </c>
      <c r="AX136" s="260">
        <f t="shared" si="270"/>
        <v>5.5105548899774046</v>
      </c>
      <c r="AY136" s="260">
        <f t="shared" si="270"/>
        <v>5.5735610242489493</v>
      </c>
      <c r="AZ136" s="260">
        <f t="shared" si="270"/>
        <v>5.6745566112130543</v>
      </c>
      <c r="BA136" s="260">
        <f t="shared" si="270"/>
        <v>5.7069198222653581</v>
      </c>
      <c r="BB136" s="260">
        <f t="shared" si="270"/>
        <v>5.8107835034348891</v>
      </c>
      <c r="BC136" s="260">
        <f t="shared" si="270"/>
        <v>5.8430876323795795</v>
      </c>
      <c r="BD136" s="260">
        <f t="shared" si="270"/>
        <v>5.8755713510037442</v>
      </c>
      <c r="BE136" s="260">
        <f t="shared" si="270"/>
        <v>5.9082356577077126</v>
      </c>
      <c r="BF136" s="260">
        <f t="shared" si="270"/>
        <v>5.9410815564422617</v>
      </c>
      <c r="BG136" s="260">
        <f t="shared" si="270"/>
        <v>5.974110056739474</v>
      </c>
      <c r="BH136" s="260">
        <f t="shared" si="270"/>
        <v>6.006175946840397</v>
      </c>
      <c r="BI136" s="260">
        <f t="shared" si="270"/>
        <v>6.0384139498247791</v>
      </c>
      <c r="BJ136" s="260">
        <f t="shared" si="270"/>
        <v>6.0708249895043265</v>
      </c>
      <c r="BK136" s="260">
        <f t="shared" si="270"/>
        <v>6.1034099946492821</v>
      </c>
      <c r="BL136" s="260">
        <f t="shared" si="270"/>
        <v>6.1361698990150408</v>
      </c>
      <c r="BM136" s="260">
        <f t="shared" si="270"/>
        <v>6.1651091662794615</v>
      </c>
      <c r="BN136" s="260">
        <f t="shared" si="270"/>
        <v>6.1941849162690321</v>
      </c>
      <c r="BO136" s="260">
        <f t="shared" si="270"/>
        <v>6.2233977926605295</v>
      </c>
      <c r="BP136" s="260">
        <f t="shared" si="270"/>
        <v>6.2527484421664239</v>
      </c>
      <c r="BQ136" s="260">
        <f t="shared" si="270"/>
        <v>6.2822375145491964</v>
      </c>
      <c r="BR136" s="260">
        <f t="shared" si="270"/>
        <v>6.3074882699506478</v>
      </c>
      <c r="BS136" s="260">
        <f t="shared" si="270"/>
        <v>6.3328405179567433</v>
      </c>
      <c r="BT136" s="260">
        <f t="shared" si="268"/>
        <v>6.3582946665057261</v>
      </c>
      <c r="BU136" s="260">
        <f t="shared" si="269"/>
        <v>6.3838511251755019</v>
      </c>
      <c r="BV136" s="260">
        <f t="shared" si="269"/>
        <v>6.4095103051902287</v>
      </c>
      <c r="BW136" s="260">
        <f t="shared" si="269"/>
        <v>6.4307917640583545</v>
      </c>
      <c r="BX136" s="260">
        <f t="shared" si="269"/>
        <v>6.4521438836275307</v>
      </c>
      <c r="BY136" s="260">
        <f t="shared" si="269"/>
        <v>6.473566898512062</v>
      </c>
      <c r="BZ136" s="260">
        <f t="shared" si="269"/>
        <v>6.4950610441052419</v>
      </c>
      <c r="CA136" s="260">
        <f t="shared" si="269"/>
        <v>6.5166265565819383</v>
      </c>
      <c r="CB136" s="260">
        <f t="shared" si="269"/>
        <v>6.5305325700258869</v>
      </c>
      <c r="CC136" s="260">
        <f t="shared" si="269"/>
        <v>6.5444682579046409</v>
      </c>
      <c r="CD136" s="260">
        <f t="shared" si="269"/>
        <v>6.5584336835413142</v>
      </c>
      <c r="CE136" s="260">
        <f t="shared" si="269"/>
        <v>6.5724289103941489</v>
      </c>
      <c r="CF136" s="260">
        <f t="shared" si="269"/>
        <v>6.5864540020568016</v>
      </c>
      <c r="CG136" s="260">
        <f t="shared" si="269"/>
        <v>6.5910078603528843</v>
      </c>
      <c r="CH136" s="260">
        <f t="shared" si="269"/>
        <v>6.5955648671755291</v>
      </c>
      <c r="CI136" s="260">
        <f t="shared" si="269"/>
        <v>6.6001250247016205</v>
      </c>
      <c r="CJ136" s="260">
        <f t="shared" si="269"/>
        <v>6.6046883351095476</v>
      </c>
      <c r="CK136" s="260">
        <f t="shared" si="269"/>
        <v>6.6092548005792047</v>
      </c>
      <c r="CL136" s="260">
        <f t="shared" si="269"/>
        <v>6.6108026296665843</v>
      </c>
      <c r="CM136" s="260">
        <f t="shared" si="269"/>
        <v>6.6123508212418631</v>
      </c>
      <c r="CN136" s="260">
        <f t="shared" si="269"/>
        <v>6.6138993753899316</v>
      </c>
      <c r="CO136" s="260">
        <f t="shared" si="269"/>
        <v>6.6154482921957012</v>
      </c>
      <c r="CP136" s="260">
        <f t="shared" si="269"/>
        <v>6.6169975717441041</v>
      </c>
      <c r="CQ136" s="260">
        <f t="shared" si="269"/>
        <v>6.6193456536491393</v>
      </c>
      <c r="CR136" s="260">
        <f t="shared" si="269"/>
        <v>6.6216945687853457</v>
      </c>
      <c r="CS136" s="260">
        <f t="shared" si="269"/>
        <v>6.6240443174483996</v>
      </c>
      <c r="CT136" s="260">
        <f t="shared" si="269"/>
        <v>6.6263948999340831</v>
      </c>
      <c r="CU136" s="260">
        <f t="shared" si="269"/>
        <v>6.6287463165382841</v>
      </c>
      <c r="CV136" s="260">
        <f t="shared" si="269"/>
        <v>6.6323651566473876</v>
      </c>
      <c r="CW136" s="260">
        <f t="shared" si="269"/>
        <v>6.6359859723945851</v>
      </c>
      <c r="CX136" s="260">
        <f t="shared" si="269"/>
        <v>6.6396087648584388</v>
      </c>
      <c r="CY136" s="260">
        <f t="shared" si="269"/>
        <v>6.6432335351180996</v>
      </c>
      <c r="CZ136" s="449">
        <f t="shared" si="269"/>
        <v>6.6468602842533091</v>
      </c>
    </row>
    <row r="137" spans="1:104" ht="13" x14ac:dyDescent="0.3">
      <c r="A137" s="1476" t="s">
        <v>1081</v>
      </c>
      <c r="B137" s="260">
        <v>2016</v>
      </c>
      <c r="C137" s="874">
        <f t="shared" si="267"/>
        <v>1</v>
      </c>
      <c r="D137" s="1259" t="s">
        <v>268</v>
      </c>
      <c r="E137" s="874" t="s">
        <v>1058</v>
      </c>
      <c r="F137" s="260">
        <v>19.551069237418005</v>
      </c>
      <c r="G137" s="260">
        <v>20.588656379262464</v>
      </c>
      <c r="H137" s="1068">
        <f t="shared" si="270"/>
        <v>5.0967849132778742</v>
      </c>
      <c r="I137" s="1068">
        <f t="shared" si="270"/>
        <v>5.0967849132778742</v>
      </c>
      <c r="J137" s="1068">
        <f t="shared" si="270"/>
        <v>5.0967849132778742</v>
      </c>
      <c r="K137" s="1068">
        <f t="shared" si="270"/>
        <v>5.0967849132778742</v>
      </c>
      <c r="L137" s="1068">
        <f t="shared" si="270"/>
        <v>5.0967849132778742</v>
      </c>
      <c r="M137" s="1068">
        <f t="shared" si="270"/>
        <v>5.0967849132778742</v>
      </c>
      <c r="N137" s="1068">
        <f t="shared" si="270"/>
        <v>5.0967849132778742</v>
      </c>
      <c r="O137" s="260">
        <f t="shared" si="270"/>
        <v>5.0967849132778742</v>
      </c>
      <c r="P137" s="260">
        <f t="shared" si="270"/>
        <v>5.0967849132778742</v>
      </c>
      <c r="Q137" s="260">
        <f t="shared" si="270"/>
        <v>5.0967849132778742</v>
      </c>
      <c r="R137" s="260">
        <f t="shared" si="270"/>
        <v>5.0967849132778742</v>
      </c>
      <c r="S137" s="260">
        <f t="shared" si="270"/>
        <v>5.0967849132778742</v>
      </c>
      <c r="T137" s="260">
        <f t="shared" si="270"/>
        <v>5.0967849132778742</v>
      </c>
      <c r="U137" s="260">
        <f t="shared" si="270"/>
        <v>5.0967849132778742</v>
      </c>
      <c r="V137" s="260">
        <f t="shared" si="270"/>
        <v>5.0967849132778742</v>
      </c>
      <c r="W137" s="260">
        <f t="shared" si="270"/>
        <v>5.0967849132778742</v>
      </c>
      <c r="X137" s="260">
        <f t="shared" si="270"/>
        <v>5.0967849132778742</v>
      </c>
      <c r="Y137" s="260">
        <f t="shared" si="270"/>
        <v>5.0967849132778742</v>
      </c>
      <c r="Z137" s="260">
        <f t="shared" si="270"/>
        <v>5.0967849132778742</v>
      </c>
      <c r="AA137" s="260">
        <f t="shared" si="270"/>
        <v>5.0967849132778742</v>
      </c>
      <c r="AB137" s="260">
        <f t="shared" si="270"/>
        <v>5.0967849132778742</v>
      </c>
      <c r="AC137" s="260">
        <f t="shared" si="270"/>
        <v>5.0967849132778742</v>
      </c>
      <c r="AD137" s="260">
        <f t="shared" si="270"/>
        <v>5.0967849132778742</v>
      </c>
      <c r="AE137" s="260">
        <f t="shared" si="270"/>
        <v>5.0967849132778742</v>
      </c>
      <c r="AF137" s="260">
        <f t="shared" si="270"/>
        <v>5.0967849132778742</v>
      </c>
      <c r="AG137" s="260">
        <f t="shared" si="270"/>
        <v>5.0967849132778742</v>
      </c>
      <c r="AH137" s="260">
        <f t="shared" si="270"/>
        <v>5.0967849132778742</v>
      </c>
      <c r="AI137" s="260">
        <f t="shared" si="270"/>
        <v>5.0967849132778742</v>
      </c>
      <c r="AJ137" s="260">
        <f t="shared" si="270"/>
        <v>5.0967849132778742</v>
      </c>
      <c r="AK137" s="260">
        <f t="shared" si="270"/>
        <v>5.0967849132778742</v>
      </c>
      <c r="AL137" s="260">
        <f t="shared" si="270"/>
        <v>5.0967849132778742</v>
      </c>
      <c r="AM137" s="260">
        <f t="shared" si="270"/>
        <v>5.0967849132778742</v>
      </c>
      <c r="AN137" s="260">
        <f t="shared" si="270"/>
        <v>5.0967849132778742</v>
      </c>
      <c r="AO137" s="260">
        <f t="shared" si="270"/>
        <v>5.0967849132778742</v>
      </c>
      <c r="AP137" s="260">
        <f t="shared" si="270"/>
        <v>5.0967849132778742</v>
      </c>
      <c r="AQ137" s="260">
        <f t="shared" si="270"/>
        <v>5.0967849132778742</v>
      </c>
      <c r="AR137" s="260">
        <f t="shared" si="270"/>
        <v>5.0967849132778742</v>
      </c>
      <c r="AS137" s="260">
        <f t="shared" si="270"/>
        <v>5.0967849132778742</v>
      </c>
      <c r="AT137" s="260">
        <f t="shared" si="270"/>
        <v>5.0967849132778742</v>
      </c>
      <c r="AU137" s="260">
        <f t="shared" si="270"/>
        <v>5.0967849132778742</v>
      </c>
      <c r="AV137" s="260">
        <f t="shared" si="270"/>
        <v>5.0967849132778742</v>
      </c>
      <c r="AW137" s="260">
        <f t="shared" si="270"/>
        <v>5.0967849132778742</v>
      </c>
      <c r="AX137" s="260">
        <f t="shared" si="270"/>
        <v>5.0967849132778742</v>
      </c>
      <c r="AY137" s="260">
        <f t="shared" si="270"/>
        <v>5.0967849132778742</v>
      </c>
      <c r="AZ137" s="260">
        <f t="shared" si="270"/>
        <v>5.0967849132778742</v>
      </c>
      <c r="BA137" s="260">
        <f t="shared" si="270"/>
        <v>5.0967849132778742</v>
      </c>
      <c r="BB137" s="260">
        <f t="shared" si="270"/>
        <v>5.0967849132778742</v>
      </c>
      <c r="BC137" s="260">
        <f t="shared" si="270"/>
        <v>5.1179587571540939</v>
      </c>
      <c r="BD137" s="260">
        <f t="shared" si="270"/>
        <v>5.1392205646528959</v>
      </c>
      <c r="BE137" s="260">
        <f t="shared" si="270"/>
        <v>5.1605707012062227</v>
      </c>
      <c r="BF137" s="260">
        <f t="shared" si="270"/>
        <v>5.1820095337641501</v>
      </c>
      <c r="BG137" s="260">
        <f t="shared" si="270"/>
        <v>5.2035374308011946</v>
      </c>
      <c r="BH137" s="260">
        <f t="shared" si="270"/>
        <v>5.2223240063357927</v>
      </c>
      <c r="BI137" s="260">
        <f t="shared" si="270"/>
        <v>5.2411784079262249</v>
      </c>
      <c r="BJ137" s="260">
        <f t="shared" si="270"/>
        <v>5.2601008804480855</v>
      </c>
      <c r="BK137" s="260">
        <f t="shared" si="270"/>
        <v>5.2790916696610548</v>
      </c>
      <c r="BL137" s="260">
        <f t="shared" si="270"/>
        <v>5.2981510222120916</v>
      </c>
      <c r="BM137" s="260">
        <f t="shared" si="270"/>
        <v>5.3113630812048802</v>
      </c>
      <c r="BN137" s="260">
        <f t="shared" si="270"/>
        <v>5.3246080872582748</v>
      </c>
      <c r="BO137" s="260">
        <f t="shared" si="270"/>
        <v>5.3378861225327325</v>
      </c>
      <c r="BP137" s="260">
        <f t="shared" si="270"/>
        <v>5.3511972693935945</v>
      </c>
      <c r="BQ137" s="260">
        <f t="shared" si="270"/>
        <v>5.3645416104115968</v>
      </c>
      <c r="BR137" s="260">
        <f t="shared" si="270"/>
        <v>5.3779717491778074</v>
      </c>
      <c r="BS137" s="260">
        <f t="shared" ref="BS137" si="271">+BS157*$C137</f>
        <v>5.3914355103185612</v>
      </c>
      <c r="BT137" s="260">
        <f t="shared" si="268"/>
        <v>5.4049329780075288</v>
      </c>
      <c r="BU137" s="260">
        <f t="shared" si="269"/>
        <v>5.4184642366291094</v>
      </c>
      <c r="BV137" s="260">
        <f t="shared" si="269"/>
        <v>5.4320293707789578</v>
      </c>
      <c r="BW137" s="260">
        <f t="shared" si="269"/>
        <v>5.4450858323773135</v>
      </c>
      <c r="BX137" s="260">
        <f t="shared" si="269"/>
        <v>5.458173676572823</v>
      </c>
      <c r="BY137" s="260">
        <f t="shared" si="269"/>
        <v>5.471292978796904</v>
      </c>
      <c r="BZ137" s="260">
        <f t="shared" si="269"/>
        <v>5.4844438146622805</v>
      </c>
      <c r="CA137" s="260">
        <f t="shared" si="269"/>
        <v>5.4976262599634209</v>
      </c>
      <c r="CB137" s="260">
        <f t="shared" si="269"/>
        <v>5.509165721372697</v>
      </c>
      <c r="CC137" s="260">
        <f t="shared" si="269"/>
        <v>5.5207294039936956</v>
      </c>
      <c r="CD137" s="260">
        <f t="shared" si="269"/>
        <v>5.5323173586664938</v>
      </c>
      <c r="CE137" s="260">
        <f t="shared" si="269"/>
        <v>5.5439296363378796</v>
      </c>
      <c r="CF137" s="260">
        <f t="shared" si="269"/>
        <v>5.5555662880615797</v>
      </c>
      <c r="CG137" s="260">
        <f t="shared" si="269"/>
        <v>5.5698816197819898</v>
      </c>
      <c r="CH137" s="260">
        <f t="shared" si="269"/>
        <v>5.5842338386011479</v>
      </c>
      <c r="CI137" s="260">
        <f t="shared" si="269"/>
        <v>5.598623039568059</v>
      </c>
      <c r="CJ137" s="260">
        <f t="shared" si="269"/>
        <v>5.6130493179766479</v>
      </c>
      <c r="CK137" s="260">
        <f t="shared" si="269"/>
        <v>5.6275127693663878</v>
      </c>
      <c r="CL137" s="260">
        <f t="shared" si="269"/>
        <v>5.6395580019552014</v>
      </c>
      <c r="CM137" s="260">
        <f t="shared" si="269"/>
        <v>5.6516290163830023</v>
      </c>
      <c r="CN137" s="260">
        <f t="shared" si="269"/>
        <v>5.6637258678337163</v>
      </c>
      <c r="CO137" s="260">
        <f t="shared" si="269"/>
        <v>5.6758486116093856</v>
      </c>
      <c r="CP137" s="260">
        <f t="shared" si="269"/>
        <v>5.6879973031304223</v>
      </c>
      <c r="CQ137" s="260">
        <f t="shared" si="269"/>
        <v>5.6991168854631553</v>
      </c>
      <c r="CR137" s="260">
        <f t="shared" si="269"/>
        <v>5.7102582056949531</v>
      </c>
      <c r="CS137" s="260">
        <f t="shared" si="269"/>
        <v>5.7214213063216786</v>
      </c>
      <c r="CT137" s="260">
        <f t="shared" si="269"/>
        <v>5.732606229922272</v>
      </c>
      <c r="CU137" s="260">
        <f t="shared" si="269"/>
        <v>5.7438130191589121</v>
      </c>
      <c r="CV137" s="260">
        <f t="shared" si="269"/>
        <v>5.7570440466225028</v>
      </c>
      <c r="CW137" s="260">
        <f t="shared" si="269"/>
        <v>5.7703055521130002</v>
      </c>
      <c r="CX137" s="260">
        <f t="shared" si="269"/>
        <v>5.7835976058373566</v>
      </c>
      <c r="CY137" s="260">
        <f t="shared" si="269"/>
        <v>5.796920278164249</v>
      </c>
      <c r="CZ137" s="449">
        <f t="shared" si="269"/>
        <v>5.8102736396244499</v>
      </c>
    </row>
    <row r="138" spans="1:104" ht="13" x14ac:dyDescent="0.3">
      <c r="A138" s="1477" t="s">
        <v>1087</v>
      </c>
      <c r="B138" s="260">
        <v>2016</v>
      </c>
      <c r="C138" s="874">
        <f t="shared" si="267"/>
        <v>1</v>
      </c>
      <c r="D138" s="1259" t="s">
        <v>268</v>
      </c>
      <c r="E138" s="1478" t="s">
        <v>1052</v>
      </c>
      <c r="F138" s="260">
        <v>22.7322030001394</v>
      </c>
      <c r="G138" s="260">
        <v>23.967615189707661</v>
      </c>
      <c r="H138" s="1068" t="e">
        <f t="shared" ref="H138:BS141" si="272">+H158*$C138</f>
        <v>#N/A</v>
      </c>
      <c r="I138" s="1068" t="e">
        <f t="shared" si="272"/>
        <v>#N/A</v>
      </c>
      <c r="J138" s="1068" t="e">
        <f t="shared" si="272"/>
        <v>#N/A</v>
      </c>
      <c r="K138" s="1068" t="e">
        <f t="shared" si="272"/>
        <v>#N/A</v>
      </c>
      <c r="L138" s="1068">
        <f t="shared" si="272"/>
        <v>2.2148742453355847</v>
      </c>
      <c r="M138" s="1068">
        <f t="shared" si="272"/>
        <v>2.3408877437334223</v>
      </c>
      <c r="N138" s="1068">
        <f t="shared" si="272"/>
        <v>2.3629142410275352</v>
      </c>
      <c r="O138" s="260">
        <f t="shared" si="272"/>
        <v>2.4181318326423913</v>
      </c>
      <c r="P138" s="260">
        <f t="shared" si="272"/>
        <v>2.3501923436687169</v>
      </c>
      <c r="Q138" s="260">
        <f t="shared" si="272"/>
        <v>2.2749877363600257</v>
      </c>
      <c r="R138" s="260">
        <f t="shared" si="272"/>
        <v>2.2671813119268305</v>
      </c>
      <c r="S138" s="260">
        <f t="shared" si="272"/>
        <v>2.0920368648072634</v>
      </c>
      <c r="T138" s="260">
        <f t="shared" si="272"/>
        <v>1.9706687398025258</v>
      </c>
      <c r="U138" s="260">
        <f t="shared" si="272"/>
        <v>2.067600203211962</v>
      </c>
      <c r="V138" s="260">
        <f t="shared" si="272"/>
        <v>2.1142782942327232</v>
      </c>
      <c r="W138" s="260">
        <f t="shared" si="272"/>
        <v>2.1573963846468813</v>
      </c>
      <c r="X138" s="260">
        <f t="shared" si="272"/>
        <v>2.1900363582596567</v>
      </c>
      <c r="Y138" s="260">
        <f t="shared" si="272"/>
        <v>2.1929897559939948</v>
      </c>
      <c r="Z138" s="260">
        <f t="shared" si="272"/>
        <v>2.2028650611910647</v>
      </c>
      <c r="AA138" s="260">
        <f t="shared" si="272"/>
        <v>2.2090827406317772</v>
      </c>
      <c r="AB138" s="260">
        <f t="shared" si="272"/>
        <v>2.2092997907220093</v>
      </c>
      <c r="AC138" s="260">
        <f t="shared" si="272"/>
        <v>2.2079918032786887</v>
      </c>
      <c r="AD138" s="260">
        <f t="shared" si="272"/>
        <v>2.2065492258230841</v>
      </c>
      <c r="AE138" s="260">
        <f t="shared" si="272"/>
        <v>2.1995552842692714</v>
      </c>
      <c r="AF138" s="260">
        <f t="shared" si="272"/>
        <v>2.1903510334996437</v>
      </c>
      <c r="AG138" s="260">
        <f t="shared" si="272"/>
        <v>2.1795345460335755</v>
      </c>
      <c r="AH138" s="260">
        <f t="shared" si="272"/>
        <v>2.1771697426487315</v>
      </c>
      <c r="AI138" s="260">
        <f t="shared" si="272"/>
        <v>2.177831318906295</v>
      </c>
      <c r="AJ138" s="260">
        <f t="shared" si="272"/>
        <v>2.1809505846135182</v>
      </c>
      <c r="AK138" s="260">
        <f t="shared" si="272"/>
        <v>2.1861806387528246</v>
      </c>
      <c r="AL138" s="260">
        <f t="shared" si="272"/>
        <v>2.1973402359685172</v>
      </c>
      <c r="AM138" s="260">
        <f t="shared" si="272"/>
        <v>2.2020565733003745</v>
      </c>
      <c r="AN138" s="260">
        <f t="shared" si="272"/>
        <v>2.2177912831167257</v>
      </c>
      <c r="AO138" s="260">
        <f t="shared" si="272"/>
        <v>2.2206593773221517</v>
      </c>
      <c r="AP138" s="260">
        <f t="shared" si="272"/>
        <v>2.2289385587115755</v>
      </c>
      <c r="AQ138" s="260">
        <f t="shared" si="272"/>
        <v>2.2351116907538557</v>
      </c>
      <c r="AR138" s="260">
        <f t="shared" si="272"/>
        <v>2.2481536525075447</v>
      </c>
      <c r="AS138" s="260">
        <f t="shared" si="272"/>
        <v>2.2492673374683427</v>
      </c>
      <c r="AT138" s="260">
        <f t="shared" si="272"/>
        <v>2.2496910116619402</v>
      </c>
      <c r="AU138" s="260">
        <f t="shared" si="272"/>
        <v>2.2544263053335558</v>
      </c>
      <c r="AV138" s="260">
        <f t="shared" si="272"/>
        <v>2.2540196918457411</v>
      </c>
      <c r="AW138" s="260">
        <f t="shared" si="272"/>
        <v>2.2546357728878843</v>
      </c>
      <c r="AX138" s="260">
        <f t="shared" si="272"/>
        <v>2.2490256441364247</v>
      </c>
      <c r="AY138" s="260">
        <f t="shared" si="272"/>
        <v>2.2531477002168603</v>
      </c>
      <c r="AZ138" s="260">
        <f t="shared" si="272"/>
        <v>2.2540841434009193</v>
      </c>
      <c r="BA138" s="260">
        <f t="shared" si="272"/>
        <v>2.2596705767276806</v>
      </c>
      <c r="BB138" s="260">
        <f t="shared" si="272"/>
        <v>2.2620458060993922</v>
      </c>
      <c r="BC138" s="260">
        <f t="shared" si="272"/>
        <v>2.2703711301923084</v>
      </c>
      <c r="BD138" s="260">
        <f t="shared" si="272"/>
        <v>2.2787270951418623</v>
      </c>
      <c r="BE138" s="260">
        <f t="shared" si="272"/>
        <v>2.2871138137198912</v>
      </c>
      <c r="BF138" s="260">
        <f t="shared" si="272"/>
        <v>2.2955313991132824</v>
      </c>
      <c r="BG138" s="260">
        <f t="shared" si="272"/>
        <v>2.3039799649255008</v>
      </c>
      <c r="BH138" s="260">
        <f t="shared" si="272"/>
        <v>2.3125787529279784</v>
      </c>
      <c r="BI138" s="260">
        <f t="shared" si="272"/>
        <v>2.3212096328567045</v>
      </c>
      <c r="BJ138" s="260">
        <f t="shared" si="272"/>
        <v>2.3298727244834101</v>
      </c>
      <c r="BK138" s="260">
        <f t="shared" si="272"/>
        <v>2.338568148026833</v>
      </c>
      <c r="BL138" s="260">
        <f t="shared" si="272"/>
        <v>2.3472960241543843</v>
      </c>
      <c r="BM138" s="260">
        <f t="shared" si="272"/>
        <v>2.3559838582312191</v>
      </c>
      <c r="BN138" s="260">
        <f t="shared" si="272"/>
        <v>2.3647038478010849</v>
      </c>
      <c r="BO138" s="260">
        <f t="shared" si="272"/>
        <v>2.3734561118781943</v>
      </c>
      <c r="BP138" s="260">
        <f t="shared" si="272"/>
        <v>2.3822407699172565</v>
      </c>
      <c r="BQ138" s="260">
        <f t="shared" si="272"/>
        <v>2.3910579418151077</v>
      </c>
      <c r="BR138" s="260">
        <f t="shared" si="272"/>
        <v>2.3997099382358895</v>
      </c>
      <c r="BS138" s="260">
        <f t="shared" si="272"/>
        <v>2.4083932417365861</v>
      </c>
      <c r="BT138" s="260">
        <f t="shared" si="268"/>
        <v>2.4171079656012542</v>
      </c>
      <c r="BU138" s="260">
        <f t="shared" si="269"/>
        <v>2.4258542235238663</v>
      </c>
      <c r="BV138" s="260">
        <f t="shared" si="269"/>
        <v>2.434632129609795</v>
      </c>
      <c r="BW138" s="260">
        <f t="shared" si="269"/>
        <v>2.4428635118796533</v>
      </c>
      <c r="BX138" s="260">
        <f t="shared" si="269"/>
        <v>2.4511227240845761</v>
      </c>
      <c r="BY138" s="260">
        <f t="shared" si="269"/>
        <v>2.4594098603163279</v>
      </c>
      <c r="BZ138" s="260">
        <f t="shared" si="269"/>
        <v>2.467725014984794</v>
      </c>
      <c r="CA138" s="260">
        <f t="shared" si="269"/>
        <v>2.476068282819055</v>
      </c>
      <c r="CB138" s="260">
        <f t="shared" si="269"/>
        <v>2.4831576550549128</v>
      </c>
      <c r="CC138" s="260">
        <f t="shared" si="269"/>
        <v>2.4902673252765117</v>
      </c>
      <c r="CD138" s="260">
        <f t="shared" si="269"/>
        <v>2.4973973516001715</v>
      </c>
      <c r="CE138" s="260">
        <f t="shared" si="269"/>
        <v>2.5045477923086086</v>
      </c>
      <c r="CF138" s="260">
        <f t="shared" si="269"/>
        <v>2.5117187058514112</v>
      </c>
      <c r="CG138" s="260">
        <f t="shared" si="269"/>
        <v>2.5171937058097216</v>
      </c>
      <c r="CH138" s="260">
        <f t="shared" si="269"/>
        <v>2.5226806400759916</v>
      </c>
      <c r="CI138" s="260">
        <f t="shared" si="269"/>
        <v>2.5281795346644143</v>
      </c>
      <c r="CJ138" s="260">
        <f t="shared" si="269"/>
        <v>2.5336904156458884</v>
      </c>
      <c r="CK138" s="260">
        <f t="shared" si="269"/>
        <v>2.539213309148141</v>
      </c>
      <c r="CL138" s="260">
        <f t="shared" si="269"/>
        <v>2.5429573704375228</v>
      </c>
      <c r="CM138" s="260">
        <f t="shared" si="269"/>
        <v>2.5467069523323964</v>
      </c>
      <c r="CN138" s="260">
        <f t="shared" si="269"/>
        <v>2.5504620629728754</v>
      </c>
      <c r="CO138" s="260">
        <f t="shared" si="269"/>
        <v>2.554222710511076</v>
      </c>
      <c r="CP138" s="260">
        <f t="shared" si="269"/>
        <v>2.5579889031111347</v>
      </c>
      <c r="CQ138" s="260">
        <f t="shared" si="269"/>
        <v>2.5592501421168059</v>
      </c>
      <c r="CR138" s="260">
        <f t="shared" si="269"/>
        <v>2.5605120029875006</v>
      </c>
      <c r="CS138" s="260">
        <f t="shared" si="269"/>
        <v>2.5617744860298348</v>
      </c>
      <c r="CT138" s="260">
        <f t="shared" si="269"/>
        <v>2.5630375915505756</v>
      </c>
      <c r="CU138" s="260">
        <f t="shared" si="269"/>
        <v>2.564301319856642</v>
      </c>
      <c r="CV138" s="260">
        <f t="shared" si="269"/>
        <v>2.5624850697467836</v>
      </c>
      <c r="CW138" s="260">
        <f t="shared" si="269"/>
        <v>2.5606701060553489</v>
      </c>
      <c r="CX138" s="260">
        <f t="shared" si="269"/>
        <v>2.5588564278711901</v>
      </c>
      <c r="CY138" s="260">
        <f t="shared" si="269"/>
        <v>2.5570440342838041</v>
      </c>
      <c r="CZ138" s="449">
        <f t="shared" si="269"/>
        <v>2.555232924383334</v>
      </c>
    </row>
    <row r="139" spans="1:104" ht="13" x14ac:dyDescent="0.3">
      <c r="A139" s="1476" t="s">
        <v>683</v>
      </c>
      <c r="B139" s="260">
        <v>2016</v>
      </c>
      <c r="C139" s="874">
        <f t="shared" si="267"/>
        <v>1</v>
      </c>
      <c r="D139" s="1259" t="s">
        <v>296</v>
      </c>
      <c r="E139" s="874" t="s">
        <v>1071</v>
      </c>
      <c r="F139" s="878"/>
      <c r="G139" s="874"/>
      <c r="H139" s="1068">
        <f t="shared" si="272"/>
        <v>28.373013628420669</v>
      </c>
      <c r="I139" s="1068">
        <f t="shared" si="272"/>
        <v>29.17093293229123</v>
      </c>
      <c r="J139" s="1068">
        <f t="shared" si="272"/>
        <v>30.878569780545078</v>
      </c>
      <c r="K139" s="1068">
        <f t="shared" si="272"/>
        <v>30.682595180991225</v>
      </c>
      <c r="L139" s="1068">
        <f t="shared" si="272"/>
        <v>31.992353762541459</v>
      </c>
      <c r="M139" s="1068">
        <f t="shared" si="272"/>
        <v>31.4429334181984</v>
      </c>
      <c r="N139" s="1068">
        <f t="shared" si="272"/>
        <v>31.156600892671783</v>
      </c>
      <c r="O139" s="260">
        <f t="shared" si="272"/>
        <v>30.676058322376605</v>
      </c>
      <c r="P139" s="260">
        <f t="shared" si="272"/>
        <v>29.679126186318804</v>
      </c>
      <c r="Q139" s="260">
        <f t="shared" si="272"/>
        <v>29.700131988890092</v>
      </c>
      <c r="R139" s="260">
        <f t="shared" si="272"/>
        <v>30.54196479432273</v>
      </c>
      <c r="S139" s="260">
        <f t="shared" si="272"/>
        <v>29.932211922183079</v>
      </c>
      <c r="T139" s="260">
        <f t="shared" si="272"/>
        <v>28.972214109999999</v>
      </c>
      <c r="U139" s="260">
        <f t="shared" si="272"/>
        <v>29.128232055928784</v>
      </c>
      <c r="V139" s="260">
        <f t="shared" si="272"/>
        <v>28.995688380521983</v>
      </c>
      <c r="W139" s="260">
        <f t="shared" si="272"/>
        <v>29.39475155821113</v>
      </c>
      <c r="X139" s="260">
        <f t="shared" si="272"/>
        <v>29.885964346916182</v>
      </c>
      <c r="Y139" s="260">
        <f t="shared" si="272"/>
        <v>30.089071101439163</v>
      </c>
      <c r="Z139" s="260">
        <f t="shared" si="272"/>
        <v>31.081689502737298</v>
      </c>
      <c r="AA139" s="260">
        <f t="shared" si="272"/>
        <v>31.400245105473072</v>
      </c>
      <c r="AB139" s="260">
        <f t="shared" si="272"/>
        <v>31.337976372818122</v>
      </c>
      <c r="AC139" s="260">
        <f t="shared" si="272"/>
        <v>31.854564117923594</v>
      </c>
      <c r="AD139" s="260">
        <f t="shared" si="272"/>
        <v>32.189964324168578</v>
      </c>
      <c r="AE139" s="260">
        <f t="shared" si="272"/>
        <v>32.274661250208517</v>
      </c>
      <c r="AF139" s="260">
        <f t="shared" si="272"/>
        <v>32.347049824843424</v>
      </c>
      <c r="AG139" s="260">
        <f t="shared" si="272"/>
        <v>32.398275541772193</v>
      </c>
      <c r="AH139" s="260">
        <f t="shared" si="272"/>
        <v>32.473329377777105</v>
      </c>
      <c r="AI139" s="260">
        <f t="shared" si="272"/>
        <v>32.424485524938959</v>
      </c>
      <c r="AJ139" s="260">
        <f t="shared" si="272"/>
        <v>32.33705604252286</v>
      </c>
      <c r="AK139" s="260">
        <f t="shared" si="272"/>
        <v>32.213589610409308</v>
      </c>
      <c r="AL139" s="260">
        <f t="shared" si="272"/>
        <v>32.123147965605618</v>
      </c>
      <c r="AM139" s="260">
        <f t="shared" si="272"/>
        <v>32.189031672252469</v>
      </c>
      <c r="AN139" s="260">
        <f t="shared" si="272"/>
        <v>32.20134665837643</v>
      </c>
      <c r="AO139" s="260">
        <f t="shared" si="272"/>
        <v>32.137342472816606</v>
      </c>
      <c r="AP139" s="260">
        <f t="shared" si="272"/>
        <v>32.106067355666433</v>
      </c>
      <c r="AQ139" s="260">
        <f t="shared" si="272"/>
        <v>32.055398007309563</v>
      </c>
      <c r="AR139" s="260">
        <f t="shared" si="272"/>
        <v>31.985796962436115</v>
      </c>
      <c r="AS139" s="260">
        <f t="shared" si="272"/>
        <v>31.883579639374592</v>
      </c>
      <c r="AT139" s="260">
        <f t="shared" si="272"/>
        <v>31.88043762605966</v>
      </c>
      <c r="AU139" s="260">
        <f t="shared" si="272"/>
        <v>31.921825950470875</v>
      </c>
      <c r="AV139" s="260">
        <f t="shared" si="272"/>
        <v>31.967798865652629</v>
      </c>
      <c r="AW139" s="260">
        <f t="shared" si="272"/>
        <v>32.011030694105337</v>
      </c>
      <c r="AX139" s="260">
        <f t="shared" si="272"/>
        <v>32.04019407500644</v>
      </c>
      <c r="AY139" s="260">
        <f t="shared" si="272"/>
        <v>32.084258086774547</v>
      </c>
      <c r="AZ139" s="260">
        <f t="shared" si="272"/>
        <v>32.12290532445671</v>
      </c>
      <c r="BA139" s="260">
        <f t="shared" si="272"/>
        <v>32.1438833578502</v>
      </c>
      <c r="BB139" s="260">
        <f t="shared" si="272"/>
        <v>32.210559439498944</v>
      </c>
      <c r="BC139" s="260">
        <f t="shared" si="272"/>
        <v>32.212518425109167</v>
      </c>
      <c r="BD139" s="260">
        <f t="shared" si="272"/>
        <v>32.214477529861206</v>
      </c>
      <c r="BE139" s="260">
        <f t="shared" si="272"/>
        <v>32.216436753762309</v>
      </c>
      <c r="BF139" s="260">
        <f t="shared" si="272"/>
        <v>32.218396096819724</v>
      </c>
      <c r="BG139" s="260">
        <f t="shared" si="272"/>
        <v>32.220355559040698</v>
      </c>
      <c r="BH139" s="260">
        <f t="shared" si="272"/>
        <v>32.225068562587758</v>
      </c>
      <c r="BI139" s="260">
        <f t="shared" si="272"/>
        <v>32.229782255525173</v>
      </c>
      <c r="BJ139" s="260">
        <f t="shared" si="272"/>
        <v>32.234496637953782</v>
      </c>
      <c r="BK139" s="260">
        <f t="shared" si="272"/>
        <v>32.239211709974448</v>
      </c>
      <c r="BL139" s="260">
        <f t="shared" si="272"/>
        <v>32.243927471688032</v>
      </c>
      <c r="BM139" s="260">
        <f t="shared" si="272"/>
        <v>32.234738373564198</v>
      </c>
      <c r="BN139" s="260">
        <f t="shared" si="272"/>
        <v>32.225551894213289</v>
      </c>
      <c r="BO139" s="260">
        <f t="shared" si="272"/>
        <v>32.216368032888994</v>
      </c>
      <c r="BP139" s="260">
        <f t="shared" si="272"/>
        <v>32.207186788845206</v>
      </c>
      <c r="BQ139" s="260">
        <f t="shared" si="272"/>
        <v>32.198008161336034</v>
      </c>
      <c r="BR139" s="260">
        <f t="shared" si="272"/>
        <v>32.188328675270981</v>
      </c>
      <c r="BS139" s="260">
        <f t="shared" si="272"/>
        <v>32.178652099089362</v>
      </c>
      <c r="BT139" s="260">
        <f t="shared" si="268"/>
        <v>32.168978431916393</v>
      </c>
      <c r="BU139" s="260">
        <f t="shared" si="269"/>
        <v>32.15930767287756</v>
      </c>
      <c r="BV139" s="260">
        <f t="shared" si="269"/>
        <v>32.14963982109861</v>
      </c>
      <c r="BW139" s="260">
        <f t="shared" si="269"/>
        <v>32.135484213462775</v>
      </c>
      <c r="BX139" s="260">
        <f t="shared" si="269"/>
        <v>32.121334838594358</v>
      </c>
      <c r="BY139" s="260">
        <f t="shared" si="269"/>
        <v>32.107191693749044</v>
      </c>
      <c r="BZ139" s="260">
        <f t="shared" si="269"/>
        <v>32.093054776183735</v>
      </c>
      <c r="CA139" s="260">
        <f t="shared" si="269"/>
        <v>32.078924083156537</v>
      </c>
      <c r="CB139" s="260">
        <f t="shared" si="269"/>
        <v>32.05322936592912</v>
      </c>
      <c r="CC139" s="260">
        <f t="shared" si="269"/>
        <v>32.027555229768936</v>
      </c>
      <c r="CD139" s="260">
        <f t="shared" si="269"/>
        <v>32.001901658190874</v>
      </c>
      <c r="CE139" s="260">
        <f t="shared" si="269"/>
        <v>31.976268634723027</v>
      </c>
      <c r="CF139" s="260">
        <f t="shared" si="269"/>
        <v>31.950656142906677</v>
      </c>
      <c r="CG139" s="260">
        <f t="shared" si="269"/>
        <v>31.915373500092528</v>
      </c>
      <c r="CH139" s="260">
        <f t="shared" si="269"/>
        <v>31.880129819385399</v>
      </c>
      <c r="CI139" s="260">
        <f t="shared" si="269"/>
        <v>31.844925057760001</v>
      </c>
      <c r="CJ139" s="260">
        <f t="shared" si="269"/>
        <v>31.809759172238564</v>
      </c>
      <c r="CK139" s="260">
        <f t="shared" si="269"/>
        <v>31.774632119890772</v>
      </c>
      <c r="CL139" s="260">
        <f t="shared" si="269"/>
        <v>31.736335048107414</v>
      </c>
      <c r="CM139" s="260">
        <f t="shared" si="269"/>
        <v>31.698084134709202</v>
      </c>
      <c r="CN139" s="260">
        <f t="shared" si="269"/>
        <v>31.659879324062725</v>
      </c>
      <c r="CO139" s="260">
        <f t="shared" si="269"/>
        <v>31.621720560601634</v>
      </c>
      <c r="CP139" s="260">
        <f t="shared" si="269"/>
        <v>31.583607788826551</v>
      </c>
      <c r="CQ139" s="260">
        <f t="shared" si="269"/>
        <v>31.539463246970023</v>
      </c>
      <c r="CR139" s="260">
        <f t="shared" si="269"/>
        <v>31.495380406125889</v>
      </c>
      <c r="CS139" s="260">
        <f t="shared" si="269"/>
        <v>31.451359180054389</v>
      </c>
      <c r="CT139" s="260">
        <f t="shared" si="269"/>
        <v>31.407399482636293</v>
      </c>
      <c r="CU139" s="260">
        <f t="shared" si="269"/>
        <v>31.363501227872742</v>
      </c>
      <c r="CV139" s="260">
        <f t="shared" si="269"/>
        <v>31.320648715953933</v>
      </c>
      <c r="CW139" s="260">
        <f t="shared" si="269"/>
        <v>31.277854754187555</v>
      </c>
      <c r="CX139" s="260">
        <f t="shared" si="269"/>
        <v>31.235119262575491</v>
      </c>
      <c r="CY139" s="260">
        <f t="shared" si="269"/>
        <v>31.192442161228929</v>
      </c>
      <c r="CZ139" s="449">
        <f t="shared" si="269"/>
        <v>31.1498233703682</v>
      </c>
    </row>
    <row r="140" spans="1:104" ht="13" x14ac:dyDescent="0.3">
      <c r="A140" s="1476" t="s">
        <v>698</v>
      </c>
      <c r="B140" s="260">
        <v>2016</v>
      </c>
      <c r="C140" s="874">
        <f t="shared" si="267"/>
        <v>1</v>
      </c>
      <c r="D140" s="1259" t="s">
        <v>296</v>
      </c>
      <c r="E140" s="874" t="s">
        <v>1071</v>
      </c>
      <c r="F140" s="885"/>
      <c r="G140" s="1475"/>
      <c r="H140" s="1068">
        <f t="shared" si="272"/>
        <v>18.232352698801531</v>
      </c>
      <c r="I140" s="1068">
        <f t="shared" si="272"/>
        <v>19.279059481202857</v>
      </c>
      <c r="J140" s="1068">
        <f t="shared" si="272"/>
        <v>20.106975671052609</v>
      </c>
      <c r="K140" s="1068">
        <f t="shared" si="272"/>
        <v>20.31728323383771</v>
      </c>
      <c r="L140" s="1068">
        <f t="shared" si="272"/>
        <v>21.702415417864383</v>
      </c>
      <c r="M140" s="1068">
        <f t="shared" si="272"/>
        <v>21.137326303769196</v>
      </c>
      <c r="N140" s="1068">
        <f t="shared" si="272"/>
        <v>20.699724047437488</v>
      </c>
      <c r="O140" s="260">
        <f t="shared" si="272"/>
        <v>20.430734156114106</v>
      </c>
      <c r="P140" s="260">
        <f t="shared" si="272"/>
        <v>19.619402543384187</v>
      </c>
      <c r="Q140" s="260">
        <f t="shared" si="272"/>
        <v>19.94482547791937</v>
      </c>
      <c r="R140" s="260">
        <f t="shared" si="272"/>
        <v>20.190684361237558</v>
      </c>
      <c r="S140" s="260">
        <f t="shared" si="272"/>
        <v>19.439058682545589</v>
      </c>
      <c r="T140" s="260">
        <f t="shared" si="272"/>
        <v>18.777772519999996</v>
      </c>
      <c r="U140" s="260">
        <f t="shared" si="272"/>
        <v>19.537493744407882</v>
      </c>
      <c r="V140" s="260">
        <f t="shared" si="272"/>
        <v>19.094688812726531</v>
      </c>
      <c r="W140" s="260">
        <f t="shared" si="272"/>
        <v>19.340880484069093</v>
      </c>
      <c r="X140" s="260">
        <f t="shared" si="272"/>
        <v>19.700726786066333</v>
      </c>
      <c r="Y140" s="260">
        <f t="shared" si="272"/>
        <v>19.809231927025674</v>
      </c>
      <c r="Z140" s="260">
        <f t="shared" si="272"/>
        <v>20.448628319255093</v>
      </c>
      <c r="AA140" s="260">
        <f t="shared" si="272"/>
        <v>20.513438149254636</v>
      </c>
      <c r="AB140" s="260">
        <f t="shared" si="272"/>
        <v>20.459361398826221</v>
      </c>
      <c r="AC140" s="260">
        <f t="shared" si="272"/>
        <v>20.950622526197662</v>
      </c>
      <c r="AD140" s="260">
        <f t="shared" si="272"/>
        <v>21.163384692376518</v>
      </c>
      <c r="AE140" s="260">
        <f t="shared" si="272"/>
        <v>21.285322295688569</v>
      </c>
      <c r="AF140" s="260">
        <f t="shared" si="272"/>
        <v>21.423623959296947</v>
      </c>
      <c r="AG140" s="260">
        <f t="shared" si="272"/>
        <v>21.53228264660833</v>
      </c>
      <c r="AH140" s="260">
        <f t="shared" si="272"/>
        <v>21.607771530610695</v>
      </c>
      <c r="AI140" s="260">
        <f t="shared" si="272"/>
        <v>21.635145433038627</v>
      </c>
      <c r="AJ140" s="260">
        <f t="shared" si="272"/>
        <v>21.585785019942069</v>
      </c>
      <c r="AK140" s="260">
        <f t="shared" si="272"/>
        <v>21.508628925857963</v>
      </c>
      <c r="AL140" s="260">
        <f t="shared" si="272"/>
        <v>21.446118499871098</v>
      </c>
      <c r="AM140" s="260">
        <f t="shared" si="272"/>
        <v>21.521952389257063</v>
      </c>
      <c r="AN140" s="260">
        <f t="shared" si="272"/>
        <v>21.600204159779199</v>
      </c>
      <c r="AO140" s="260">
        <f t="shared" si="272"/>
        <v>21.583872325260458</v>
      </c>
      <c r="AP140" s="260">
        <f t="shared" si="272"/>
        <v>21.588666383585327</v>
      </c>
      <c r="AQ140" s="260">
        <f t="shared" si="272"/>
        <v>21.605374501448264</v>
      </c>
      <c r="AR140" s="260">
        <f t="shared" si="272"/>
        <v>21.554715579078266</v>
      </c>
      <c r="AS140" s="260">
        <f t="shared" si="272"/>
        <v>21.491324631109631</v>
      </c>
      <c r="AT140" s="260">
        <f t="shared" si="272"/>
        <v>21.516251270074765</v>
      </c>
      <c r="AU140" s="260">
        <f t="shared" si="272"/>
        <v>21.58191413536343</v>
      </c>
      <c r="AV140" s="260">
        <f t="shared" si="272"/>
        <v>21.663232093841465</v>
      </c>
      <c r="AW140" s="260">
        <f t="shared" si="272"/>
        <v>21.742367229796333</v>
      </c>
      <c r="AX140" s="260">
        <f t="shared" si="272"/>
        <v>21.822824570449338</v>
      </c>
      <c r="AY140" s="260">
        <f t="shared" si="272"/>
        <v>21.895024529503647</v>
      </c>
      <c r="AZ140" s="260">
        <f t="shared" si="272"/>
        <v>21.976239175929997</v>
      </c>
      <c r="BA140" s="260">
        <f t="shared" si="272"/>
        <v>22.046603213478718</v>
      </c>
      <c r="BB140" s="260">
        <f t="shared" si="272"/>
        <v>22.114819497732821</v>
      </c>
      <c r="BC140" s="260">
        <f t="shared" si="272"/>
        <v>22.13487665280584</v>
      </c>
      <c r="BD140" s="260">
        <f t="shared" si="272"/>
        <v>22.15495199882406</v>
      </c>
      <c r="BE140" s="260">
        <f t="shared" si="272"/>
        <v>22.175045552285859</v>
      </c>
      <c r="BF140" s="260">
        <f t="shared" si="272"/>
        <v>22.195157329704575</v>
      </c>
      <c r="BG140" s="260">
        <f t="shared" si="272"/>
        <v>22.215287347608523</v>
      </c>
      <c r="BH140" s="260">
        <f t="shared" si="272"/>
        <v>22.237407284551185</v>
      </c>
      <c r="BI140" s="260">
        <f t="shared" si="272"/>
        <v>22.259549246489641</v>
      </c>
      <c r="BJ140" s="260">
        <f t="shared" si="272"/>
        <v>22.281713255354351</v>
      </c>
      <c r="BK140" s="260">
        <f t="shared" si="272"/>
        <v>22.303899333097611</v>
      </c>
      <c r="BL140" s="260">
        <f t="shared" si="272"/>
        <v>22.326107501693581</v>
      </c>
      <c r="BM140" s="260">
        <f t="shared" si="272"/>
        <v>22.336823207612067</v>
      </c>
      <c r="BN140" s="260">
        <f t="shared" si="272"/>
        <v>22.347544056673097</v>
      </c>
      <c r="BO140" s="260">
        <f t="shared" si="272"/>
        <v>22.358270051345187</v>
      </c>
      <c r="BP140" s="260">
        <f t="shared" si="272"/>
        <v>22.369001194098043</v>
      </c>
      <c r="BQ140" s="260">
        <f t="shared" si="272"/>
        <v>22.379737487402554</v>
      </c>
      <c r="BR140" s="260">
        <f t="shared" si="272"/>
        <v>22.390100389733625</v>
      </c>
      <c r="BS140" s="260">
        <f t="shared" si="272"/>
        <v>22.400468090590362</v>
      </c>
      <c r="BT140" s="260">
        <f t="shared" si="268"/>
        <v>22.410840592194713</v>
      </c>
      <c r="BU140" s="260">
        <f t="shared" si="269"/>
        <v>22.421217896769658</v>
      </c>
      <c r="BV140" s="260">
        <f t="shared" si="269"/>
        <v>22.431600006539206</v>
      </c>
      <c r="BW140" s="260">
        <f t="shared" si="269"/>
        <v>22.438377931004013</v>
      </c>
      <c r="BX140" s="260">
        <f t="shared" si="269"/>
        <v>22.44515790348412</v>
      </c>
      <c r="BY140" s="260">
        <f t="shared" si="269"/>
        <v>22.451939924598356</v>
      </c>
      <c r="BZ140" s="260">
        <f t="shared" si="269"/>
        <v>22.458723994965737</v>
      </c>
      <c r="CA140" s="260">
        <f t="shared" si="269"/>
        <v>22.465510115205461</v>
      </c>
      <c r="CB140" s="260">
        <f t="shared" si="269"/>
        <v>22.462969438648798</v>
      </c>
      <c r="CC140" s="260">
        <f t="shared" si="269"/>
        <v>22.46042904942313</v>
      </c>
      <c r="CD140" s="260">
        <f t="shared" si="269"/>
        <v>22.45788894749596</v>
      </c>
      <c r="CE140" s="260">
        <f t="shared" si="269"/>
        <v>22.455349132834797</v>
      </c>
      <c r="CF140" s="260">
        <f t="shared" si="269"/>
        <v>22.452809605407158</v>
      </c>
      <c r="CG140" s="260">
        <f t="shared" si="269"/>
        <v>22.442624812220661</v>
      </c>
      <c r="CH140" s="260">
        <f t="shared" si="269"/>
        <v>22.432444638946507</v>
      </c>
      <c r="CI140" s="260">
        <f t="shared" si="269"/>
        <v>22.422269083489063</v>
      </c>
      <c r="CJ140" s="260">
        <f t="shared" si="269"/>
        <v>22.412098143753649</v>
      </c>
      <c r="CK140" s="260">
        <f t="shared" si="269"/>
        <v>22.401931817646531</v>
      </c>
      <c r="CL140" s="260">
        <f t="shared" si="269"/>
        <v>22.389459823741635</v>
      </c>
      <c r="CM140" s="260">
        <f t="shared" si="269"/>
        <v>22.376994773462549</v>
      </c>
      <c r="CN140" s="260">
        <f t="shared" si="269"/>
        <v>22.364536662943497</v>
      </c>
      <c r="CO140" s="260">
        <f t="shared" si="269"/>
        <v>22.352085488320853</v>
      </c>
      <c r="CP140" s="260">
        <f t="shared" si="269"/>
        <v>22.339641245733144</v>
      </c>
      <c r="CQ140" s="260">
        <f t="shared" si="269"/>
        <v>22.322592014179389</v>
      </c>
      <c r="CR140" s="260">
        <f t="shared" si="269"/>
        <v>22.305555794307125</v>
      </c>
      <c r="CS140" s="260">
        <f t="shared" si="269"/>
        <v>22.288532576186064</v>
      </c>
      <c r="CT140" s="260">
        <f t="shared" si="269"/>
        <v>22.271522349893491</v>
      </c>
      <c r="CU140" s="260">
        <f t="shared" si="269"/>
        <v>22.254525105514261</v>
      </c>
      <c r="CV140" s="260">
        <f t="shared" si="269"/>
        <v>22.238544472899552</v>
      </c>
      <c r="CW140" s="260">
        <f t="shared" si="269"/>
        <v>22.222575315731635</v>
      </c>
      <c r="CX140" s="260">
        <f t="shared" si="269"/>
        <v>22.206617625770171</v>
      </c>
      <c r="CY140" s="260">
        <f t="shared" si="269"/>
        <v>22.190671394780733</v>
      </c>
      <c r="CZ140" s="449">
        <f t="shared" ref="CZ140" si="273">+CZ160*$C140</f>
        <v>22.174736614534808</v>
      </c>
    </row>
    <row r="141" spans="1:104" ht="13.5" thickBot="1" x14ac:dyDescent="0.35">
      <c r="A141" s="1479" t="s">
        <v>684</v>
      </c>
      <c r="B141" s="443">
        <v>2016</v>
      </c>
      <c r="C141" s="1392">
        <f t="shared" si="267"/>
        <v>1</v>
      </c>
      <c r="D141" s="1480" t="s">
        <v>296</v>
      </c>
      <c r="E141" s="1392" t="s">
        <v>1071</v>
      </c>
      <c r="F141" s="1393"/>
      <c r="G141" s="1031"/>
      <c r="H141" s="1394">
        <f t="shared" si="272"/>
        <v>31.081820315099751</v>
      </c>
      <c r="I141" s="1394">
        <f t="shared" si="272"/>
        <v>31.795307521355493</v>
      </c>
      <c r="J141" s="1394">
        <f t="shared" si="272"/>
        <v>33.946842042036877</v>
      </c>
      <c r="K141" s="1394">
        <f t="shared" si="272"/>
        <v>33.862138723062856</v>
      </c>
      <c r="L141" s="1394">
        <f t="shared" si="272"/>
        <v>35.110516897292094</v>
      </c>
      <c r="M141" s="1394">
        <f t="shared" si="272"/>
        <v>35.620882248372396</v>
      </c>
      <c r="N141" s="1394">
        <f t="shared" si="272"/>
        <v>35.284315436843215</v>
      </c>
      <c r="O141" s="443">
        <f t="shared" si="272"/>
        <v>35.109707376782602</v>
      </c>
      <c r="P141" s="443">
        <f t="shared" si="272"/>
        <v>34.944303180720262</v>
      </c>
      <c r="Q141" s="443">
        <f t="shared" si="272"/>
        <v>35.113313940081568</v>
      </c>
      <c r="R141" s="443">
        <f t="shared" si="272"/>
        <v>35.603854676435802</v>
      </c>
      <c r="S141" s="443">
        <f t="shared" si="272"/>
        <v>35.586699324775935</v>
      </c>
      <c r="T141" s="443">
        <f t="shared" si="272"/>
        <v>34.861101349999998</v>
      </c>
      <c r="U141" s="443">
        <f t="shared" si="272"/>
        <v>34.664653819323334</v>
      </c>
      <c r="V141" s="443">
        <f t="shared" si="272"/>
        <v>34.410290069910978</v>
      </c>
      <c r="W141" s="443">
        <f t="shared" si="272"/>
        <v>34.908531869398402</v>
      </c>
      <c r="X141" s="443">
        <f t="shared" si="272"/>
        <v>35.616671532127199</v>
      </c>
      <c r="Y141" s="443">
        <f t="shared" si="272"/>
        <v>35.947520321196222</v>
      </c>
      <c r="Z141" s="443">
        <f t="shared" si="272"/>
        <v>36.987705865849776</v>
      </c>
      <c r="AA141" s="443">
        <f t="shared" si="272"/>
        <v>37.546039262370911</v>
      </c>
      <c r="AB141" s="443">
        <f t="shared" si="272"/>
        <v>37.510823122184988</v>
      </c>
      <c r="AC141" s="443">
        <f t="shared" si="272"/>
        <v>38.008797637281816</v>
      </c>
      <c r="AD141" s="443">
        <f t="shared" si="272"/>
        <v>38.419808048103611</v>
      </c>
      <c r="AE141" s="443">
        <f t="shared" si="272"/>
        <v>38.480927078752217</v>
      </c>
      <c r="AF141" s="443">
        <f t="shared" si="272"/>
        <v>38.529894147798792</v>
      </c>
      <c r="AG141" s="443">
        <f t="shared" si="272"/>
        <v>38.610432052895767</v>
      </c>
      <c r="AH141" s="443">
        <f t="shared" si="272"/>
        <v>38.669048846696292</v>
      </c>
      <c r="AI141" s="443">
        <f t="shared" si="272"/>
        <v>38.631731396248163</v>
      </c>
      <c r="AJ141" s="443">
        <f t="shared" si="272"/>
        <v>38.567872226687491</v>
      </c>
      <c r="AK141" s="443">
        <f t="shared" si="272"/>
        <v>38.465126969563705</v>
      </c>
      <c r="AL141" s="443">
        <f t="shared" si="272"/>
        <v>38.413723063041203</v>
      </c>
      <c r="AM141" s="443">
        <f t="shared" si="272"/>
        <v>38.515467425425761</v>
      </c>
      <c r="AN141" s="443">
        <f t="shared" si="272"/>
        <v>38.527084818246614</v>
      </c>
      <c r="AO141" s="443">
        <f t="shared" si="272"/>
        <v>38.521472793861179</v>
      </c>
      <c r="AP141" s="443">
        <f t="shared" si="272"/>
        <v>38.546973809920992</v>
      </c>
      <c r="AQ141" s="443">
        <f t="shared" si="272"/>
        <v>38.560691565187064</v>
      </c>
      <c r="AR141" s="443">
        <f t="shared" si="272"/>
        <v>38.568356561168315</v>
      </c>
      <c r="AS141" s="443">
        <f t="shared" si="272"/>
        <v>38.569368829711408</v>
      </c>
      <c r="AT141" s="443">
        <f t="shared" si="272"/>
        <v>38.651143635977618</v>
      </c>
      <c r="AU141" s="443">
        <f t="shared" si="272"/>
        <v>38.781520601750053</v>
      </c>
      <c r="AV141" s="443">
        <f t="shared" si="272"/>
        <v>38.929117506558889</v>
      </c>
      <c r="AW141" s="443">
        <f t="shared" si="272"/>
        <v>39.08758776785308</v>
      </c>
      <c r="AX141" s="443">
        <f t="shared" si="272"/>
        <v>39.228047610742941</v>
      </c>
      <c r="AY141" s="443">
        <f t="shared" si="272"/>
        <v>39.393119417357944</v>
      </c>
      <c r="AZ141" s="443">
        <f t="shared" si="272"/>
        <v>39.595269824540118</v>
      </c>
      <c r="BA141" s="443">
        <f t="shared" si="272"/>
        <v>39.769550621009692</v>
      </c>
      <c r="BB141" s="443">
        <f t="shared" si="272"/>
        <v>39.980674011616443</v>
      </c>
      <c r="BC141" s="443">
        <f t="shared" si="272"/>
        <v>39.983105560972888</v>
      </c>
      <c r="BD141" s="443">
        <f t="shared" si="272"/>
        <v>39.985537258211586</v>
      </c>
      <c r="BE141" s="443">
        <f t="shared" si="272"/>
        <v>39.987969103341534</v>
      </c>
      <c r="BF141" s="443">
        <f t="shared" si="272"/>
        <v>39.990401096371727</v>
      </c>
      <c r="BG141" s="443">
        <f t="shared" si="272"/>
        <v>39.99283323731116</v>
      </c>
      <c r="BH141" s="443">
        <f t="shared" si="272"/>
        <v>39.998683153044055</v>
      </c>
      <c r="BI141" s="443">
        <f t="shared" si="272"/>
        <v>40.00453392446812</v>
      </c>
      <c r="BJ141" s="443">
        <f t="shared" si="272"/>
        <v>40.010385551708517</v>
      </c>
      <c r="BK141" s="443">
        <f t="shared" si="272"/>
        <v>40.016238034890421</v>
      </c>
      <c r="BL141" s="443">
        <f t="shared" si="272"/>
        <v>40.022091374139045</v>
      </c>
      <c r="BM141" s="443">
        <f t="shared" si="272"/>
        <v>40.01068560090993</v>
      </c>
      <c r="BN141" s="443">
        <f t="shared" si="272"/>
        <v>39.999283078177193</v>
      </c>
      <c r="BO141" s="443">
        <f t="shared" si="272"/>
        <v>39.987883805014484</v>
      </c>
      <c r="BP141" s="443">
        <f t="shared" si="272"/>
        <v>39.976487780495717</v>
      </c>
      <c r="BQ141" s="443">
        <f t="shared" si="272"/>
        <v>39.965095003695069</v>
      </c>
      <c r="BR141" s="443">
        <f t="shared" si="272"/>
        <v>39.953080546830584</v>
      </c>
      <c r="BS141" s="443">
        <f t="shared" ref="BS141" si="274">+BS161*$C141</f>
        <v>39.941069701797218</v>
      </c>
      <c r="BT141" s="443">
        <f t="shared" si="268"/>
        <v>39.929062467509169</v>
      </c>
      <c r="BU141" s="443">
        <f t="shared" ref="BU141:CZ141" si="275">+BU161*$C141</f>
        <v>39.917058842880955</v>
      </c>
      <c r="BV141" s="443">
        <f t="shared" si="275"/>
        <v>39.905058826827435</v>
      </c>
      <c r="BW141" s="443">
        <f t="shared" si="275"/>
        <v>39.887488478960996</v>
      </c>
      <c r="BX141" s="443">
        <f t="shared" si="275"/>
        <v>39.869925867384971</v>
      </c>
      <c r="BY141" s="443">
        <f t="shared" si="275"/>
        <v>39.852370988693046</v>
      </c>
      <c r="BZ141" s="443">
        <f t="shared" si="275"/>
        <v>39.8348238394804</v>
      </c>
      <c r="CA141" s="443">
        <f t="shared" si="275"/>
        <v>39.817284416343718</v>
      </c>
      <c r="CB141" s="443">
        <f t="shared" si="275"/>
        <v>39.785391393336162</v>
      </c>
      <c r="CC141" s="443">
        <f t="shared" si="275"/>
        <v>39.75352391614198</v>
      </c>
      <c r="CD141" s="443">
        <f t="shared" si="275"/>
        <v>39.721681964299371</v>
      </c>
      <c r="CE141" s="443">
        <f t="shared" si="275"/>
        <v>39.689865517362925</v>
      </c>
      <c r="CF141" s="443">
        <f t="shared" si="275"/>
        <v>39.658074554903607</v>
      </c>
      <c r="CG141" s="443">
        <f t="shared" si="275"/>
        <v>39.614280722534119</v>
      </c>
      <c r="CH141" s="443">
        <f t="shared" si="275"/>
        <v>39.57053525105394</v>
      </c>
      <c r="CI141" s="443">
        <f t="shared" si="275"/>
        <v>39.526838087058842</v>
      </c>
      <c r="CJ141" s="443">
        <f t="shared" si="275"/>
        <v>39.48318917720357</v>
      </c>
      <c r="CK141" s="443">
        <f t="shared" si="275"/>
        <v>39.439588468201791</v>
      </c>
      <c r="CL141" s="443">
        <f t="shared" si="275"/>
        <v>39.392053039782866</v>
      </c>
      <c r="CM141" s="443">
        <f t="shared" si="275"/>
        <v>39.344574904480901</v>
      </c>
      <c r="CN141" s="443">
        <f t="shared" si="275"/>
        <v>39.297153993242112</v>
      </c>
      <c r="CO141" s="443">
        <f t="shared" si="275"/>
        <v>39.249790237095944</v>
      </c>
      <c r="CP141" s="443">
        <f t="shared" si="275"/>
        <v>39.202483567154964</v>
      </c>
      <c r="CQ141" s="443">
        <f t="shared" si="275"/>
        <v>39.147690090479308</v>
      </c>
      <c r="CR141" s="443">
        <f t="shared" si="275"/>
        <v>39.092973198877175</v>
      </c>
      <c r="CS141" s="443">
        <f t="shared" si="275"/>
        <v>39.038332785305279</v>
      </c>
      <c r="CT141" s="443">
        <f t="shared" si="275"/>
        <v>38.983768742869955</v>
      </c>
      <c r="CU141" s="443">
        <f t="shared" si="275"/>
        <v>38.929280964826951</v>
      </c>
      <c r="CV141" s="443">
        <f t="shared" si="275"/>
        <v>38.876091192919297</v>
      </c>
      <c r="CW141" s="443">
        <f t="shared" si="275"/>
        <v>38.822974095147039</v>
      </c>
      <c r="CX141" s="443">
        <f t="shared" si="275"/>
        <v>38.769929572214203</v>
      </c>
      <c r="CY141" s="443">
        <f t="shared" si="275"/>
        <v>38.716957524960492</v>
      </c>
      <c r="CZ141" s="444">
        <f t="shared" si="275"/>
        <v>38.66405785436109</v>
      </c>
    </row>
    <row r="142" spans="1:104" x14ac:dyDescent="0.25">
      <c r="A142" t="s">
        <v>1426</v>
      </c>
    </row>
    <row r="150" spans="1:104" ht="13" x14ac:dyDescent="0.3">
      <c r="A150" s="1481" t="s">
        <v>1290</v>
      </c>
      <c r="B150" s="1482" t="s">
        <v>1425</v>
      </c>
      <c r="C150" s="1481"/>
      <c r="D150" s="1481"/>
      <c r="E150" s="1481"/>
      <c r="F150" s="1481"/>
      <c r="G150" s="1481"/>
      <c r="H150" s="1481"/>
      <c r="I150" s="1481"/>
      <c r="J150" s="1481"/>
      <c r="K150" s="1481"/>
      <c r="L150" s="1481"/>
      <c r="M150" s="1481"/>
      <c r="N150" s="1481"/>
      <c r="O150" s="1481"/>
      <c r="P150" s="1481"/>
      <c r="Q150" s="1481"/>
      <c r="R150" s="1481"/>
      <c r="S150" s="1481"/>
      <c r="T150" s="1481"/>
      <c r="U150" s="1481"/>
      <c r="V150" s="1481"/>
      <c r="W150" s="1481"/>
      <c r="X150" s="1481"/>
      <c r="Y150" s="1481"/>
      <c r="Z150" s="1481"/>
      <c r="AA150" s="1481"/>
      <c r="AB150" s="1481"/>
      <c r="AC150" s="1481"/>
      <c r="AD150" s="1481"/>
      <c r="AE150" s="1481"/>
      <c r="AF150" s="1481"/>
      <c r="AG150" s="1481"/>
      <c r="AH150" s="1481"/>
      <c r="AI150" s="1481"/>
      <c r="AJ150" s="1481"/>
      <c r="AK150" s="1481"/>
      <c r="AL150" s="1481"/>
      <c r="AM150" s="1481"/>
      <c r="AN150" s="1481"/>
      <c r="AO150" s="1481"/>
      <c r="AP150" s="1481"/>
      <c r="AQ150" s="1481"/>
      <c r="AR150" s="1481"/>
      <c r="AS150" s="1481"/>
      <c r="AT150" s="1481"/>
      <c r="AU150" s="1481"/>
      <c r="AV150" s="1481"/>
      <c r="AW150" s="1481"/>
      <c r="AX150" s="1481"/>
      <c r="AY150" s="1481"/>
      <c r="AZ150" s="1481"/>
      <c r="BA150" s="1481"/>
      <c r="BB150" s="1481" t="s">
        <v>1291</v>
      </c>
      <c r="BC150" s="1481"/>
      <c r="BD150" s="1481"/>
      <c r="BE150" s="1481"/>
      <c r="BF150" s="1481"/>
      <c r="BG150" s="1481"/>
      <c r="BH150" s="1481"/>
      <c r="BI150" s="1481"/>
      <c r="BJ150" s="1481"/>
      <c r="BK150" s="1481"/>
      <c r="BL150" s="1481"/>
      <c r="BM150" s="1481"/>
      <c r="BN150" s="1481"/>
      <c r="BO150" s="1481"/>
      <c r="BP150" s="1481"/>
      <c r="BQ150" s="1481"/>
      <c r="BR150" s="1481"/>
      <c r="BS150" s="1481"/>
      <c r="BT150" s="1481"/>
      <c r="BU150" s="1481"/>
      <c r="BV150" s="1481"/>
      <c r="BW150" s="1481"/>
      <c r="BX150" s="1481"/>
      <c r="BY150" s="1481"/>
      <c r="BZ150" s="1481"/>
      <c r="CA150" s="1481"/>
      <c r="CB150" s="1481"/>
      <c r="CC150" s="1481"/>
      <c r="CD150" s="1481"/>
      <c r="CE150" s="1481"/>
      <c r="CF150" s="1481"/>
      <c r="CG150" s="1481"/>
      <c r="CH150" s="1481"/>
      <c r="CI150" s="1481"/>
      <c r="CJ150" s="1481"/>
      <c r="CK150" s="1481"/>
      <c r="CL150" s="1481"/>
      <c r="CM150" s="1481"/>
      <c r="CN150" s="1481"/>
      <c r="CO150" s="1481"/>
      <c r="CP150" s="1481"/>
      <c r="CQ150" s="1481"/>
      <c r="CR150" s="1481"/>
      <c r="CS150" s="1481"/>
      <c r="CT150" s="1481"/>
      <c r="CU150" s="1481"/>
      <c r="CV150" s="1481"/>
      <c r="CW150" s="1481"/>
      <c r="CX150" s="1481"/>
      <c r="CY150" s="1481"/>
      <c r="CZ150" s="1481"/>
    </row>
    <row r="151" spans="1:104" x14ac:dyDescent="0.25">
      <c r="A151" s="1483" t="s">
        <v>1084</v>
      </c>
      <c r="B151" s="1484" t="s">
        <v>678</v>
      </c>
      <c r="C151" s="1484" t="s">
        <v>679</v>
      </c>
      <c r="D151" s="1484" t="s">
        <v>690</v>
      </c>
      <c r="E151" s="1484" t="s">
        <v>691</v>
      </c>
      <c r="F151" s="1484" t="s">
        <v>680</v>
      </c>
      <c r="G151" s="1484" t="s">
        <v>692</v>
      </c>
      <c r="H151" s="1484">
        <v>2004</v>
      </c>
      <c r="I151" s="1484">
        <v>2005</v>
      </c>
      <c r="J151" s="1484">
        <v>2006</v>
      </c>
      <c r="K151" s="1484">
        <v>2007</v>
      </c>
      <c r="L151" s="1484">
        <v>2008</v>
      </c>
      <c r="M151" s="1484">
        <v>2009</v>
      </c>
      <c r="N151" s="1484">
        <v>2010</v>
      </c>
      <c r="O151" s="1484">
        <v>2011</v>
      </c>
      <c r="P151" s="1484">
        <v>2012</v>
      </c>
      <c r="Q151" s="1484">
        <v>2013</v>
      </c>
      <c r="R151" s="1484">
        <v>2014</v>
      </c>
      <c r="S151" s="1484">
        <v>2015</v>
      </c>
      <c r="T151" s="1484">
        <v>2016</v>
      </c>
      <c r="U151" s="1484">
        <v>2017</v>
      </c>
      <c r="V151" s="1484">
        <v>2018</v>
      </c>
      <c r="W151" s="1484">
        <v>2019</v>
      </c>
      <c r="X151" s="1484">
        <v>2020</v>
      </c>
      <c r="Y151" s="1484">
        <v>2021</v>
      </c>
      <c r="Z151" s="1484">
        <v>2022</v>
      </c>
      <c r="AA151" s="1484">
        <v>2023</v>
      </c>
      <c r="AB151" s="1484">
        <v>2024</v>
      </c>
      <c r="AC151" s="1484">
        <v>2025</v>
      </c>
      <c r="AD151" s="1484">
        <v>2026</v>
      </c>
      <c r="AE151" s="1484">
        <v>2027</v>
      </c>
      <c r="AF151" s="1484">
        <v>2028</v>
      </c>
      <c r="AG151" s="1484">
        <v>2029</v>
      </c>
      <c r="AH151" s="1484">
        <v>2030</v>
      </c>
      <c r="AI151" s="1484">
        <v>2031</v>
      </c>
      <c r="AJ151" s="1484">
        <v>2032</v>
      </c>
      <c r="AK151" s="1484">
        <v>2033</v>
      </c>
      <c r="AL151" s="1484">
        <v>2034</v>
      </c>
      <c r="AM151" s="1484">
        <v>2035</v>
      </c>
      <c r="AN151" s="1484">
        <v>2036</v>
      </c>
      <c r="AO151" s="1484">
        <v>2037</v>
      </c>
      <c r="AP151" s="1484">
        <v>2038</v>
      </c>
      <c r="AQ151" s="1484">
        <v>2039</v>
      </c>
      <c r="AR151" s="1484">
        <v>2040</v>
      </c>
      <c r="AS151" s="1484">
        <v>2041</v>
      </c>
      <c r="AT151" s="1484">
        <v>2042</v>
      </c>
      <c r="AU151" s="1484">
        <v>2043</v>
      </c>
      <c r="AV151" s="1484">
        <v>2044</v>
      </c>
      <c r="AW151" s="1484">
        <v>2045</v>
      </c>
      <c r="AX151" s="1484">
        <v>2046</v>
      </c>
      <c r="AY151" s="1484">
        <v>2047</v>
      </c>
      <c r="AZ151" s="1484">
        <v>2048</v>
      </c>
      <c r="BA151" s="1484">
        <v>2049</v>
      </c>
      <c r="BB151" s="1484">
        <v>2050</v>
      </c>
      <c r="BC151" s="1484">
        <v>2051</v>
      </c>
      <c r="BD151" s="1484">
        <v>2052</v>
      </c>
      <c r="BE151" s="1484">
        <v>2053</v>
      </c>
      <c r="BF151" s="1484">
        <v>2054</v>
      </c>
      <c r="BG151" s="1484">
        <v>2055</v>
      </c>
      <c r="BH151" s="1484">
        <v>2056</v>
      </c>
      <c r="BI151" s="1484">
        <v>2057</v>
      </c>
      <c r="BJ151" s="1484">
        <v>2058</v>
      </c>
      <c r="BK151" s="1484">
        <v>2059</v>
      </c>
      <c r="BL151" s="1484">
        <v>2060</v>
      </c>
      <c r="BM151" s="1484">
        <v>2061</v>
      </c>
      <c r="BN151" s="1484">
        <v>2062</v>
      </c>
      <c r="BO151" s="1484">
        <v>2063</v>
      </c>
      <c r="BP151" s="1484">
        <v>2064</v>
      </c>
      <c r="BQ151" s="1484">
        <v>2065</v>
      </c>
      <c r="BR151" s="1484">
        <v>2066</v>
      </c>
      <c r="BS151" s="1484">
        <v>2067</v>
      </c>
      <c r="BT151" s="1484">
        <v>2068</v>
      </c>
      <c r="BU151" s="1484">
        <v>2069</v>
      </c>
      <c r="BV151" s="1484">
        <v>2070</v>
      </c>
      <c r="BW151" s="1484">
        <v>2071</v>
      </c>
      <c r="BX151" s="1484">
        <v>2072</v>
      </c>
      <c r="BY151" s="1484">
        <v>2073</v>
      </c>
      <c r="BZ151" s="1484">
        <v>2074</v>
      </c>
      <c r="CA151" s="1484">
        <v>2075</v>
      </c>
      <c r="CB151" s="1484">
        <v>2076</v>
      </c>
      <c r="CC151" s="1484">
        <v>2077</v>
      </c>
      <c r="CD151" s="1484">
        <v>2078</v>
      </c>
      <c r="CE151" s="1484">
        <v>2079</v>
      </c>
      <c r="CF151" s="1484">
        <v>2080</v>
      </c>
      <c r="CG151" s="1484">
        <v>2081</v>
      </c>
      <c r="CH151" s="1484">
        <v>2082</v>
      </c>
      <c r="CI151" s="1484">
        <v>2083</v>
      </c>
      <c r="CJ151" s="1484">
        <v>2084</v>
      </c>
      <c r="CK151" s="1484">
        <v>2085</v>
      </c>
      <c r="CL151" s="1484">
        <v>2086</v>
      </c>
      <c r="CM151" s="1484">
        <v>2087</v>
      </c>
      <c r="CN151" s="1484">
        <v>2088</v>
      </c>
      <c r="CO151" s="1484">
        <v>2089</v>
      </c>
      <c r="CP151" s="1484">
        <v>2090</v>
      </c>
      <c r="CQ151" s="1484">
        <v>2091</v>
      </c>
      <c r="CR151" s="1484">
        <v>2092</v>
      </c>
      <c r="CS151" s="1484">
        <v>2093</v>
      </c>
      <c r="CT151" s="1484">
        <v>2094</v>
      </c>
      <c r="CU151" s="1484">
        <v>2095</v>
      </c>
      <c r="CV151" s="1484">
        <v>2096</v>
      </c>
      <c r="CW151" s="1484">
        <v>2097</v>
      </c>
      <c r="CX151" s="1484">
        <v>2098</v>
      </c>
      <c r="CY151" s="1484">
        <v>2099</v>
      </c>
      <c r="CZ151" s="1485">
        <v>2100</v>
      </c>
    </row>
    <row r="152" spans="1:104" x14ac:dyDescent="0.25">
      <c r="A152" s="1486" t="s">
        <v>1090</v>
      </c>
      <c r="B152" s="1487"/>
      <c r="C152" s="1487"/>
      <c r="D152" s="1487"/>
      <c r="E152" s="1487"/>
      <c r="F152" s="1487"/>
      <c r="G152" s="1487"/>
      <c r="H152" s="1487"/>
      <c r="I152" s="1487"/>
      <c r="J152" s="1487"/>
      <c r="K152" s="1487"/>
      <c r="L152" s="1487"/>
      <c r="M152" s="1487"/>
      <c r="N152" s="1487"/>
      <c r="O152" s="1487"/>
      <c r="P152" s="1487"/>
      <c r="Q152" s="1487"/>
      <c r="R152" s="1487"/>
      <c r="S152" s="1487"/>
      <c r="T152" s="1487"/>
      <c r="U152" s="1487"/>
      <c r="V152" s="1487"/>
      <c r="W152" s="1487"/>
      <c r="X152" s="1487"/>
      <c r="Y152" s="1487"/>
      <c r="Z152" s="1487"/>
      <c r="AA152" s="1487"/>
      <c r="AB152" s="1487"/>
      <c r="AC152" s="1487"/>
      <c r="AD152" s="1487"/>
      <c r="AE152" s="1487"/>
      <c r="AF152" s="1487"/>
      <c r="AG152" s="1487"/>
      <c r="AH152" s="1487"/>
      <c r="AI152" s="1487"/>
      <c r="AJ152" s="1487"/>
      <c r="AK152" s="1487"/>
      <c r="AL152" s="1487"/>
      <c r="AM152" s="1487"/>
      <c r="AN152" s="1487"/>
      <c r="AO152" s="1487"/>
      <c r="AP152" s="1487"/>
      <c r="AQ152" s="1487"/>
      <c r="AR152" s="1487"/>
      <c r="AS152" s="1487"/>
      <c r="AT152" s="1487"/>
      <c r="AU152" s="1487"/>
      <c r="AV152" s="1487"/>
      <c r="AW152" s="1487"/>
      <c r="AX152" s="1487"/>
      <c r="AY152" s="1487"/>
      <c r="AZ152" s="1487"/>
      <c r="BA152" s="1487"/>
      <c r="BB152" s="1487"/>
      <c r="BC152" s="1487"/>
      <c r="BD152" s="1487"/>
      <c r="BE152" s="1487"/>
      <c r="BF152" s="1487"/>
      <c r="BG152" s="1487"/>
      <c r="BH152" s="1487"/>
      <c r="BI152" s="1487"/>
      <c r="BJ152" s="1487"/>
      <c r="BK152" s="1487"/>
      <c r="BL152" s="1487"/>
      <c r="BM152" s="1487"/>
      <c r="BN152" s="1487"/>
      <c r="BO152" s="1487"/>
      <c r="BP152" s="1487"/>
      <c r="BQ152" s="1487"/>
      <c r="BR152" s="1487"/>
      <c r="BS152" s="1487"/>
      <c r="BT152" s="1487"/>
      <c r="BU152" s="1487"/>
      <c r="BV152" s="1487"/>
      <c r="BW152" s="1487"/>
      <c r="BX152" s="1487"/>
      <c r="BY152" s="1487"/>
      <c r="BZ152" s="1487"/>
      <c r="CA152" s="1487"/>
      <c r="CB152" s="1487"/>
      <c r="CC152" s="1487"/>
      <c r="CD152" s="1487"/>
      <c r="CE152" s="1487"/>
      <c r="CF152" s="1487"/>
      <c r="CG152" s="1487"/>
      <c r="CH152" s="1487"/>
      <c r="CI152" s="1487"/>
      <c r="CJ152" s="1487"/>
      <c r="CK152" s="1487"/>
      <c r="CL152" s="1487"/>
      <c r="CM152" s="1487"/>
      <c r="CN152" s="1487"/>
      <c r="CO152" s="1487"/>
      <c r="CP152" s="1487"/>
      <c r="CQ152" s="1487"/>
      <c r="CR152" s="1487"/>
      <c r="CS152" s="1487"/>
      <c r="CT152" s="1487"/>
      <c r="CU152" s="1487"/>
      <c r="CV152" s="1487"/>
      <c r="CW152" s="1487"/>
      <c r="CX152" s="1487"/>
      <c r="CY152" s="1487"/>
      <c r="CZ152" s="1488"/>
    </row>
    <row r="153" spans="1:104" x14ac:dyDescent="0.25">
      <c r="A153" s="1486" t="s">
        <v>681</v>
      </c>
      <c r="B153" s="1487"/>
      <c r="C153" s="1487"/>
      <c r="D153" s="1487"/>
      <c r="E153" s="1487"/>
      <c r="F153" s="1487"/>
      <c r="G153" s="1487"/>
      <c r="H153" s="1487">
        <v>13.604875014867702</v>
      </c>
      <c r="I153" s="1487">
        <v>15.571757228276402</v>
      </c>
      <c r="J153" s="1487">
        <v>16.331995797204218</v>
      </c>
      <c r="K153" s="1487">
        <v>15.155672177020728</v>
      </c>
      <c r="L153" s="1487">
        <v>15.783516201764996</v>
      </c>
      <c r="M153" s="1487">
        <v>13.69149010361817</v>
      </c>
      <c r="N153" s="1487">
        <v>12.691188457250465</v>
      </c>
      <c r="O153" s="1487">
        <v>12.04142243701838</v>
      </c>
      <c r="P153" s="1487">
        <v>11.415954621928984</v>
      </c>
      <c r="Q153" s="1487">
        <v>10.886628367710442</v>
      </c>
      <c r="R153" s="1487">
        <v>11.368469484946878</v>
      </c>
      <c r="S153" s="1487">
        <v>9.7183315387998359</v>
      </c>
      <c r="T153" s="1487">
        <v>9.390001099467705</v>
      </c>
      <c r="U153" s="1487">
        <v>10.023002570479671</v>
      </c>
      <c r="V153" s="1487">
        <v>10.033707215541167</v>
      </c>
      <c r="W153" s="1487">
        <v>10.158951752324048</v>
      </c>
      <c r="X153" s="1487">
        <v>10.289627280447673</v>
      </c>
      <c r="Y153" s="1487">
        <v>10.38663350570965</v>
      </c>
      <c r="Z153" s="1487">
        <v>10.458822090960101</v>
      </c>
      <c r="AA153" s="1487">
        <v>10.541361785535555</v>
      </c>
      <c r="AB153" s="1487">
        <v>10.671303703310535</v>
      </c>
      <c r="AC153" s="1487">
        <v>10.821196220864106</v>
      </c>
      <c r="AD153" s="1487">
        <v>10.961130973142659</v>
      </c>
      <c r="AE153" s="1487">
        <v>11.387951919139837</v>
      </c>
      <c r="AF153" s="1487">
        <v>11.524366479125279</v>
      </c>
      <c r="AG153" s="1487">
        <v>11.653679994237272</v>
      </c>
      <c r="AH153" s="1487">
        <v>11.727599293307653</v>
      </c>
      <c r="AI153" s="1487">
        <v>11.827238554162054</v>
      </c>
      <c r="AJ153" s="1487">
        <v>11.877874728924342</v>
      </c>
      <c r="AK153" s="1487">
        <v>11.891573527850655</v>
      </c>
      <c r="AL153" s="1487">
        <v>11.9827791131466</v>
      </c>
      <c r="AM153" s="1487">
        <v>12.163475682807357</v>
      </c>
      <c r="AN153" s="1487">
        <v>12.259449735369497</v>
      </c>
      <c r="AO153" s="1487">
        <v>12.356256919064013</v>
      </c>
      <c r="AP153" s="1487">
        <v>12.41256198723101</v>
      </c>
      <c r="AQ153" s="1487">
        <v>12.490714236969412</v>
      </c>
      <c r="AR153" s="1487">
        <v>12.496378391289182</v>
      </c>
      <c r="AS153" s="1487">
        <v>12.55376491863939</v>
      </c>
      <c r="AT153" s="1487">
        <v>12.651412816002184</v>
      </c>
      <c r="AU153" s="1487">
        <v>12.770777096192051</v>
      </c>
      <c r="AV153" s="1487">
        <v>12.886454368298935</v>
      </c>
      <c r="AW153" s="1487">
        <v>13.010888521557151</v>
      </c>
      <c r="AX153" s="1487">
        <v>13.118997475015544</v>
      </c>
      <c r="AY153" s="1487">
        <v>13.217679440712152</v>
      </c>
      <c r="AZ153" s="1487">
        <v>13.363983523149482</v>
      </c>
      <c r="BA153" s="1487">
        <v>13.453606254075613</v>
      </c>
      <c r="BB153" s="1487">
        <v>13.593337225701765</v>
      </c>
      <c r="BC153" s="1487">
        <v>13.668907227280409</v>
      </c>
      <c r="BD153" s="1487">
        <v>13.744897348292845</v>
      </c>
      <c r="BE153" s="1487">
        <v>13.821309924326409</v>
      </c>
      <c r="BF153" s="1487">
        <v>13.898147303952761</v>
      </c>
      <c r="BG153" s="1487">
        <v>13.975411848800078</v>
      </c>
      <c r="BH153" s="1487">
        <v>14.050424531225174</v>
      </c>
      <c r="BI153" s="1487">
        <v>14.12583984239463</v>
      </c>
      <c r="BJ153" s="1487">
        <v>14.201659943408417</v>
      </c>
      <c r="BK153" s="1487">
        <v>14.277887006966159</v>
      </c>
      <c r="BL153" s="1487">
        <v>14.354523217429389</v>
      </c>
      <c r="BM153" s="1487">
        <v>14.422221698840277</v>
      </c>
      <c r="BN153" s="1487">
        <v>14.490239458315362</v>
      </c>
      <c r="BO153" s="1487">
        <v>14.558578001626712</v>
      </c>
      <c r="BP153" s="1487">
        <v>14.627238841647882</v>
      </c>
      <c r="BQ153" s="1487">
        <v>14.696223498387408</v>
      </c>
      <c r="BR153" s="1487">
        <v>14.75529333521281</v>
      </c>
      <c r="BS153" s="1487">
        <v>14.814600596681556</v>
      </c>
      <c r="BT153" s="1487">
        <v>14.874146237095607</v>
      </c>
      <c r="BU153" s="1487">
        <v>14.933931214592636</v>
      </c>
      <c r="BV153" s="1487">
        <v>14.993956491161448</v>
      </c>
      <c r="BW153" s="1487">
        <v>15.043740835540882</v>
      </c>
      <c r="BX153" s="1487">
        <v>15.093690478582264</v>
      </c>
      <c r="BY153" s="1487">
        <v>15.143805969125756</v>
      </c>
      <c r="BZ153" s="1487">
        <v>15.19408785783383</v>
      </c>
      <c r="CA153" s="1487">
        <v>15.244536697197322</v>
      </c>
      <c r="CB153" s="1487">
        <v>15.277067444573643</v>
      </c>
      <c r="CC153" s="1487">
        <v>15.309667610230484</v>
      </c>
      <c r="CD153" s="1487">
        <v>15.342337342301477</v>
      </c>
      <c r="CE153" s="1487">
        <v>15.375076789236356</v>
      </c>
      <c r="CF153" s="1487">
        <v>15.407886099801638</v>
      </c>
      <c r="CG153" s="1487">
        <v>15.41853907481957</v>
      </c>
      <c r="CH153" s="1487">
        <v>15.42919941527855</v>
      </c>
      <c r="CI153" s="1487">
        <v>15.439867126271025</v>
      </c>
      <c r="CJ153" s="1487">
        <v>15.450542212892964</v>
      </c>
      <c r="CK153" s="1487">
        <v>15.461224680243861</v>
      </c>
      <c r="CL153" s="1487">
        <v>15.464845562477739</v>
      </c>
      <c r="CM153" s="1487">
        <v>15.468467292690251</v>
      </c>
      <c r="CN153" s="1487">
        <v>15.472089871079984</v>
      </c>
      <c r="CO153" s="1487">
        <v>15.475713297845573</v>
      </c>
      <c r="CP153" s="1487">
        <v>15.479337573185701</v>
      </c>
      <c r="CQ153" s="1487">
        <v>15.484830510437597</v>
      </c>
      <c r="CR153" s="1487">
        <v>15.490325396891745</v>
      </c>
      <c r="CS153" s="1487">
        <v>15.49582223323983</v>
      </c>
      <c r="CT153" s="1487">
        <v>15.501321020173785</v>
      </c>
      <c r="CU153" s="1487">
        <v>15.506821758385787</v>
      </c>
      <c r="CV153" s="1487">
        <v>15.515287417782641</v>
      </c>
      <c r="CW153" s="1487">
        <v>15.523757698847955</v>
      </c>
      <c r="CX153" s="1487">
        <v>15.532232604104841</v>
      </c>
      <c r="CY153" s="1487">
        <v>15.540712136077792</v>
      </c>
      <c r="CZ153" s="1488">
        <v>15.549196297292674</v>
      </c>
    </row>
    <row r="154" spans="1:104" x14ac:dyDescent="0.25">
      <c r="A154" s="1486" t="s">
        <v>1085</v>
      </c>
      <c r="B154" s="1487"/>
      <c r="C154" s="1487"/>
      <c r="D154" s="1487"/>
      <c r="E154" s="1487"/>
      <c r="F154" s="1487"/>
      <c r="G154" s="1487"/>
      <c r="H154" s="1487">
        <v>11.934322920018829</v>
      </c>
      <c r="I154" s="1487">
        <v>13.90423046997279</v>
      </c>
      <c r="J154" s="1487">
        <v>14.274140536522257</v>
      </c>
      <c r="K154" s="1487">
        <v>13.139550648884942</v>
      </c>
      <c r="L154" s="1487">
        <v>13.897221248926272</v>
      </c>
      <c r="M154" s="1487">
        <v>11.345666428533674</v>
      </c>
      <c r="N154" s="1487">
        <v>10.551848524158197</v>
      </c>
      <c r="O154" s="1487">
        <v>9.7270239269114924</v>
      </c>
      <c r="P154" s="1487">
        <v>8.6825570363966911</v>
      </c>
      <c r="Q154" s="1487">
        <v>8.5236392646415098</v>
      </c>
      <c r="R154" s="1487">
        <v>9.2232797097563566</v>
      </c>
      <c r="S154" s="1487">
        <v>7.6085885488542795</v>
      </c>
      <c r="T154" s="1487">
        <v>6.813801352724405</v>
      </c>
      <c r="U154" s="1487">
        <v>7.4731047451509687</v>
      </c>
      <c r="V154" s="1487">
        <v>7.9843107853990691</v>
      </c>
      <c r="W154" s="1487">
        <v>8.5650780622071245</v>
      </c>
      <c r="X154" s="1487">
        <v>9.1477570858798014</v>
      </c>
      <c r="Y154" s="1487">
        <v>9.2514909161219876</v>
      </c>
      <c r="Z154" s="1487">
        <v>9.3094669856386769</v>
      </c>
      <c r="AA154" s="1487">
        <v>9.3761326413005577</v>
      </c>
      <c r="AB154" s="1487">
        <v>9.4891655040111615</v>
      </c>
      <c r="AC154" s="1487">
        <v>9.6143446414218783</v>
      </c>
      <c r="AD154" s="1487">
        <v>9.7258827967425425</v>
      </c>
      <c r="AE154" s="1487">
        <v>10.087086372666475</v>
      </c>
      <c r="AF154" s="1487">
        <v>10.198695614261233</v>
      </c>
      <c r="AG154" s="1487">
        <v>10.304737378868989</v>
      </c>
      <c r="AH154" s="1487">
        <v>10.357640731866367</v>
      </c>
      <c r="AI154" s="1487">
        <v>10.427655972763532</v>
      </c>
      <c r="AJ154" s="1487">
        <v>10.453569289213085</v>
      </c>
      <c r="AK154" s="1487">
        <v>10.441948105124277</v>
      </c>
      <c r="AL154" s="1487">
        <v>10.506270757192036</v>
      </c>
      <c r="AM154" s="1487">
        <v>10.658282593530579</v>
      </c>
      <c r="AN154" s="1487">
        <v>10.722901912315555</v>
      </c>
      <c r="AO154" s="1487">
        <v>10.786351624937444</v>
      </c>
      <c r="AP154" s="1487">
        <v>10.817805879498341</v>
      </c>
      <c r="AQ154" s="1487">
        <v>10.86596540847121</v>
      </c>
      <c r="AR154" s="1487">
        <v>10.838793391061706</v>
      </c>
      <c r="AS154" s="1487">
        <v>10.868085675073171</v>
      </c>
      <c r="AT154" s="1487">
        <v>10.937640276914211</v>
      </c>
      <c r="AU154" s="1487">
        <v>11.027299024885883</v>
      </c>
      <c r="AV154" s="1487">
        <v>11.114692490256441</v>
      </c>
      <c r="AW154" s="1487">
        <v>11.212257927541287</v>
      </c>
      <c r="AX154" s="1487">
        <v>11.293368314098968</v>
      </c>
      <c r="AY154" s="1487">
        <v>11.35816487466068</v>
      </c>
      <c r="AZ154" s="1487">
        <v>11.46581792814789</v>
      </c>
      <c r="BA154" s="1487">
        <v>11.521194135666732</v>
      </c>
      <c r="BB154" s="1487">
        <v>11.628119265707223</v>
      </c>
      <c r="BC154" s="1487">
        <v>11.692763949840026</v>
      </c>
      <c r="BD154" s="1487">
        <v>11.757768015837698</v>
      </c>
      <c r="BE154" s="1487">
        <v>11.823133461626696</v>
      </c>
      <c r="BF154" s="1487">
        <v>11.888862296240635</v>
      </c>
      <c r="BG154" s="1487">
        <v>11.954956539882032</v>
      </c>
      <c r="BH154" s="1487">
        <v>12.019124477688386</v>
      </c>
      <c r="BI154" s="1487">
        <v>12.083636835336717</v>
      </c>
      <c r="BJ154" s="1487">
        <v>12.148495461492134</v>
      </c>
      <c r="BK154" s="1487">
        <v>12.213702214742405</v>
      </c>
      <c r="BL154" s="1487">
        <v>12.279258963651227</v>
      </c>
      <c r="BM154" s="1487">
        <v>12.337170130194249</v>
      </c>
      <c r="BN154" s="1487">
        <v>12.395354416085945</v>
      </c>
      <c r="BO154" s="1487">
        <v>12.453813109405683</v>
      </c>
      <c r="BP154" s="1487">
        <v>12.512547504307637</v>
      </c>
      <c r="BQ154" s="1487">
        <v>12.571558901049444</v>
      </c>
      <c r="BR154" s="1487">
        <v>12.622088884688262</v>
      </c>
      <c r="BS154" s="1487">
        <v>12.672821967979766</v>
      </c>
      <c r="BT154" s="1487">
        <v>12.723758967260437</v>
      </c>
      <c r="BU154" s="1487">
        <v>12.774900702147928</v>
      </c>
      <c r="BV154" s="1487">
        <v>12.826247995554251</v>
      </c>
      <c r="BW154" s="1487">
        <v>12.868834910334423</v>
      </c>
      <c r="BX154" s="1487">
        <v>12.911563226193937</v>
      </c>
      <c r="BY154" s="1487">
        <v>12.954433412625956</v>
      </c>
      <c r="BZ154" s="1487">
        <v>12.997445940682496</v>
      </c>
      <c r="CA154" s="1487">
        <v>13.040601282979605</v>
      </c>
      <c r="CB154" s="1487">
        <v>13.06842899033459</v>
      </c>
      <c r="CC154" s="1487">
        <v>13.096316080020177</v>
      </c>
      <c r="CD154" s="1487">
        <v>13.124262678753999</v>
      </c>
      <c r="CE154" s="1487">
        <v>13.152268913524093</v>
      </c>
      <c r="CF154" s="1487">
        <v>13.180334911589481</v>
      </c>
      <c r="CG154" s="1487">
        <v>13.189447763127433</v>
      </c>
      <c r="CH154" s="1487">
        <v>13.198566915268799</v>
      </c>
      <c r="CI154" s="1487">
        <v>13.207692372369801</v>
      </c>
      <c r="CJ154" s="1487">
        <v>13.216824138789674</v>
      </c>
      <c r="CK154" s="1487">
        <v>13.225962218890665</v>
      </c>
      <c r="CL154" s="1487">
        <v>13.22905962240266</v>
      </c>
      <c r="CM154" s="1487">
        <v>13.232157751299196</v>
      </c>
      <c r="CN154" s="1487">
        <v>13.23525660575015</v>
      </c>
      <c r="CO154" s="1487">
        <v>13.23835618592544</v>
      </c>
      <c r="CP154" s="1487">
        <v>13.241456491995026</v>
      </c>
      <c r="CQ154" s="1487">
        <v>13.246155303510076</v>
      </c>
      <c r="CR154" s="1487">
        <v>13.250855782427021</v>
      </c>
      <c r="CS154" s="1487">
        <v>13.255557929337549</v>
      </c>
      <c r="CT154" s="1487">
        <v>13.260261744833558</v>
      </c>
      <c r="CU154" s="1487">
        <v>13.264967229507157</v>
      </c>
      <c r="CV154" s="1487">
        <v>13.272208990341527</v>
      </c>
      <c r="CW154" s="1487">
        <v>13.279454704679821</v>
      </c>
      <c r="CX154" s="1487">
        <v>13.286704374680379</v>
      </c>
      <c r="CY154" s="1487">
        <v>13.293958002502723</v>
      </c>
      <c r="CZ154" s="1488">
        <v>13.30121559030755</v>
      </c>
    </row>
    <row r="155" spans="1:104" x14ac:dyDescent="0.25">
      <c r="A155" s="1486" t="s">
        <v>283</v>
      </c>
      <c r="B155" s="1487"/>
      <c r="C155" s="1487"/>
      <c r="D155" s="1487"/>
      <c r="E155" s="1487"/>
      <c r="F155" s="1487"/>
      <c r="G155" s="1487"/>
      <c r="H155" s="1487">
        <v>8.2641705904266125</v>
      </c>
      <c r="I155" s="1487">
        <v>10.495609596381577</v>
      </c>
      <c r="J155" s="1487">
        <v>9.3614571685358463</v>
      </c>
      <c r="K155" s="1487">
        <v>8.8987432965993278</v>
      </c>
      <c r="L155" s="1487">
        <v>10.965509816201024</v>
      </c>
      <c r="M155" s="1487">
        <v>6.0111731674040234</v>
      </c>
      <c r="N155" s="1487">
        <v>6.1171751211856922</v>
      </c>
      <c r="O155" s="1487">
        <v>5.6004077154944953</v>
      </c>
      <c r="P155" s="1487">
        <v>4.1590520124961925</v>
      </c>
      <c r="Q155" s="1487">
        <v>4.894763142071362</v>
      </c>
      <c r="R155" s="1487">
        <v>5.8241384234641265</v>
      </c>
      <c r="S155" s="1487">
        <v>3.5390282601113117</v>
      </c>
      <c r="T155" s="1487">
        <v>3.3168400539876552</v>
      </c>
      <c r="U155" s="1487">
        <v>3.8686572087168831</v>
      </c>
      <c r="V155" s="1487">
        <v>4.230424735748624</v>
      </c>
      <c r="W155" s="1487">
        <v>4.6374903322667231</v>
      </c>
      <c r="X155" s="1487">
        <v>5.0398775041324821</v>
      </c>
      <c r="Y155" s="1487">
        <v>5.0452222441273262</v>
      </c>
      <c r="Z155" s="1487">
        <v>4.9894479534735598</v>
      </c>
      <c r="AA155" s="1487">
        <v>5.0008757828968315</v>
      </c>
      <c r="AB155" s="1487">
        <v>5.0866427943161305</v>
      </c>
      <c r="AC155" s="1487">
        <v>5.1985543895300337</v>
      </c>
      <c r="AD155" s="1487">
        <v>5.3142743134013735</v>
      </c>
      <c r="AE155" s="1487">
        <v>5.4069765017212355</v>
      </c>
      <c r="AF155" s="1487">
        <v>5.498883471588238</v>
      </c>
      <c r="AG155" s="1487">
        <v>5.5761078084954727</v>
      </c>
      <c r="AH155" s="1487">
        <v>5.5953977798334869</v>
      </c>
      <c r="AI155" s="1487">
        <v>5.6194116710392619</v>
      </c>
      <c r="AJ155" s="1487">
        <v>5.6053299540498323</v>
      </c>
      <c r="AK155" s="1487">
        <v>5.5496627667157004</v>
      </c>
      <c r="AL155" s="1487">
        <v>5.5482476759527453</v>
      </c>
      <c r="AM155" s="1487">
        <v>5.6344516310034729</v>
      </c>
      <c r="AN155" s="1487">
        <v>5.6381945602887429</v>
      </c>
      <c r="AO155" s="1487">
        <v>5.6485162872871211</v>
      </c>
      <c r="AP155" s="1487">
        <v>5.6430123140383071</v>
      </c>
      <c r="AQ155" s="1487">
        <v>5.6644386648670784</v>
      </c>
      <c r="AR155" s="1487">
        <v>5.6215300420072483</v>
      </c>
      <c r="AS155" s="1487">
        <v>5.6260767200982693</v>
      </c>
      <c r="AT155" s="1487">
        <v>5.6802473044084865</v>
      </c>
      <c r="AU155" s="1487">
        <v>5.7631623345111542</v>
      </c>
      <c r="AV155" s="1487">
        <v>5.819991545472468</v>
      </c>
      <c r="AW155" s="1487">
        <v>5.8947240715184783</v>
      </c>
      <c r="AX155" s="1487">
        <v>5.9518546882819487</v>
      </c>
      <c r="AY155" s="1487">
        <v>6.0145186606208574</v>
      </c>
      <c r="AZ155" s="1487">
        <v>6.1247620979360331</v>
      </c>
      <c r="BA155" s="1487">
        <v>6.1606322318436177</v>
      </c>
      <c r="BB155" s="1487">
        <v>6.238633778680942</v>
      </c>
      <c r="BC155" s="1487">
        <v>6.2733164733478626</v>
      </c>
      <c r="BD155" s="1487">
        <v>6.3081919809530058</v>
      </c>
      <c r="BE155" s="1487">
        <v>6.3432613734093088</v>
      </c>
      <c r="BF155" s="1487">
        <v>6.3785257285888406</v>
      </c>
      <c r="BG155" s="1487">
        <v>6.4139861303559274</v>
      </c>
      <c r="BH155" s="1487">
        <v>6.4484130445592944</v>
      </c>
      <c r="BI155" s="1487">
        <v>6.4830247443854354</v>
      </c>
      <c r="BJ155" s="1487">
        <v>6.5178222216666768</v>
      </c>
      <c r="BK155" s="1487">
        <v>6.5528064735589808</v>
      </c>
      <c r="BL155" s="1487">
        <v>6.5879785025705191</v>
      </c>
      <c r="BM155" s="1487">
        <v>6.6190485794679574</v>
      </c>
      <c r="BN155" s="1487">
        <v>6.6502651883672899</v>
      </c>
      <c r="BO155" s="1487">
        <v>6.6816290203394662</v>
      </c>
      <c r="BP155" s="1487">
        <v>6.7131407697146503</v>
      </c>
      <c r="BQ155" s="1487">
        <v>6.7448011340975915</v>
      </c>
      <c r="BR155" s="1487">
        <v>6.7719111125525773</v>
      </c>
      <c r="BS155" s="1487">
        <v>6.7991300565526132</v>
      </c>
      <c r="BT155" s="1487">
        <v>6.8264584040725946</v>
      </c>
      <c r="BU155" s="1487">
        <v>6.8538965948478108</v>
      </c>
      <c r="BV155" s="1487">
        <v>6.8814450703810159</v>
      </c>
      <c r="BW155" s="1487">
        <v>6.904293491437457</v>
      </c>
      <c r="BX155" s="1487">
        <v>6.9272177759701634</v>
      </c>
      <c r="BY155" s="1487">
        <v>6.9502181758681845</v>
      </c>
      <c r="BZ155" s="1487">
        <v>6.9732949438569127</v>
      </c>
      <c r="CA155" s="1487">
        <v>6.996448333500866</v>
      </c>
      <c r="CB155" s="1487">
        <v>7.0113782521851409</v>
      </c>
      <c r="CC155" s="1487">
        <v>7.0263400302445289</v>
      </c>
      <c r="CD155" s="1487">
        <v>7.0413337356646508</v>
      </c>
      <c r="CE155" s="1487">
        <v>7.0563594365762032</v>
      </c>
      <c r="CF155" s="1487">
        <v>7.0714172012552687</v>
      </c>
      <c r="CG155" s="1487">
        <v>7.0763063619291211</v>
      </c>
      <c r="CH155" s="1487">
        <v>7.0811989029567863</v>
      </c>
      <c r="CI155" s="1487">
        <v>7.0860948266754322</v>
      </c>
      <c r="CJ155" s="1487">
        <v>7.090994135423843</v>
      </c>
      <c r="CK155" s="1487">
        <v>7.0958968315424205</v>
      </c>
      <c r="CL155" s="1487">
        <v>7.0975586278944007</v>
      </c>
      <c r="CM155" s="1487">
        <v>7.0992208134244059</v>
      </c>
      <c r="CN155" s="1487">
        <v>7.1008833882235782</v>
      </c>
      <c r="CO155" s="1487">
        <v>7.1025463523830812</v>
      </c>
      <c r="CP155" s="1487">
        <v>7.1042097059940996</v>
      </c>
      <c r="CQ155" s="1487">
        <v>7.1067306780935082</v>
      </c>
      <c r="CR155" s="1487">
        <v>7.1092525447752264</v>
      </c>
      <c r="CS155" s="1487">
        <v>7.1117753063567024</v>
      </c>
      <c r="CT155" s="1487">
        <v>7.1142989631554965</v>
      </c>
      <c r="CU155" s="1487">
        <v>7.1168235154892816</v>
      </c>
      <c r="CV155" s="1487">
        <v>7.1207088122192239</v>
      </c>
      <c r="CW155" s="1487">
        <v>7.1245962300542702</v>
      </c>
      <c r="CX155" s="1487">
        <v>7.1284857701523974</v>
      </c>
      <c r="CY155" s="1487">
        <v>7.1323774336722154</v>
      </c>
      <c r="CZ155" s="1488">
        <v>7.1362712217729669</v>
      </c>
    </row>
    <row r="156" spans="1:104" x14ac:dyDescent="0.25">
      <c r="A156" s="1486" t="s">
        <v>1086</v>
      </c>
      <c r="B156" s="1487"/>
      <c r="C156" s="1487"/>
      <c r="D156" s="1487"/>
      <c r="E156" s="1487"/>
      <c r="F156" s="1487"/>
      <c r="G156" s="1487"/>
      <c r="H156" s="1487">
        <v>8.4160389626855991</v>
      </c>
      <c r="I156" s="1487">
        <v>10.630483084185546</v>
      </c>
      <c r="J156" s="1487">
        <v>10.241695834954719</v>
      </c>
      <c r="K156" s="1487">
        <v>9.4549147526367854</v>
      </c>
      <c r="L156" s="1487">
        <v>10.431438353650302</v>
      </c>
      <c r="M156" s="1487">
        <v>7.3081429877632402</v>
      </c>
      <c r="N156" s="1487">
        <v>6.8860004096407268</v>
      </c>
      <c r="O156" s="1487">
        <v>6.1462564207083838</v>
      </c>
      <c r="P156" s="1487">
        <v>5.0701845410069568</v>
      </c>
      <c r="Q156" s="1487">
        <v>5.147940545971605</v>
      </c>
      <c r="R156" s="1487">
        <v>5.9174075441245835</v>
      </c>
      <c r="S156" s="1487">
        <v>4.3672641892083037</v>
      </c>
      <c r="T156" s="1487">
        <v>3.755553639162041</v>
      </c>
      <c r="U156" s="1487">
        <v>3.3468214009493336</v>
      </c>
      <c r="V156" s="1487">
        <v>3.6078009129373227</v>
      </c>
      <c r="W156" s="1487">
        <v>3.9595869792693468</v>
      </c>
      <c r="X156" s="1487">
        <v>4.2992239274502966</v>
      </c>
      <c r="Y156" s="1487">
        <v>4.3362295461094007</v>
      </c>
      <c r="Z156" s="1487">
        <v>4.2972619462853157</v>
      </c>
      <c r="AA156" s="1487">
        <v>4.3209431537283329</v>
      </c>
      <c r="AB156" s="1487">
        <v>4.4388231525151278</v>
      </c>
      <c r="AC156" s="1487">
        <v>4.5598555906037213</v>
      </c>
      <c r="AD156" s="1487">
        <v>4.6705511366221319</v>
      </c>
      <c r="AE156" s="1487">
        <v>4.7905826799714895</v>
      </c>
      <c r="AF156" s="1487">
        <v>4.8909868291351355</v>
      </c>
      <c r="AG156" s="1487">
        <v>4.9795195705251665</v>
      </c>
      <c r="AH156" s="1487">
        <v>5.0140428564929254</v>
      </c>
      <c r="AI156" s="1487">
        <v>5.034241784322349</v>
      </c>
      <c r="AJ156" s="1487">
        <v>5.0303794300966009</v>
      </c>
      <c r="AK156" s="1487">
        <v>4.9817061843162831</v>
      </c>
      <c r="AL156" s="1487">
        <v>5.005816752854825</v>
      </c>
      <c r="AM156" s="1487">
        <v>5.1117353012541518</v>
      </c>
      <c r="AN156" s="1487">
        <v>5.1218001698488047</v>
      </c>
      <c r="AO156" s="1487">
        <v>5.1563490468752367</v>
      </c>
      <c r="AP156" s="1487">
        <v>5.1654177598155924</v>
      </c>
      <c r="AQ156" s="1487">
        <v>5.1952502995101684</v>
      </c>
      <c r="AR156" s="1487">
        <v>5.1548078964528896</v>
      </c>
      <c r="AS156" s="1487">
        <v>5.1691436283950809</v>
      </c>
      <c r="AT156" s="1487">
        <v>5.2239208155775625</v>
      </c>
      <c r="AU156" s="1487">
        <v>5.3036701369405987</v>
      </c>
      <c r="AV156" s="1487">
        <v>5.3698761013633396</v>
      </c>
      <c r="AW156" s="1487">
        <v>5.4477553798092231</v>
      </c>
      <c r="AX156" s="1487">
        <v>5.5105548899774046</v>
      </c>
      <c r="AY156" s="1487">
        <v>5.5735610242489493</v>
      </c>
      <c r="AZ156" s="1487">
        <v>5.6745566112130543</v>
      </c>
      <c r="BA156" s="1487">
        <v>5.7069198222653581</v>
      </c>
      <c r="BB156" s="1487">
        <v>5.8107835034348891</v>
      </c>
      <c r="BC156" s="1487">
        <v>5.8430876323795795</v>
      </c>
      <c r="BD156" s="1487">
        <v>5.8755713510037442</v>
      </c>
      <c r="BE156" s="1487">
        <v>5.9082356577077126</v>
      </c>
      <c r="BF156" s="1487">
        <v>5.9410815564422617</v>
      </c>
      <c r="BG156" s="1487">
        <v>5.974110056739474</v>
      </c>
      <c r="BH156" s="1487">
        <v>6.006175946840397</v>
      </c>
      <c r="BI156" s="1487">
        <v>6.0384139498247791</v>
      </c>
      <c r="BJ156" s="1487">
        <v>6.0708249895043265</v>
      </c>
      <c r="BK156" s="1487">
        <v>6.1034099946492821</v>
      </c>
      <c r="BL156" s="1487">
        <v>6.1361698990150408</v>
      </c>
      <c r="BM156" s="1487">
        <v>6.1651091662794615</v>
      </c>
      <c r="BN156" s="1487">
        <v>6.1941849162690321</v>
      </c>
      <c r="BO156" s="1487">
        <v>6.2233977926605295</v>
      </c>
      <c r="BP156" s="1487">
        <v>6.2527484421664239</v>
      </c>
      <c r="BQ156" s="1487">
        <v>6.2822375145491964</v>
      </c>
      <c r="BR156" s="1487">
        <v>6.3074882699506478</v>
      </c>
      <c r="BS156" s="1487">
        <v>6.3328405179567433</v>
      </c>
      <c r="BT156" s="1487">
        <v>6.3582946665057261</v>
      </c>
      <c r="BU156" s="1487">
        <v>6.3838511251755019</v>
      </c>
      <c r="BV156" s="1487">
        <v>6.4095103051902287</v>
      </c>
      <c r="BW156" s="1487">
        <v>6.4307917640583545</v>
      </c>
      <c r="BX156" s="1487">
        <v>6.4521438836275307</v>
      </c>
      <c r="BY156" s="1487">
        <v>6.473566898512062</v>
      </c>
      <c r="BZ156" s="1487">
        <v>6.4950610441052419</v>
      </c>
      <c r="CA156" s="1487">
        <v>6.5166265565819383</v>
      </c>
      <c r="CB156" s="1487">
        <v>6.5305325700258869</v>
      </c>
      <c r="CC156" s="1487">
        <v>6.5444682579046409</v>
      </c>
      <c r="CD156" s="1487">
        <v>6.5584336835413142</v>
      </c>
      <c r="CE156" s="1487">
        <v>6.5724289103941489</v>
      </c>
      <c r="CF156" s="1487">
        <v>6.5864540020568016</v>
      </c>
      <c r="CG156" s="1487">
        <v>6.5910078603528843</v>
      </c>
      <c r="CH156" s="1487">
        <v>6.5955648671755291</v>
      </c>
      <c r="CI156" s="1487">
        <v>6.6001250247016205</v>
      </c>
      <c r="CJ156" s="1487">
        <v>6.6046883351095476</v>
      </c>
      <c r="CK156" s="1487">
        <v>6.6092548005792047</v>
      </c>
      <c r="CL156" s="1487">
        <v>6.6108026296665843</v>
      </c>
      <c r="CM156" s="1487">
        <v>6.6123508212418631</v>
      </c>
      <c r="CN156" s="1487">
        <v>6.6138993753899316</v>
      </c>
      <c r="CO156" s="1487">
        <v>6.6154482921957012</v>
      </c>
      <c r="CP156" s="1487">
        <v>6.6169975717441041</v>
      </c>
      <c r="CQ156" s="1487">
        <v>6.6193456536491393</v>
      </c>
      <c r="CR156" s="1487">
        <v>6.6216945687853457</v>
      </c>
      <c r="CS156" s="1487">
        <v>6.6240443174483996</v>
      </c>
      <c r="CT156" s="1487">
        <v>6.6263948999340831</v>
      </c>
      <c r="CU156" s="1487">
        <v>6.6287463165382841</v>
      </c>
      <c r="CV156" s="1487">
        <v>6.6323651566473876</v>
      </c>
      <c r="CW156" s="1487">
        <v>6.6359859723945851</v>
      </c>
      <c r="CX156" s="1487">
        <v>6.6396087648584388</v>
      </c>
      <c r="CY156" s="1487">
        <v>6.6432335351180996</v>
      </c>
      <c r="CZ156" s="1488">
        <v>6.6468602842533091</v>
      </c>
    </row>
    <row r="157" spans="1:104" x14ac:dyDescent="0.25">
      <c r="A157" s="1486" t="s">
        <v>1081</v>
      </c>
      <c r="B157" s="1487"/>
      <c r="C157" s="1487"/>
      <c r="D157" s="1487"/>
      <c r="E157" s="1487"/>
      <c r="F157" s="1487"/>
      <c r="G157" s="1487"/>
      <c r="H157" s="1487">
        <v>5.0967849132778742</v>
      </c>
      <c r="I157" s="1487">
        <v>5.0967849132778742</v>
      </c>
      <c r="J157" s="1487">
        <v>5.0967849132778742</v>
      </c>
      <c r="K157" s="1487">
        <v>5.0967849132778742</v>
      </c>
      <c r="L157" s="1487">
        <v>5.0967849132778742</v>
      </c>
      <c r="M157" s="1487">
        <v>5.0967849132778742</v>
      </c>
      <c r="N157" s="1487">
        <v>5.0967849132778742</v>
      </c>
      <c r="O157" s="1487">
        <v>5.0967849132778742</v>
      </c>
      <c r="P157" s="1487">
        <v>5.0967849132778742</v>
      </c>
      <c r="Q157" s="1487">
        <v>5.0967849132778742</v>
      </c>
      <c r="R157" s="1487">
        <v>5.0967849132778742</v>
      </c>
      <c r="S157" s="1487">
        <v>5.0967849132778742</v>
      </c>
      <c r="T157" s="1487">
        <v>5.0967849132778742</v>
      </c>
      <c r="U157" s="1487">
        <v>5.0967849132778742</v>
      </c>
      <c r="V157" s="1487">
        <v>5.0967849132778742</v>
      </c>
      <c r="W157" s="1487">
        <v>5.0967849132778742</v>
      </c>
      <c r="X157" s="1487">
        <v>5.0967849132778742</v>
      </c>
      <c r="Y157" s="1487">
        <v>5.0967849132778742</v>
      </c>
      <c r="Z157" s="1487">
        <v>5.0967849132778742</v>
      </c>
      <c r="AA157" s="1487">
        <v>5.0967849132778742</v>
      </c>
      <c r="AB157" s="1487">
        <v>5.0967849132778742</v>
      </c>
      <c r="AC157" s="1487">
        <v>5.0967849132778742</v>
      </c>
      <c r="AD157" s="1487">
        <v>5.0967849132778742</v>
      </c>
      <c r="AE157" s="1487">
        <v>5.0967849132778742</v>
      </c>
      <c r="AF157" s="1487">
        <v>5.0967849132778742</v>
      </c>
      <c r="AG157" s="1487">
        <v>5.0967849132778742</v>
      </c>
      <c r="AH157" s="1487">
        <v>5.0967849132778742</v>
      </c>
      <c r="AI157" s="1487">
        <v>5.0967849132778742</v>
      </c>
      <c r="AJ157" s="1487">
        <v>5.0967849132778742</v>
      </c>
      <c r="AK157" s="1487">
        <v>5.0967849132778742</v>
      </c>
      <c r="AL157" s="1487">
        <v>5.0967849132778742</v>
      </c>
      <c r="AM157" s="1487">
        <v>5.0967849132778742</v>
      </c>
      <c r="AN157" s="1487">
        <v>5.0967849132778742</v>
      </c>
      <c r="AO157" s="1487">
        <v>5.0967849132778742</v>
      </c>
      <c r="AP157" s="1487">
        <v>5.0967849132778742</v>
      </c>
      <c r="AQ157" s="1487">
        <v>5.0967849132778742</v>
      </c>
      <c r="AR157" s="1487">
        <v>5.0967849132778742</v>
      </c>
      <c r="AS157" s="1487">
        <v>5.0967849132778742</v>
      </c>
      <c r="AT157" s="1487">
        <v>5.0967849132778742</v>
      </c>
      <c r="AU157" s="1487">
        <v>5.0967849132778742</v>
      </c>
      <c r="AV157" s="1487">
        <v>5.0967849132778742</v>
      </c>
      <c r="AW157" s="1487">
        <v>5.0967849132778742</v>
      </c>
      <c r="AX157" s="1487">
        <v>5.0967849132778742</v>
      </c>
      <c r="AY157" s="1487">
        <v>5.0967849132778742</v>
      </c>
      <c r="AZ157" s="1487">
        <v>5.0967849132778742</v>
      </c>
      <c r="BA157" s="1487">
        <v>5.0967849132778742</v>
      </c>
      <c r="BB157" s="1487">
        <v>5.0967849132778742</v>
      </c>
      <c r="BC157" s="1487">
        <v>5.1179587571540939</v>
      </c>
      <c r="BD157" s="1487">
        <v>5.1392205646528959</v>
      </c>
      <c r="BE157" s="1487">
        <v>5.1605707012062227</v>
      </c>
      <c r="BF157" s="1487">
        <v>5.1820095337641501</v>
      </c>
      <c r="BG157" s="1487">
        <v>5.2035374308011946</v>
      </c>
      <c r="BH157" s="1487">
        <v>5.2223240063357927</v>
      </c>
      <c r="BI157" s="1487">
        <v>5.2411784079262249</v>
      </c>
      <c r="BJ157" s="1487">
        <v>5.2601008804480855</v>
      </c>
      <c r="BK157" s="1487">
        <v>5.2790916696610548</v>
      </c>
      <c r="BL157" s="1487">
        <v>5.2981510222120916</v>
      </c>
      <c r="BM157" s="1487">
        <v>5.3113630812048802</v>
      </c>
      <c r="BN157" s="1487">
        <v>5.3246080872582748</v>
      </c>
      <c r="BO157" s="1487">
        <v>5.3378861225327325</v>
      </c>
      <c r="BP157" s="1487">
        <v>5.3511972693935945</v>
      </c>
      <c r="BQ157" s="1487">
        <v>5.3645416104115968</v>
      </c>
      <c r="BR157" s="1487">
        <v>5.3779717491778074</v>
      </c>
      <c r="BS157" s="1487">
        <v>5.3914355103185612</v>
      </c>
      <c r="BT157" s="1487">
        <v>5.4049329780075288</v>
      </c>
      <c r="BU157" s="1487">
        <v>5.4184642366291094</v>
      </c>
      <c r="BV157" s="1487">
        <v>5.4320293707789578</v>
      </c>
      <c r="BW157" s="1487">
        <v>5.4450858323773135</v>
      </c>
      <c r="BX157" s="1487">
        <v>5.458173676572823</v>
      </c>
      <c r="BY157" s="1487">
        <v>5.471292978796904</v>
      </c>
      <c r="BZ157" s="1487">
        <v>5.4844438146622805</v>
      </c>
      <c r="CA157" s="1487">
        <v>5.4976262599634209</v>
      </c>
      <c r="CB157" s="1487">
        <v>5.509165721372697</v>
      </c>
      <c r="CC157" s="1487">
        <v>5.5207294039936956</v>
      </c>
      <c r="CD157" s="1487">
        <v>5.5323173586664938</v>
      </c>
      <c r="CE157" s="1487">
        <v>5.5439296363378796</v>
      </c>
      <c r="CF157" s="1487">
        <v>5.5555662880615797</v>
      </c>
      <c r="CG157" s="1487">
        <v>5.5698816197819898</v>
      </c>
      <c r="CH157" s="1487">
        <v>5.5842338386011479</v>
      </c>
      <c r="CI157" s="1487">
        <v>5.598623039568059</v>
      </c>
      <c r="CJ157" s="1487">
        <v>5.6130493179766479</v>
      </c>
      <c r="CK157" s="1487">
        <v>5.6275127693663878</v>
      </c>
      <c r="CL157" s="1487">
        <v>5.6395580019552014</v>
      </c>
      <c r="CM157" s="1487">
        <v>5.6516290163830023</v>
      </c>
      <c r="CN157" s="1487">
        <v>5.6637258678337163</v>
      </c>
      <c r="CO157" s="1487">
        <v>5.6758486116093856</v>
      </c>
      <c r="CP157" s="1487">
        <v>5.6879973031304223</v>
      </c>
      <c r="CQ157" s="1487">
        <v>5.6991168854631553</v>
      </c>
      <c r="CR157" s="1487">
        <v>5.7102582056949531</v>
      </c>
      <c r="CS157" s="1487">
        <v>5.7214213063216786</v>
      </c>
      <c r="CT157" s="1487">
        <v>5.732606229922272</v>
      </c>
      <c r="CU157" s="1487">
        <v>5.7438130191589121</v>
      </c>
      <c r="CV157" s="1487">
        <v>5.7570440466225028</v>
      </c>
      <c r="CW157" s="1487">
        <v>5.7703055521130002</v>
      </c>
      <c r="CX157" s="1487">
        <v>5.7835976058373566</v>
      </c>
      <c r="CY157" s="1487">
        <v>5.796920278164249</v>
      </c>
      <c r="CZ157" s="1488">
        <v>5.8102736396244499</v>
      </c>
    </row>
    <row r="158" spans="1:104" x14ac:dyDescent="0.25">
      <c r="A158" s="1486" t="s">
        <v>1087</v>
      </c>
      <c r="B158" s="1487"/>
      <c r="C158" s="1487"/>
      <c r="D158" s="1487"/>
      <c r="E158" s="1487"/>
      <c r="F158" s="1487"/>
      <c r="G158" s="1487"/>
      <c r="H158" s="1487" t="e">
        <v>#N/A</v>
      </c>
      <c r="I158" s="1487" t="e">
        <v>#N/A</v>
      </c>
      <c r="J158" s="1487" t="e">
        <v>#N/A</v>
      </c>
      <c r="K158" s="1487" t="e">
        <v>#N/A</v>
      </c>
      <c r="L158" s="1487">
        <v>2.2148742453355847</v>
      </c>
      <c r="M158" s="1487">
        <v>2.3408877437334223</v>
      </c>
      <c r="N158" s="1487">
        <v>2.3629142410275352</v>
      </c>
      <c r="O158" s="1487">
        <v>2.4181318326423913</v>
      </c>
      <c r="P158" s="1487">
        <v>2.3501923436687169</v>
      </c>
      <c r="Q158" s="1487">
        <v>2.2749877363600257</v>
      </c>
      <c r="R158" s="1487">
        <v>2.2671813119268305</v>
      </c>
      <c r="S158" s="1487">
        <v>2.0920368648072634</v>
      </c>
      <c r="T158" s="1487">
        <v>1.9706687398025258</v>
      </c>
      <c r="U158" s="1487">
        <v>2.067600203211962</v>
      </c>
      <c r="V158" s="1487">
        <v>2.1142782942327232</v>
      </c>
      <c r="W158" s="1487">
        <v>2.1573963846468813</v>
      </c>
      <c r="X158" s="1487">
        <v>2.1900363582596567</v>
      </c>
      <c r="Y158" s="1487">
        <v>2.1929897559939948</v>
      </c>
      <c r="Z158" s="1487">
        <v>2.2028650611910647</v>
      </c>
      <c r="AA158" s="1487">
        <v>2.2090827406317772</v>
      </c>
      <c r="AB158" s="1487">
        <v>2.2092997907220093</v>
      </c>
      <c r="AC158" s="1487">
        <v>2.2079918032786887</v>
      </c>
      <c r="AD158" s="1487">
        <v>2.2065492258230841</v>
      </c>
      <c r="AE158" s="1487">
        <v>2.1995552842692714</v>
      </c>
      <c r="AF158" s="1487">
        <v>2.1903510334996437</v>
      </c>
      <c r="AG158" s="1487">
        <v>2.1795345460335755</v>
      </c>
      <c r="AH158" s="1487">
        <v>2.1771697426487315</v>
      </c>
      <c r="AI158" s="1487">
        <v>2.177831318906295</v>
      </c>
      <c r="AJ158" s="1487">
        <v>2.1809505846135182</v>
      </c>
      <c r="AK158" s="1487">
        <v>2.1861806387528246</v>
      </c>
      <c r="AL158" s="1487">
        <v>2.1973402359685172</v>
      </c>
      <c r="AM158" s="1487">
        <v>2.2020565733003745</v>
      </c>
      <c r="AN158" s="1487">
        <v>2.2177912831167257</v>
      </c>
      <c r="AO158" s="1487">
        <v>2.2206593773221517</v>
      </c>
      <c r="AP158" s="1487">
        <v>2.2289385587115755</v>
      </c>
      <c r="AQ158" s="1487">
        <v>2.2351116907538557</v>
      </c>
      <c r="AR158" s="1487">
        <v>2.2481536525075447</v>
      </c>
      <c r="AS158" s="1487">
        <v>2.2492673374683427</v>
      </c>
      <c r="AT158" s="1487">
        <v>2.2496910116619402</v>
      </c>
      <c r="AU158" s="1487">
        <v>2.2544263053335558</v>
      </c>
      <c r="AV158" s="1487">
        <v>2.2540196918457411</v>
      </c>
      <c r="AW158" s="1487">
        <v>2.2546357728878843</v>
      </c>
      <c r="AX158" s="1487">
        <v>2.2490256441364247</v>
      </c>
      <c r="AY158" s="1487">
        <v>2.2531477002168603</v>
      </c>
      <c r="AZ158" s="1487">
        <v>2.2540841434009193</v>
      </c>
      <c r="BA158" s="1487">
        <v>2.2596705767276806</v>
      </c>
      <c r="BB158" s="1487">
        <v>2.2620458060993922</v>
      </c>
      <c r="BC158" s="1487">
        <v>2.2703711301923084</v>
      </c>
      <c r="BD158" s="1487">
        <v>2.2787270951418623</v>
      </c>
      <c r="BE158" s="1487">
        <v>2.2871138137198912</v>
      </c>
      <c r="BF158" s="1487">
        <v>2.2955313991132824</v>
      </c>
      <c r="BG158" s="1487">
        <v>2.3039799649255008</v>
      </c>
      <c r="BH158" s="1487">
        <v>2.3125787529279784</v>
      </c>
      <c r="BI158" s="1487">
        <v>2.3212096328567045</v>
      </c>
      <c r="BJ158" s="1487">
        <v>2.3298727244834101</v>
      </c>
      <c r="BK158" s="1487">
        <v>2.338568148026833</v>
      </c>
      <c r="BL158" s="1487">
        <v>2.3472960241543843</v>
      </c>
      <c r="BM158" s="1487">
        <v>2.3559838582312191</v>
      </c>
      <c r="BN158" s="1487">
        <v>2.3647038478010849</v>
      </c>
      <c r="BO158" s="1487">
        <v>2.3734561118781943</v>
      </c>
      <c r="BP158" s="1487">
        <v>2.3822407699172565</v>
      </c>
      <c r="BQ158" s="1487">
        <v>2.3910579418151077</v>
      </c>
      <c r="BR158" s="1487">
        <v>2.3997099382358895</v>
      </c>
      <c r="BS158" s="1487">
        <v>2.4083932417365861</v>
      </c>
      <c r="BT158" s="1487">
        <v>2.4171079656012542</v>
      </c>
      <c r="BU158" s="1487">
        <v>2.4258542235238663</v>
      </c>
      <c r="BV158" s="1487">
        <v>2.434632129609795</v>
      </c>
      <c r="BW158" s="1487">
        <v>2.4428635118796533</v>
      </c>
      <c r="BX158" s="1487">
        <v>2.4511227240845761</v>
      </c>
      <c r="BY158" s="1487">
        <v>2.4594098603163279</v>
      </c>
      <c r="BZ158" s="1487">
        <v>2.467725014984794</v>
      </c>
      <c r="CA158" s="1487">
        <v>2.476068282819055</v>
      </c>
      <c r="CB158" s="1487">
        <v>2.4831576550549128</v>
      </c>
      <c r="CC158" s="1487">
        <v>2.4902673252765117</v>
      </c>
      <c r="CD158" s="1487">
        <v>2.4973973516001715</v>
      </c>
      <c r="CE158" s="1487">
        <v>2.5045477923086086</v>
      </c>
      <c r="CF158" s="1487">
        <v>2.5117187058514112</v>
      </c>
      <c r="CG158" s="1487">
        <v>2.5171937058097216</v>
      </c>
      <c r="CH158" s="1487">
        <v>2.5226806400759916</v>
      </c>
      <c r="CI158" s="1487">
        <v>2.5281795346644143</v>
      </c>
      <c r="CJ158" s="1487">
        <v>2.5336904156458884</v>
      </c>
      <c r="CK158" s="1487">
        <v>2.539213309148141</v>
      </c>
      <c r="CL158" s="1487">
        <v>2.5429573704375228</v>
      </c>
      <c r="CM158" s="1487">
        <v>2.5467069523323964</v>
      </c>
      <c r="CN158" s="1487">
        <v>2.5504620629728754</v>
      </c>
      <c r="CO158" s="1487">
        <v>2.554222710511076</v>
      </c>
      <c r="CP158" s="1487">
        <v>2.5579889031111347</v>
      </c>
      <c r="CQ158" s="1487">
        <v>2.5592501421168059</v>
      </c>
      <c r="CR158" s="1487">
        <v>2.5605120029875006</v>
      </c>
      <c r="CS158" s="1487">
        <v>2.5617744860298348</v>
      </c>
      <c r="CT158" s="1487">
        <v>2.5630375915505756</v>
      </c>
      <c r="CU158" s="1487">
        <v>2.564301319856642</v>
      </c>
      <c r="CV158" s="1487">
        <v>2.5624850697467836</v>
      </c>
      <c r="CW158" s="1487">
        <v>2.5606701060553489</v>
      </c>
      <c r="CX158" s="1487">
        <v>2.5588564278711901</v>
      </c>
      <c r="CY158" s="1487">
        <v>2.5570440342838041</v>
      </c>
      <c r="CZ158" s="1488">
        <v>2.555232924383334</v>
      </c>
    </row>
    <row r="159" spans="1:104" x14ac:dyDescent="0.25">
      <c r="A159" s="1486" t="s">
        <v>683</v>
      </c>
      <c r="B159" s="1487"/>
      <c r="C159" s="1487"/>
      <c r="D159" s="1487"/>
      <c r="E159" s="1487"/>
      <c r="F159" s="1487"/>
      <c r="G159" s="1487"/>
      <c r="H159" s="1487">
        <v>28.373013628420669</v>
      </c>
      <c r="I159" s="1487">
        <v>29.17093293229123</v>
      </c>
      <c r="J159" s="1487">
        <v>30.878569780545078</v>
      </c>
      <c r="K159" s="1487">
        <v>30.682595180991225</v>
      </c>
      <c r="L159" s="1487">
        <v>31.992353762541459</v>
      </c>
      <c r="M159" s="1487">
        <v>31.4429334181984</v>
      </c>
      <c r="N159" s="1487">
        <v>31.156600892671783</v>
      </c>
      <c r="O159" s="1487">
        <v>30.676058322376605</v>
      </c>
      <c r="P159" s="1487">
        <v>29.679126186318804</v>
      </c>
      <c r="Q159" s="1487">
        <v>29.700131988890092</v>
      </c>
      <c r="R159" s="1487">
        <v>30.54196479432273</v>
      </c>
      <c r="S159" s="1487">
        <v>29.932211922183079</v>
      </c>
      <c r="T159" s="1487">
        <v>28.972214109999999</v>
      </c>
      <c r="U159" s="1487">
        <v>29.128232055928784</v>
      </c>
      <c r="V159" s="1487">
        <v>28.995688380521983</v>
      </c>
      <c r="W159" s="1487">
        <v>29.39475155821113</v>
      </c>
      <c r="X159" s="1487">
        <v>29.885964346916182</v>
      </c>
      <c r="Y159" s="1487">
        <v>30.089071101439163</v>
      </c>
      <c r="Z159" s="1487">
        <v>31.081689502737298</v>
      </c>
      <c r="AA159" s="1487">
        <v>31.400245105473072</v>
      </c>
      <c r="AB159" s="1487">
        <v>31.337976372818122</v>
      </c>
      <c r="AC159" s="1487">
        <v>31.854564117923594</v>
      </c>
      <c r="AD159" s="1487">
        <v>32.189964324168578</v>
      </c>
      <c r="AE159" s="1487">
        <v>32.274661250208517</v>
      </c>
      <c r="AF159" s="1487">
        <v>32.347049824843424</v>
      </c>
      <c r="AG159" s="1487">
        <v>32.398275541772193</v>
      </c>
      <c r="AH159" s="1487">
        <v>32.473329377777105</v>
      </c>
      <c r="AI159" s="1487">
        <v>32.424485524938959</v>
      </c>
      <c r="AJ159" s="1487">
        <v>32.33705604252286</v>
      </c>
      <c r="AK159" s="1487">
        <v>32.213589610409308</v>
      </c>
      <c r="AL159" s="1487">
        <v>32.123147965605618</v>
      </c>
      <c r="AM159" s="1487">
        <v>32.189031672252469</v>
      </c>
      <c r="AN159" s="1487">
        <v>32.20134665837643</v>
      </c>
      <c r="AO159" s="1487">
        <v>32.137342472816606</v>
      </c>
      <c r="AP159" s="1487">
        <v>32.106067355666433</v>
      </c>
      <c r="AQ159" s="1487">
        <v>32.055398007309563</v>
      </c>
      <c r="AR159" s="1487">
        <v>31.985796962436115</v>
      </c>
      <c r="AS159" s="1487">
        <v>31.883579639374592</v>
      </c>
      <c r="AT159" s="1487">
        <v>31.88043762605966</v>
      </c>
      <c r="AU159" s="1487">
        <v>31.921825950470875</v>
      </c>
      <c r="AV159" s="1487">
        <v>31.967798865652629</v>
      </c>
      <c r="AW159" s="1487">
        <v>32.011030694105337</v>
      </c>
      <c r="AX159" s="1487">
        <v>32.04019407500644</v>
      </c>
      <c r="AY159" s="1487">
        <v>32.084258086774547</v>
      </c>
      <c r="AZ159" s="1487">
        <v>32.12290532445671</v>
      </c>
      <c r="BA159" s="1487">
        <v>32.1438833578502</v>
      </c>
      <c r="BB159" s="1487">
        <v>32.210559439498944</v>
      </c>
      <c r="BC159" s="1487">
        <v>32.212518425109167</v>
      </c>
      <c r="BD159" s="1487">
        <v>32.214477529861206</v>
      </c>
      <c r="BE159" s="1487">
        <v>32.216436753762309</v>
      </c>
      <c r="BF159" s="1487">
        <v>32.218396096819724</v>
      </c>
      <c r="BG159" s="1487">
        <v>32.220355559040698</v>
      </c>
      <c r="BH159" s="1487">
        <v>32.225068562587758</v>
      </c>
      <c r="BI159" s="1487">
        <v>32.229782255525173</v>
      </c>
      <c r="BJ159" s="1487">
        <v>32.234496637953782</v>
      </c>
      <c r="BK159" s="1487">
        <v>32.239211709974448</v>
      </c>
      <c r="BL159" s="1487">
        <v>32.243927471688032</v>
      </c>
      <c r="BM159" s="1487">
        <v>32.234738373564198</v>
      </c>
      <c r="BN159" s="1487">
        <v>32.225551894213289</v>
      </c>
      <c r="BO159" s="1487">
        <v>32.216368032888994</v>
      </c>
      <c r="BP159" s="1487">
        <v>32.207186788845206</v>
      </c>
      <c r="BQ159" s="1487">
        <v>32.198008161336034</v>
      </c>
      <c r="BR159" s="1487">
        <v>32.188328675270981</v>
      </c>
      <c r="BS159" s="1487">
        <v>32.178652099089362</v>
      </c>
      <c r="BT159" s="1487">
        <v>32.168978431916393</v>
      </c>
      <c r="BU159" s="1487">
        <v>32.15930767287756</v>
      </c>
      <c r="BV159" s="1487">
        <v>32.14963982109861</v>
      </c>
      <c r="BW159" s="1487">
        <v>32.135484213462775</v>
      </c>
      <c r="BX159" s="1487">
        <v>32.121334838594358</v>
      </c>
      <c r="BY159" s="1487">
        <v>32.107191693749044</v>
      </c>
      <c r="BZ159" s="1487">
        <v>32.093054776183735</v>
      </c>
      <c r="CA159" s="1487">
        <v>32.078924083156537</v>
      </c>
      <c r="CB159" s="1487">
        <v>32.05322936592912</v>
      </c>
      <c r="CC159" s="1487">
        <v>32.027555229768936</v>
      </c>
      <c r="CD159" s="1487">
        <v>32.001901658190874</v>
      </c>
      <c r="CE159" s="1487">
        <v>31.976268634723027</v>
      </c>
      <c r="CF159" s="1487">
        <v>31.950656142906677</v>
      </c>
      <c r="CG159" s="1487">
        <v>31.915373500092528</v>
      </c>
      <c r="CH159" s="1487">
        <v>31.880129819385399</v>
      </c>
      <c r="CI159" s="1487">
        <v>31.844925057760001</v>
      </c>
      <c r="CJ159" s="1487">
        <v>31.809759172238564</v>
      </c>
      <c r="CK159" s="1487">
        <v>31.774632119890772</v>
      </c>
      <c r="CL159" s="1487">
        <v>31.736335048107414</v>
      </c>
      <c r="CM159" s="1487">
        <v>31.698084134709202</v>
      </c>
      <c r="CN159" s="1487">
        <v>31.659879324062725</v>
      </c>
      <c r="CO159" s="1487">
        <v>31.621720560601634</v>
      </c>
      <c r="CP159" s="1487">
        <v>31.583607788826551</v>
      </c>
      <c r="CQ159" s="1487">
        <v>31.539463246970023</v>
      </c>
      <c r="CR159" s="1487">
        <v>31.495380406125889</v>
      </c>
      <c r="CS159" s="1487">
        <v>31.451359180054389</v>
      </c>
      <c r="CT159" s="1487">
        <v>31.407399482636293</v>
      </c>
      <c r="CU159" s="1487">
        <v>31.363501227872742</v>
      </c>
      <c r="CV159" s="1487">
        <v>31.320648715953933</v>
      </c>
      <c r="CW159" s="1487">
        <v>31.277854754187555</v>
      </c>
      <c r="CX159" s="1487">
        <v>31.235119262575491</v>
      </c>
      <c r="CY159" s="1487">
        <v>31.192442161228929</v>
      </c>
      <c r="CZ159" s="1488">
        <v>31.1498233703682</v>
      </c>
    </row>
    <row r="160" spans="1:104" x14ac:dyDescent="0.25">
      <c r="A160" s="1486" t="s">
        <v>698</v>
      </c>
      <c r="B160" s="1487"/>
      <c r="C160" s="1487"/>
      <c r="D160" s="1487"/>
      <c r="E160" s="1487"/>
      <c r="F160" s="1487"/>
      <c r="G160" s="1487"/>
      <c r="H160" s="1487">
        <v>18.232352698801531</v>
      </c>
      <c r="I160" s="1487">
        <v>19.279059481202857</v>
      </c>
      <c r="J160" s="1487">
        <v>20.106975671052609</v>
      </c>
      <c r="K160" s="1487">
        <v>20.31728323383771</v>
      </c>
      <c r="L160" s="1487">
        <v>21.702415417864383</v>
      </c>
      <c r="M160" s="1487">
        <v>21.137326303769196</v>
      </c>
      <c r="N160" s="1487">
        <v>20.699724047437488</v>
      </c>
      <c r="O160" s="1487">
        <v>20.430734156114106</v>
      </c>
      <c r="P160" s="1487">
        <v>19.619402543384187</v>
      </c>
      <c r="Q160" s="1487">
        <v>19.94482547791937</v>
      </c>
      <c r="R160" s="1487">
        <v>20.190684361237558</v>
      </c>
      <c r="S160" s="1487">
        <v>19.439058682545589</v>
      </c>
      <c r="T160" s="1487">
        <v>18.777772519999996</v>
      </c>
      <c r="U160" s="1487">
        <v>19.537493744407882</v>
      </c>
      <c r="V160" s="1487">
        <v>19.094688812726531</v>
      </c>
      <c r="W160" s="1487">
        <v>19.340880484069093</v>
      </c>
      <c r="X160" s="1487">
        <v>19.700726786066333</v>
      </c>
      <c r="Y160" s="1487">
        <v>19.809231927025674</v>
      </c>
      <c r="Z160" s="1487">
        <v>20.448628319255093</v>
      </c>
      <c r="AA160" s="1487">
        <v>20.513438149254636</v>
      </c>
      <c r="AB160" s="1487">
        <v>20.459361398826221</v>
      </c>
      <c r="AC160" s="1487">
        <v>20.950622526197662</v>
      </c>
      <c r="AD160" s="1487">
        <v>21.163384692376518</v>
      </c>
      <c r="AE160" s="1487">
        <v>21.285322295688569</v>
      </c>
      <c r="AF160" s="1487">
        <v>21.423623959296947</v>
      </c>
      <c r="AG160" s="1487">
        <v>21.53228264660833</v>
      </c>
      <c r="AH160" s="1487">
        <v>21.607771530610695</v>
      </c>
      <c r="AI160" s="1487">
        <v>21.635145433038627</v>
      </c>
      <c r="AJ160" s="1487">
        <v>21.585785019942069</v>
      </c>
      <c r="AK160" s="1487">
        <v>21.508628925857963</v>
      </c>
      <c r="AL160" s="1487">
        <v>21.446118499871098</v>
      </c>
      <c r="AM160" s="1487">
        <v>21.521952389257063</v>
      </c>
      <c r="AN160" s="1487">
        <v>21.600204159779199</v>
      </c>
      <c r="AO160" s="1487">
        <v>21.583872325260458</v>
      </c>
      <c r="AP160" s="1487">
        <v>21.588666383585327</v>
      </c>
      <c r="AQ160" s="1487">
        <v>21.605374501448264</v>
      </c>
      <c r="AR160" s="1487">
        <v>21.554715579078266</v>
      </c>
      <c r="AS160" s="1487">
        <v>21.491324631109631</v>
      </c>
      <c r="AT160" s="1487">
        <v>21.516251270074765</v>
      </c>
      <c r="AU160" s="1487">
        <v>21.58191413536343</v>
      </c>
      <c r="AV160" s="1487">
        <v>21.663232093841465</v>
      </c>
      <c r="AW160" s="1487">
        <v>21.742367229796333</v>
      </c>
      <c r="AX160" s="1487">
        <v>21.822824570449338</v>
      </c>
      <c r="AY160" s="1487">
        <v>21.895024529503647</v>
      </c>
      <c r="AZ160" s="1487">
        <v>21.976239175929997</v>
      </c>
      <c r="BA160" s="1487">
        <v>22.046603213478718</v>
      </c>
      <c r="BB160" s="1487">
        <v>22.114819497732821</v>
      </c>
      <c r="BC160" s="1487">
        <v>22.13487665280584</v>
      </c>
      <c r="BD160" s="1487">
        <v>22.15495199882406</v>
      </c>
      <c r="BE160" s="1487">
        <v>22.175045552285859</v>
      </c>
      <c r="BF160" s="1487">
        <v>22.195157329704575</v>
      </c>
      <c r="BG160" s="1487">
        <v>22.215287347608523</v>
      </c>
      <c r="BH160" s="1487">
        <v>22.237407284551185</v>
      </c>
      <c r="BI160" s="1487">
        <v>22.259549246489641</v>
      </c>
      <c r="BJ160" s="1487">
        <v>22.281713255354351</v>
      </c>
      <c r="BK160" s="1487">
        <v>22.303899333097611</v>
      </c>
      <c r="BL160" s="1487">
        <v>22.326107501693581</v>
      </c>
      <c r="BM160" s="1487">
        <v>22.336823207612067</v>
      </c>
      <c r="BN160" s="1487">
        <v>22.347544056673097</v>
      </c>
      <c r="BO160" s="1487">
        <v>22.358270051345187</v>
      </c>
      <c r="BP160" s="1487">
        <v>22.369001194098043</v>
      </c>
      <c r="BQ160" s="1487">
        <v>22.379737487402554</v>
      </c>
      <c r="BR160" s="1487">
        <v>22.390100389733625</v>
      </c>
      <c r="BS160" s="1487">
        <v>22.400468090590362</v>
      </c>
      <c r="BT160" s="1487">
        <v>22.410840592194713</v>
      </c>
      <c r="BU160" s="1487">
        <v>22.421217896769658</v>
      </c>
      <c r="BV160" s="1487">
        <v>22.431600006539206</v>
      </c>
      <c r="BW160" s="1487">
        <v>22.438377931004013</v>
      </c>
      <c r="BX160" s="1487">
        <v>22.44515790348412</v>
      </c>
      <c r="BY160" s="1487">
        <v>22.451939924598356</v>
      </c>
      <c r="BZ160" s="1487">
        <v>22.458723994965737</v>
      </c>
      <c r="CA160" s="1487">
        <v>22.465510115205461</v>
      </c>
      <c r="CB160" s="1487">
        <v>22.462969438648798</v>
      </c>
      <c r="CC160" s="1487">
        <v>22.46042904942313</v>
      </c>
      <c r="CD160" s="1487">
        <v>22.45788894749596</v>
      </c>
      <c r="CE160" s="1487">
        <v>22.455349132834797</v>
      </c>
      <c r="CF160" s="1487">
        <v>22.452809605407158</v>
      </c>
      <c r="CG160" s="1487">
        <v>22.442624812220661</v>
      </c>
      <c r="CH160" s="1487">
        <v>22.432444638946507</v>
      </c>
      <c r="CI160" s="1487">
        <v>22.422269083489063</v>
      </c>
      <c r="CJ160" s="1487">
        <v>22.412098143753649</v>
      </c>
      <c r="CK160" s="1487">
        <v>22.401931817646531</v>
      </c>
      <c r="CL160" s="1487">
        <v>22.389459823741635</v>
      </c>
      <c r="CM160" s="1487">
        <v>22.376994773462549</v>
      </c>
      <c r="CN160" s="1487">
        <v>22.364536662943497</v>
      </c>
      <c r="CO160" s="1487">
        <v>22.352085488320853</v>
      </c>
      <c r="CP160" s="1487">
        <v>22.339641245733144</v>
      </c>
      <c r="CQ160" s="1487">
        <v>22.322592014179389</v>
      </c>
      <c r="CR160" s="1487">
        <v>22.305555794307125</v>
      </c>
      <c r="CS160" s="1487">
        <v>22.288532576186064</v>
      </c>
      <c r="CT160" s="1487">
        <v>22.271522349893491</v>
      </c>
      <c r="CU160" s="1487">
        <v>22.254525105514261</v>
      </c>
      <c r="CV160" s="1487">
        <v>22.238544472899552</v>
      </c>
      <c r="CW160" s="1487">
        <v>22.222575315731635</v>
      </c>
      <c r="CX160" s="1487">
        <v>22.206617625770171</v>
      </c>
      <c r="CY160" s="1487">
        <v>22.190671394780733</v>
      </c>
      <c r="CZ160" s="1488">
        <v>22.174736614534808</v>
      </c>
    </row>
    <row r="161" spans="1:104" x14ac:dyDescent="0.25">
      <c r="A161" s="1489" t="s">
        <v>684</v>
      </c>
      <c r="B161" s="1490"/>
      <c r="C161" s="1490"/>
      <c r="D161" s="1490"/>
      <c r="E161" s="1490"/>
      <c r="F161" s="1490"/>
      <c r="G161" s="1490"/>
      <c r="H161" s="1490">
        <v>31.081820315099751</v>
      </c>
      <c r="I161" s="1490">
        <v>31.795307521355493</v>
      </c>
      <c r="J161" s="1490">
        <v>33.946842042036877</v>
      </c>
      <c r="K161" s="1490">
        <v>33.862138723062856</v>
      </c>
      <c r="L161" s="1490">
        <v>35.110516897292094</v>
      </c>
      <c r="M161" s="1490">
        <v>35.620882248372396</v>
      </c>
      <c r="N161" s="1490">
        <v>35.284315436843215</v>
      </c>
      <c r="O161" s="1490">
        <v>35.109707376782602</v>
      </c>
      <c r="P161" s="1490">
        <v>34.944303180720262</v>
      </c>
      <c r="Q161" s="1490">
        <v>35.113313940081568</v>
      </c>
      <c r="R161" s="1490">
        <v>35.603854676435802</v>
      </c>
      <c r="S161" s="1490">
        <v>35.586699324775935</v>
      </c>
      <c r="T161" s="1490">
        <v>34.861101349999998</v>
      </c>
      <c r="U161" s="1490">
        <v>34.664653819323334</v>
      </c>
      <c r="V161" s="1490">
        <v>34.410290069910978</v>
      </c>
      <c r="W161" s="1490">
        <v>34.908531869398402</v>
      </c>
      <c r="X161" s="1490">
        <v>35.616671532127199</v>
      </c>
      <c r="Y161" s="1490">
        <v>35.947520321196222</v>
      </c>
      <c r="Z161" s="1490">
        <v>36.987705865849776</v>
      </c>
      <c r="AA161" s="1490">
        <v>37.546039262370911</v>
      </c>
      <c r="AB161" s="1490">
        <v>37.510823122184988</v>
      </c>
      <c r="AC161" s="1490">
        <v>38.008797637281816</v>
      </c>
      <c r="AD161" s="1490">
        <v>38.419808048103611</v>
      </c>
      <c r="AE161" s="1490">
        <v>38.480927078752217</v>
      </c>
      <c r="AF161" s="1490">
        <v>38.529894147798792</v>
      </c>
      <c r="AG161" s="1490">
        <v>38.610432052895767</v>
      </c>
      <c r="AH161" s="1490">
        <v>38.669048846696292</v>
      </c>
      <c r="AI161" s="1490">
        <v>38.631731396248163</v>
      </c>
      <c r="AJ161" s="1490">
        <v>38.567872226687491</v>
      </c>
      <c r="AK161" s="1490">
        <v>38.465126969563705</v>
      </c>
      <c r="AL161" s="1490">
        <v>38.413723063041203</v>
      </c>
      <c r="AM161" s="1490">
        <v>38.515467425425761</v>
      </c>
      <c r="AN161" s="1490">
        <v>38.527084818246614</v>
      </c>
      <c r="AO161" s="1490">
        <v>38.521472793861179</v>
      </c>
      <c r="AP161" s="1490">
        <v>38.546973809920992</v>
      </c>
      <c r="AQ161" s="1490">
        <v>38.560691565187064</v>
      </c>
      <c r="AR161" s="1490">
        <v>38.568356561168315</v>
      </c>
      <c r="AS161" s="1490">
        <v>38.569368829711408</v>
      </c>
      <c r="AT161" s="1490">
        <v>38.651143635977618</v>
      </c>
      <c r="AU161" s="1490">
        <v>38.781520601750053</v>
      </c>
      <c r="AV161" s="1490">
        <v>38.929117506558889</v>
      </c>
      <c r="AW161" s="1490">
        <v>39.08758776785308</v>
      </c>
      <c r="AX161" s="1490">
        <v>39.228047610742941</v>
      </c>
      <c r="AY161" s="1490">
        <v>39.393119417357944</v>
      </c>
      <c r="AZ161" s="1490">
        <v>39.595269824540118</v>
      </c>
      <c r="BA161" s="1490">
        <v>39.769550621009692</v>
      </c>
      <c r="BB161" s="1490">
        <v>39.980674011616443</v>
      </c>
      <c r="BC161" s="1490">
        <v>39.983105560972888</v>
      </c>
      <c r="BD161" s="1490">
        <v>39.985537258211586</v>
      </c>
      <c r="BE161" s="1490">
        <v>39.987969103341534</v>
      </c>
      <c r="BF161" s="1490">
        <v>39.990401096371727</v>
      </c>
      <c r="BG161" s="1490">
        <v>39.99283323731116</v>
      </c>
      <c r="BH161" s="1490">
        <v>39.998683153044055</v>
      </c>
      <c r="BI161" s="1490">
        <v>40.00453392446812</v>
      </c>
      <c r="BJ161" s="1490">
        <v>40.010385551708517</v>
      </c>
      <c r="BK161" s="1490">
        <v>40.016238034890421</v>
      </c>
      <c r="BL161" s="1490">
        <v>40.022091374139045</v>
      </c>
      <c r="BM161" s="1490">
        <v>40.01068560090993</v>
      </c>
      <c r="BN161" s="1490">
        <v>39.999283078177193</v>
      </c>
      <c r="BO161" s="1490">
        <v>39.987883805014484</v>
      </c>
      <c r="BP161" s="1490">
        <v>39.976487780495717</v>
      </c>
      <c r="BQ161" s="1490">
        <v>39.965095003695069</v>
      </c>
      <c r="BR161" s="1490">
        <v>39.953080546830584</v>
      </c>
      <c r="BS161" s="1490">
        <v>39.941069701797218</v>
      </c>
      <c r="BT161" s="1490">
        <v>39.929062467509169</v>
      </c>
      <c r="BU161" s="1490">
        <v>39.917058842880955</v>
      </c>
      <c r="BV161" s="1490">
        <v>39.905058826827435</v>
      </c>
      <c r="BW161" s="1490">
        <v>39.887488478960996</v>
      </c>
      <c r="BX161" s="1490">
        <v>39.869925867384971</v>
      </c>
      <c r="BY161" s="1490">
        <v>39.852370988693046</v>
      </c>
      <c r="BZ161" s="1490">
        <v>39.8348238394804</v>
      </c>
      <c r="CA161" s="1490">
        <v>39.817284416343718</v>
      </c>
      <c r="CB161" s="1490">
        <v>39.785391393336162</v>
      </c>
      <c r="CC161" s="1490">
        <v>39.75352391614198</v>
      </c>
      <c r="CD161" s="1490">
        <v>39.721681964299371</v>
      </c>
      <c r="CE161" s="1490">
        <v>39.689865517362925</v>
      </c>
      <c r="CF161" s="1490">
        <v>39.658074554903607</v>
      </c>
      <c r="CG161" s="1490">
        <v>39.614280722534119</v>
      </c>
      <c r="CH161" s="1490">
        <v>39.57053525105394</v>
      </c>
      <c r="CI161" s="1490">
        <v>39.526838087058842</v>
      </c>
      <c r="CJ161" s="1490">
        <v>39.48318917720357</v>
      </c>
      <c r="CK161" s="1490">
        <v>39.439588468201791</v>
      </c>
      <c r="CL161" s="1490">
        <v>39.392053039782866</v>
      </c>
      <c r="CM161" s="1490">
        <v>39.344574904480901</v>
      </c>
      <c r="CN161" s="1490">
        <v>39.297153993242112</v>
      </c>
      <c r="CO161" s="1490">
        <v>39.249790237095944</v>
      </c>
      <c r="CP161" s="1490">
        <v>39.202483567154964</v>
      </c>
      <c r="CQ161" s="1490">
        <v>39.147690090479308</v>
      </c>
      <c r="CR161" s="1490">
        <v>39.092973198877175</v>
      </c>
      <c r="CS161" s="1490">
        <v>39.038332785305279</v>
      </c>
      <c r="CT161" s="1490">
        <v>38.983768742869955</v>
      </c>
      <c r="CU161" s="1490">
        <v>38.929280964826951</v>
      </c>
      <c r="CV161" s="1490">
        <v>38.876091192919297</v>
      </c>
      <c r="CW161" s="1490">
        <v>38.822974095147039</v>
      </c>
      <c r="CX161" s="1490">
        <v>38.769929572214203</v>
      </c>
      <c r="CY161" s="1490">
        <v>38.716957524960492</v>
      </c>
      <c r="CZ161" s="1491">
        <v>38.66405785436109</v>
      </c>
    </row>
    <row r="202" spans="1:2" ht="14" x14ac:dyDescent="0.3">
      <c r="A202" s="2"/>
      <c r="B202" s="2"/>
    </row>
    <row r="203" spans="1:2" ht="14" x14ac:dyDescent="0.3">
      <c r="A203" s="2"/>
      <c r="B203" s="2"/>
    </row>
    <row r="249" spans="1:29" x14ac:dyDescent="0.25">
      <c r="A249" s="33"/>
    </row>
    <row r="251" spans="1:29" x14ac:dyDescent="0.25">
      <c r="AC251" s="28"/>
    </row>
    <row r="252" spans="1:29" x14ac:dyDescent="0.25">
      <c r="AC252" s="28"/>
    </row>
    <row r="253" spans="1:29" x14ac:dyDescent="0.25">
      <c r="AC253" s="28"/>
    </row>
    <row r="254" spans="1:29" x14ac:dyDescent="0.25">
      <c r="AC254" s="28"/>
    </row>
    <row r="257" spans="29:29" x14ac:dyDescent="0.25">
      <c r="AC257" s="28"/>
    </row>
    <row r="258" spans="29:29" x14ac:dyDescent="0.25">
      <c r="AC258" s="28"/>
    </row>
    <row r="259" spans="29:29" x14ac:dyDescent="0.25">
      <c r="AC259" s="28"/>
    </row>
    <row r="260" spans="29:29" x14ac:dyDescent="0.25">
      <c r="AC260" s="28"/>
    </row>
    <row r="263" spans="29:29" x14ac:dyDescent="0.25">
      <c r="AC263" s="28"/>
    </row>
    <row r="264" spans="29:29" x14ac:dyDescent="0.25">
      <c r="AC264" s="28"/>
    </row>
    <row r="265" spans="29:29" x14ac:dyDescent="0.25">
      <c r="AC265" s="28"/>
    </row>
    <row r="266" spans="29:29" x14ac:dyDescent="0.25">
      <c r="AC266" s="28"/>
    </row>
    <row r="267" spans="29:29" x14ac:dyDescent="0.25">
      <c r="AC267" s="28"/>
    </row>
    <row r="268" spans="29:29" x14ac:dyDescent="0.25">
      <c r="AC268" s="28"/>
    </row>
    <row r="270" spans="29:29" x14ac:dyDescent="0.25">
      <c r="AC270" s="28"/>
    </row>
    <row r="273" spans="29:29" x14ac:dyDescent="0.25">
      <c r="AC273" s="28"/>
    </row>
    <row r="274" spans="29:29" x14ac:dyDescent="0.25">
      <c r="AC274" s="28"/>
    </row>
    <row r="275" spans="29:29" x14ac:dyDescent="0.25">
      <c r="AC275" s="28"/>
    </row>
    <row r="276" spans="29:29" x14ac:dyDescent="0.25">
      <c r="AC276" s="28"/>
    </row>
    <row r="277" spans="29:29" x14ac:dyDescent="0.25">
      <c r="AC277" s="28"/>
    </row>
    <row r="278" spans="29:29" x14ac:dyDescent="0.25">
      <c r="AC278" s="28"/>
    </row>
    <row r="279" spans="29:29" x14ac:dyDescent="0.25">
      <c r="AC279" s="28"/>
    </row>
    <row r="280" spans="29:29" x14ac:dyDescent="0.25">
      <c r="AC280" s="28"/>
    </row>
    <row r="283" spans="29:29" x14ac:dyDescent="0.25">
      <c r="AC283" s="28"/>
    </row>
    <row r="284" spans="29:29" x14ac:dyDescent="0.25">
      <c r="AC284" s="28"/>
    </row>
    <row r="285" spans="29:29" x14ac:dyDescent="0.25">
      <c r="AC285" s="28"/>
    </row>
    <row r="286" spans="29:29" x14ac:dyDescent="0.25">
      <c r="AC286" s="28"/>
    </row>
    <row r="289" spans="29:29" x14ac:dyDescent="0.25">
      <c r="AC289" s="28"/>
    </row>
    <row r="290" spans="29:29" x14ac:dyDescent="0.25">
      <c r="AC290" s="28"/>
    </row>
    <row r="291" spans="29:29" x14ac:dyDescent="0.25">
      <c r="AC291" s="28"/>
    </row>
    <row r="292" spans="29:29" x14ac:dyDescent="0.25">
      <c r="AC292" s="28"/>
    </row>
    <row r="293" spans="29:29" x14ac:dyDescent="0.25">
      <c r="AC293" s="28"/>
    </row>
    <row r="294" spans="29:29" x14ac:dyDescent="0.25">
      <c r="AC294" s="28"/>
    </row>
    <row r="295" spans="29:29" x14ac:dyDescent="0.25">
      <c r="AC295" s="28"/>
    </row>
    <row r="296" spans="29:29" x14ac:dyDescent="0.25">
      <c r="AC296" s="28"/>
    </row>
    <row r="297" spans="29:29" x14ac:dyDescent="0.25">
      <c r="AC297" s="28"/>
    </row>
    <row r="299" spans="29:29" x14ac:dyDescent="0.25">
      <c r="AC299" s="28"/>
    </row>
    <row r="303" spans="29:29" x14ac:dyDescent="0.25">
      <c r="AC303" s="28"/>
    </row>
    <row r="304" spans="29:29" x14ac:dyDescent="0.25">
      <c r="AC304" s="28"/>
    </row>
    <row r="305" spans="29:29" x14ac:dyDescent="0.25">
      <c r="AC305" s="28"/>
    </row>
    <row r="306" spans="29:29" x14ac:dyDescent="0.25">
      <c r="AC306" s="28"/>
    </row>
    <row r="307" spans="29:29" x14ac:dyDescent="0.25">
      <c r="AC307" s="28"/>
    </row>
    <row r="308" spans="29:29" x14ac:dyDescent="0.25">
      <c r="AC308" s="28"/>
    </row>
    <row r="309" spans="29:29" x14ac:dyDescent="0.25">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topLeftCell="E1" workbookViewId="0"/>
  </sheetViews>
  <sheetFormatPr defaultRowHeight="12.5" x14ac:dyDescent="0.25"/>
  <cols>
    <col min="1" max="1" width="27.81640625" customWidth="1"/>
    <col min="2" max="2" width="12.7265625" customWidth="1"/>
    <col min="3" max="3" width="19.81640625" customWidth="1"/>
    <col min="4" max="4" width="28.26953125" customWidth="1"/>
    <col min="5" max="5" width="16.54296875" customWidth="1"/>
    <col min="6" max="6" width="11.453125" customWidth="1"/>
    <col min="7" max="7" width="9.7265625" customWidth="1"/>
    <col min="8" max="8" width="10.26953125" customWidth="1"/>
    <col min="9" max="9" width="10.453125" customWidth="1"/>
    <col min="10" max="10" width="9.54296875" customWidth="1"/>
    <col min="11" max="12" width="10" customWidth="1"/>
    <col min="13" max="13" width="10.7265625" customWidth="1"/>
    <col min="14" max="14" width="9.54296875" customWidth="1"/>
    <col min="15" max="15" width="10.7265625" customWidth="1"/>
    <col min="16" max="16" width="10.26953125" customWidth="1"/>
    <col min="17" max="17" width="9.54296875" customWidth="1"/>
    <col min="18" max="18" width="9.7265625" customWidth="1"/>
    <col min="19" max="19" width="10" customWidth="1"/>
    <col min="20" max="21" width="9.7265625" customWidth="1"/>
    <col min="22" max="22" width="10" customWidth="1"/>
    <col min="23" max="24" width="9.7265625" customWidth="1"/>
    <col min="25" max="25" width="10" customWidth="1"/>
    <col min="26" max="26" width="9.7265625" customWidth="1"/>
    <col min="27" max="27" width="10.7265625" customWidth="1"/>
    <col min="28" max="28" width="10.26953125" customWidth="1"/>
    <col min="29" max="29" width="10" customWidth="1"/>
    <col min="30" max="30" width="9.7265625" customWidth="1"/>
    <col min="31" max="31" width="10.26953125" customWidth="1"/>
    <col min="32" max="32" width="10.453125" customWidth="1"/>
    <col min="33" max="33" width="9.54296875" customWidth="1"/>
    <col min="34" max="34" width="10" customWidth="1"/>
    <col min="35" max="35" width="9.26953125" customWidth="1"/>
    <col min="36" max="36" width="10" customWidth="1"/>
    <col min="37" max="37" width="10.26953125" customWidth="1"/>
    <col min="38" max="38" width="9.7265625" customWidth="1"/>
    <col min="39" max="39" width="9.54296875" customWidth="1"/>
    <col min="40" max="40" width="9.7265625" customWidth="1"/>
    <col min="41" max="41" width="10.26953125" customWidth="1"/>
    <col min="42" max="44" width="9.7265625" customWidth="1"/>
    <col min="45" max="45" width="9.26953125" customWidth="1"/>
    <col min="46" max="46" width="9.54296875" customWidth="1"/>
    <col min="47" max="47" width="9.7265625" customWidth="1"/>
    <col min="48" max="48" width="10.26953125" customWidth="1"/>
    <col min="49" max="49" width="10.453125" customWidth="1"/>
    <col min="50" max="50" width="9.54296875" customWidth="1"/>
    <col min="51" max="52" width="9.7265625" customWidth="1"/>
    <col min="53" max="54" width="9.54296875" customWidth="1"/>
    <col min="55" max="55" width="9.7265625" customWidth="1"/>
    <col min="56" max="56" width="9.54296875" customWidth="1"/>
    <col min="57" max="59" width="9.7265625" customWidth="1"/>
    <col min="60" max="60" width="9.54296875" customWidth="1"/>
    <col min="61" max="61" width="9.7265625" customWidth="1"/>
    <col min="62" max="62" width="9.54296875" customWidth="1"/>
    <col min="63" max="63" width="9.7265625" customWidth="1"/>
    <col min="64" max="64" width="10.26953125" customWidth="1"/>
    <col min="65" max="65" width="9.7265625" customWidth="1"/>
    <col min="66" max="66" width="10.26953125" customWidth="1"/>
    <col min="67" max="67" width="9.54296875" customWidth="1"/>
    <col min="68" max="68" width="9.7265625" customWidth="1"/>
    <col min="69" max="69" width="9.54296875" customWidth="1"/>
    <col min="70" max="70" width="9.7265625" customWidth="1"/>
    <col min="71" max="71" width="10.26953125" customWidth="1"/>
    <col min="72" max="72" width="9.7265625" customWidth="1"/>
    <col min="73" max="74" width="9.54296875" customWidth="1"/>
  </cols>
  <sheetData>
    <row r="1" spans="1:104" ht="53" thickTop="1" thickBot="1" x14ac:dyDescent="0.35">
      <c r="A1" s="223" t="s">
        <v>1050</v>
      </c>
      <c r="B1" s="224" t="s">
        <v>1049</v>
      </c>
      <c r="C1" s="902" t="s">
        <v>678</v>
      </c>
      <c r="D1" s="902" t="s">
        <v>823</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 thickTop="1" x14ac:dyDescent="0.25">
      <c r="A2" t="s">
        <v>1045</v>
      </c>
      <c r="B2" s="463" t="s">
        <v>707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5">
      <c r="A3" t="s">
        <v>1046</v>
      </c>
      <c r="B3" s="463" t="s">
        <v>707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5">
      <c r="A4" t="s">
        <v>1047</v>
      </c>
      <c r="B4" s="463" t="s">
        <v>707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5">
      <c r="A5" t="s">
        <v>1048</v>
      </c>
      <c r="B5" s="463"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5">
      <c r="A6" t="s">
        <v>674</v>
      </c>
      <c r="B6" s="463"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5">
      <c r="A7" s="463" t="s">
        <v>1088</v>
      </c>
      <c r="B7" s="463"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5">
      <c r="A8" s="463" t="s">
        <v>822</v>
      </c>
      <c r="B8" s="463"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5" x14ac:dyDescent="0.25"/>
  <cols>
    <col min="1" max="1" width="27.81640625" customWidth="1"/>
    <col min="2" max="2" width="19.81640625" customWidth="1"/>
    <col min="3" max="3" width="16.54296875" customWidth="1"/>
    <col min="4" max="4" width="11.4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 min="73" max="73" width="10" customWidth="1"/>
  </cols>
  <sheetData>
    <row r="1" spans="1:72" ht="15.5" x14ac:dyDescent="0.35">
      <c r="A1" s="1646" t="s">
        <v>743</v>
      </c>
      <c r="B1" s="1646"/>
      <c r="C1" s="1646"/>
      <c r="D1" s="1646"/>
      <c r="E1" s="1646"/>
      <c r="F1" s="1646"/>
      <c r="G1" s="1646"/>
      <c r="H1" s="1646"/>
      <c r="I1" s="1646"/>
      <c r="J1" s="1646"/>
      <c r="K1" s="1646"/>
      <c r="L1" s="1646"/>
      <c r="M1" s="1646"/>
      <c r="N1" s="1646"/>
      <c r="O1" s="1646"/>
      <c r="P1" s="1646"/>
      <c r="Q1" s="1646"/>
      <c r="R1" s="1646"/>
      <c r="S1" s="1646"/>
      <c r="T1" s="1646"/>
      <c r="U1" s="1646"/>
      <c r="V1" s="1646"/>
      <c r="W1" s="1646"/>
      <c r="X1" s="1646"/>
      <c r="Y1" s="1646"/>
      <c r="Z1" s="1646"/>
      <c r="AA1" s="1646"/>
      <c r="AB1" s="1646"/>
      <c r="AC1" s="1646"/>
      <c r="AD1" s="1646"/>
      <c r="AE1" s="1646"/>
      <c r="AF1" s="1646"/>
      <c r="AG1" s="1646"/>
      <c r="AH1" s="1646"/>
      <c r="AI1" s="1646"/>
      <c r="AJ1" s="1646"/>
      <c r="AK1" s="1646"/>
      <c r="AL1" s="1646"/>
      <c r="AM1" s="1646"/>
      <c r="AN1" s="1646"/>
      <c r="AO1" s="1646"/>
      <c r="AP1" s="1646"/>
      <c r="AQ1" s="1646"/>
      <c r="AR1" s="1646"/>
      <c r="AS1" s="1646"/>
      <c r="AT1" s="1646"/>
      <c r="AU1" s="1646"/>
      <c r="AV1" s="1646"/>
      <c r="AW1" s="1646"/>
      <c r="AX1" s="1646"/>
      <c r="AY1" s="1646"/>
      <c r="AZ1" s="1646"/>
      <c r="BA1" s="1646"/>
      <c r="BB1" s="1646"/>
      <c r="BC1" s="1646"/>
      <c r="BD1" s="1646"/>
      <c r="BE1" s="1646"/>
      <c r="BF1" s="1646"/>
      <c r="BG1" s="1646"/>
      <c r="BH1" s="1646"/>
      <c r="BI1" s="1646"/>
      <c r="BJ1" s="1646"/>
      <c r="BK1" s="1646"/>
      <c r="BL1" s="1646"/>
      <c r="BM1" s="1646"/>
      <c r="BN1" s="1646"/>
      <c r="BO1" s="1646"/>
      <c r="BP1" s="1646"/>
      <c r="BQ1" s="1646"/>
      <c r="BR1" s="1646"/>
      <c r="BS1" s="1646"/>
      <c r="BT1" s="1646"/>
    </row>
    <row r="2" spans="1:72" x14ac:dyDescent="0.25">
      <c r="A2" s="1647" t="s">
        <v>744</v>
      </c>
      <c r="B2" s="1647"/>
      <c r="C2" s="1647"/>
      <c r="D2" s="1647"/>
      <c r="E2" s="1647"/>
      <c r="F2" s="1647"/>
      <c r="G2" s="1647"/>
      <c r="H2" s="1647"/>
      <c r="I2" s="1647"/>
      <c r="J2" s="1647"/>
      <c r="K2" s="1647"/>
      <c r="L2" s="1647"/>
      <c r="M2" s="1647"/>
      <c r="N2" s="1647"/>
      <c r="O2" s="1647"/>
      <c r="P2" s="1647"/>
      <c r="Q2" s="1647"/>
      <c r="R2" s="1647"/>
      <c r="S2" s="1647"/>
      <c r="T2" s="1647"/>
      <c r="U2" s="1647"/>
      <c r="V2" s="1647"/>
      <c r="W2" s="1647"/>
      <c r="X2" s="1647"/>
      <c r="Y2" s="1647"/>
      <c r="Z2" s="1647"/>
      <c r="AA2" s="1647"/>
      <c r="AB2" s="1647"/>
      <c r="AC2" s="1647"/>
      <c r="AD2" s="1647"/>
      <c r="AE2" s="1647"/>
      <c r="AF2" s="1647"/>
      <c r="AG2" s="1647"/>
      <c r="AH2" s="1647"/>
      <c r="AI2" s="1647"/>
      <c r="AJ2" s="1647"/>
      <c r="AK2" s="1647"/>
      <c r="AL2" s="1647"/>
      <c r="AM2" s="1647"/>
      <c r="AN2" s="1647"/>
      <c r="AO2" s="1647"/>
      <c r="AP2" s="1647"/>
      <c r="AQ2" s="1647"/>
      <c r="AR2" s="1647"/>
      <c r="AS2" s="1647"/>
      <c r="AT2" s="1647"/>
      <c r="AU2" s="1647"/>
      <c r="AV2" s="1647"/>
      <c r="AW2" s="1647"/>
      <c r="AX2" s="1647"/>
      <c r="AY2" s="1647"/>
      <c r="AZ2" s="1647"/>
      <c r="BA2" s="1647"/>
      <c r="BB2" s="1647"/>
      <c r="BC2" s="1647"/>
      <c r="BD2" s="1647"/>
      <c r="BE2" s="1647"/>
      <c r="BF2" s="1647"/>
      <c r="BG2" s="1647"/>
      <c r="BH2" s="1647"/>
      <c r="BI2" s="1647"/>
      <c r="BJ2" s="1647"/>
      <c r="BK2" s="1647"/>
      <c r="BL2" s="1647"/>
      <c r="BM2" s="1647"/>
      <c r="BN2" s="1647"/>
      <c r="BO2" s="1647"/>
      <c r="BP2" s="1647"/>
      <c r="BQ2" s="1647"/>
      <c r="BR2" s="1647"/>
      <c r="BS2" s="1647"/>
      <c r="BT2" s="1647"/>
    </row>
    <row r="3" spans="1:72" ht="13" thickBot="1" x14ac:dyDescent="0.3">
      <c r="A3" s="1648"/>
      <c r="B3" s="1648"/>
      <c r="C3" s="1648"/>
      <c r="D3" s="1648"/>
      <c r="E3" s="1648"/>
      <c r="F3" s="1648"/>
      <c r="G3" s="1648"/>
      <c r="H3" s="1648"/>
      <c r="I3" s="1648"/>
      <c r="J3" s="1648"/>
      <c r="K3" s="1648"/>
      <c r="L3" s="1648"/>
      <c r="M3" s="1648"/>
      <c r="N3" s="1648"/>
      <c r="O3" s="1648"/>
      <c r="P3" s="1648"/>
      <c r="Q3" s="1648"/>
      <c r="R3" s="1648"/>
      <c r="S3" s="1648"/>
      <c r="T3" s="1648"/>
      <c r="U3" s="1648"/>
      <c r="V3" s="1648"/>
      <c r="W3" s="1648"/>
      <c r="X3" s="1648"/>
      <c r="Y3" s="1648"/>
      <c r="Z3" s="1648"/>
      <c r="AA3" s="1648"/>
      <c r="AB3" s="1648"/>
      <c r="AC3" s="1648"/>
      <c r="AD3" s="1648"/>
      <c r="AE3" s="1648"/>
      <c r="AF3" s="1648"/>
      <c r="AG3" s="1648"/>
      <c r="AH3" s="1648"/>
      <c r="AI3" s="1648"/>
      <c r="AJ3" s="1648"/>
      <c r="AK3" s="1648"/>
      <c r="AL3" s="1648"/>
      <c r="AM3" s="1648"/>
      <c r="AN3" s="1648"/>
      <c r="AO3" s="1648"/>
      <c r="AP3" s="1648"/>
      <c r="AQ3" s="1648"/>
      <c r="AR3" s="1648"/>
      <c r="AS3" s="1648"/>
      <c r="AT3" s="1648"/>
      <c r="AU3" s="1648"/>
      <c r="AV3" s="1648"/>
      <c r="AW3" s="1648"/>
      <c r="AX3" s="1648"/>
      <c r="AY3" s="1648"/>
      <c r="AZ3" s="1648"/>
      <c r="BA3" s="1648"/>
      <c r="BB3" s="1648"/>
      <c r="BC3" s="1648"/>
      <c r="BD3" s="1648"/>
      <c r="BE3" s="1648"/>
      <c r="BF3" s="1648"/>
      <c r="BG3" s="1648"/>
      <c r="BH3" s="1648"/>
      <c r="BI3" s="1648"/>
      <c r="BJ3" s="1648"/>
      <c r="BK3" s="1648"/>
      <c r="BL3" s="1648"/>
      <c r="BM3" s="1648"/>
      <c r="BN3" s="1648"/>
      <c r="BO3" s="1648"/>
      <c r="BP3" s="1648"/>
      <c r="BQ3" s="1648"/>
      <c r="BR3" s="1648"/>
      <c r="BS3" s="1648"/>
      <c r="BT3" s="1648"/>
    </row>
    <row r="4" spans="1:72" x14ac:dyDescent="0.25">
      <c r="A4" s="915"/>
      <c r="B4" s="916" t="s">
        <v>1049</v>
      </c>
      <c r="C4" s="917">
        <v>2001</v>
      </c>
      <c r="D4" s="917">
        <v>2002</v>
      </c>
      <c r="E4" s="917">
        <v>2003</v>
      </c>
      <c r="F4" s="917">
        <v>2004</v>
      </c>
      <c r="G4" s="917">
        <v>2005</v>
      </c>
      <c r="H4" s="917">
        <v>2006</v>
      </c>
      <c r="I4" s="917">
        <v>2007</v>
      </c>
      <c r="J4" s="917">
        <v>2008</v>
      </c>
      <c r="K4" s="917">
        <v>2009</v>
      </c>
      <c r="L4" s="917">
        <v>2010</v>
      </c>
      <c r="M4" s="917">
        <v>2011</v>
      </c>
      <c r="N4" s="917">
        <v>2012</v>
      </c>
      <c r="O4" s="917">
        <v>2013</v>
      </c>
      <c r="P4" s="917">
        <v>2014</v>
      </c>
      <c r="Q4" s="917">
        <v>2015</v>
      </c>
      <c r="R4" s="917">
        <v>2016</v>
      </c>
      <c r="S4" s="917">
        <v>2017</v>
      </c>
      <c r="T4" s="917">
        <v>2018</v>
      </c>
      <c r="U4" s="917">
        <v>2019</v>
      </c>
      <c r="V4" s="917">
        <v>2020</v>
      </c>
      <c r="W4" s="917">
        <v>2021</v>
      </c>
      <c r="X4" s="917">
        <v>2022</v>
      </c>
      <c r="Y4" s="917">
        <v>2023</v>
      </c>
      <c r="Z4" s="917">
        <v>2024</v>
      </c>
      <c r="AA4" s="917">
        <v>2025</v>
      </c>
      <c r="AB4" s="917">
        <v>2026</v>
      </c>
      <c r="AC4" s="917">
        <v>2027</v>
      </c>
      <c r="AD4" s="917">
        <v>2028</v>
      </c>
      <c r="AE4" s="917">
        <v>2029</v>
      </c>
      <c r="AF4" s="917">
        <v>2030</v>
      </c>
      <c r="AG4" s="917">
        <v>2031</v>
      </c>
      <c r="AH4" s="917">
        <v>2032</v>
      </c>
      <c r="AI4" s="917">
        <v>2033</v>
      </c>
      <c r="AJ4" s="917">
        <v>2034</v>
      </c>
      <c r="AK4" s="917">
        <v>2035</v>
      </c>
      <c r="AL4" s="917">
        <v>2036</v>
      </c>
      <c r="AM4" s="917">
        <v>2037</v>
      </c>
      <c r="AN4" s="917">
        <v>2038</v>
      </c>
      <c r="AO4" s="917">
        <v>2039</v>
      </c>
      <c r="AP4" s="917">
        <v>2040</v>
      </c>
      <c r="AQ4" s="917">
        <v>2041</v>
      </c>
      <c r="AR4" s="917">
        <v>2042</v>
      </c>
      <c r="AS4" s="917">
        <v>2043</v>
      </c>
      <c r="AT4" s="917">
        <v>2044</v>
      </c>
      <c r="AU4" s="917">
        <v>2045</v>
      </c>
      <c r="AV4" s="917">
        <v>2046</v>
      </c>
      <c r="AW4" s="917">
        <v>2047</v>
      </c>
      <c r="AX4" s="917">
        <v>2048</v>
      </c>
      <c r="AY4" s="917">
        <v>2049</v>
      </c>
      <c r="AZ4" s="917">
        <v>2050</v>
      </c>
      <c r="BA4" s="917">
        <v>2051</v>
      </c>
      <c r="BB4" s="917">
        <v>2052</v>
      </c>
      <c r="BC4" s="917">
        <v>2053</v>
      </c>
      <c r="BD4" s="917">
        <v>2054</v>
      </c>
      <c r="BE4" s="917">
        <v>2056</v>
      </c>
      <c r="BF4" s="917">
        <v>2056</v>
      </c>
      <c r="BG4" s="917">
        <v>2057</v>
      </c>
      <c r="BH4" s="917">
        <v>2058</v>
      </c>
      <c r="BI4" s="917">
        <v>2059</v>
      </c>
      <c r="BJ4" s="917">
        <v>2060</v>
      </c>
      <c r="BK4" s="917">
        <v>2061</v>
      </c>
      <c r="BL4" s="917">
        <v>2062</v>
      </c>
      <c r="BM4" s="917">
        <v>2063</v>
      </c>
      <c r="BN4" s="917">
        <v>2064</v>
      </c>
      <c r="BO4" s="917">
        <v>2065</v>
      </c>
      <c r="BP4" s="917">
        <v>2066</v>
      </c>
      <c r="BQ4" s="917">
        <v>2067</v>
      </c>
      <c r="BR4" s="917">
        <v>2068</v>
      </c>
      <c r="BS4" s="917">
        <v>2069</v>
      </c>
      <c r="BT4" s="918">
        <v>2070</v>
      </c>
    </row>
    <row r="5" spans="1:72" x14ac:dyDescent="0.25">
      <c r="A5" s="1649" t="s">
        <v>745</v>
      </c>
      <c r="B5" s="1650"/>
      <c r="C5" s="1650"/>
      <c r="D5" s="1650"/>
      <c r="E5" s="1650"/>
      <c r="F5" s="1650"/>
      <c r="G5" s="1650"/>
      <c r="H5" s="1650"/>
      <c r="I5" s="1650"/>
      <c r="J5" s="1650"/>
      <c r="K5" s="1650"/>
      <c r="L5" s="1650"/>
      <c r="M5" s="1650"/>
      <c r="N5" s="1650"/>
      <c r="O5" s="1650"/>
      <c r="P5" s="1650"/>
      <c r="Q5" s="1650"/>
      <c r="R5" s="1650"/>
      <c r="S5" s="1650"/>
      <c r="T5" s="1650"/>
      <c r="U5" s="1650"/>
      <c r="V5" s="1650"/>
      <c r="W5" s="1650"/>
      <c r="X5" s="1650"/>
      <c r="Y5" s="1650"/>
      <c r="Z5" s="1650"/>
      <c r="AA5" s="1650"/>
      <c r="AB5" s="1650"/>
      <c r="AC5" s="1650"/>
      <c r="AD5" s="1650"/>
      <c r="AE5" s="1650"/>
      <c r="AF5" s="1650"/>
      <c r="AG5" s="1650"/>
      <c r="AH5" s="1650"/>
      <c r="AI5" s="1650"/>
      <c r="AJ5" s="1650"/>
      <c r="AK5" s="1650"/>
      <c r="AL5" s="1650"/>
      <c r="AM5" s="1650"/>
      <c r="AN5" s="1650"/>
      <c r="AO5" s="1650"/>
      <c r="AP5" s="1650"/>
      <c r="AQ5" s="1650"/>
      <c r="AR5" s="1650"/>
      <c r="AS5" s="1650"/>
      <c r="AT5" s="1650"/>
      <c r="AU5" s="1650"/>
      <c r="AV5" s="1650"/>
      <c r="AW5" s="1650"/>
      <c r="AX5" s="1650"/>
      <c r="AY5" s="1650"/>
      <c r="AZ5" s="1650"/>
      <c r="BA5" s="1650"/>
      <c r="BB5" s="1650"/>
      <c r="BC5" s="1650"/>
      <c r="BD5" s="1650"/>
      <c r="BE5" s="1650"/>
      <c r="BF5" s="1650"/>
      <c r="BG5" s="1650"/>
      <c r="BH5" s="1650"/>
      <c r="BI5" s="1650"/>
      <c r="BJ5" s="1650"/>
      <c r="BK5" s="1650"/>
      <c r="BL5" s="1650"/>
      <c r="BM5" s="1650"/>
      <c r="BN5" s="1650"/>
      <c r="BO5" s="1650"/>
      <c r="BP5" s="1650"/>
      <c r="BQ5" s="1650"/>
      <c r="BR5" s="1650"/>
      <c r="BS5" s="1650"/>
      <c r="BT5" s="1651"/>
    </row>
    <row r="6" spans="1:72" x14ac:dyDescent="0.25">
      <c r="A6" s="919" t="s">
        <v>746</v>
      </c>
      <c r="B6" s="920" t="s">
        <v>747</v>
      </c>
      <c r="C6" s="921">
        <v>8.9541000728991982</v>
      </c>
      <c r="D6" s="921">
        <v>6.8979457774252282</v>
      </c>
      <c r="E6" s="921">
        <v>8.4197996967243682</v>
      </c>
      <c r="F6" s="921">
        <v>8.8059982398770913</v>
      </c>
      <c r="G6" s="921">
        <v>8.8656468751295598</v>
      </c>
      <c r="H6" s="921">
        <v>8.2234977371287847</v>
      </c>
      <c r="I6" s="921">
        <v>7.8073426530046319</v>
      </c>
      <c r="J6" s="921">
        <v>7.4325694992857168</v>
      </c>
      <c r="K6" s="921">
        <v>7.297531685739191</v>
      </c>
      <c r="L6" s="921">
        <v>7.1966502441550162</v>
      </c>
      <c r="M6" s="921">
        <v>7.2405429268783017</v>
      </c>
      <c r="N6" s="921">
        <v>7.2944294079294778</v>
      </c>
      <c r="O6" s="921">
        <v>7.4037989917791105</v>
      </c>
      <c r="P6" s="921">
        <v>7.5440859727139706</v>
      </c>
      <c r="Q6" s="921">
        <v>7.6385998163583153</v>
      </c>
      <c r="R6" s="921">
        <v>7.6698249061152577</v>
      </c>
      <c r="S6" s="921">
        <v>7.596507558282819</v>
      </c>
      <c r="T6" s="921">
        <v>7.644327174942454</v>
      </c>
      <c r="U6" s="921">
        <v>7.7875295315148705</v>
      </c>
      <c r="V6" s="921">
        <v>8.0180296178133954</v>
      </c>
      <c r="W6" s="921">
        <v>8.1425457338117244</v>
      </c>
      <c r="X6" s="921">
        <v>8.1602542175436898</v>
      </c>
      <c r="Y6" s="921">
        <v>8.1927349319997838</v>
      </c>
      <c r="Z6" s="921">
        <v>8.2544961582939571</v>
      </c>
      <c r="AA6" s="921">
        <v>8.3511330316651513</v>
      </c>
      <c r="AB6" s="922">
        <v>8.4290329061652454</v>
      </c>
      <c r="AC6" s="922">
        <v>8.5069327806653394</v>
      </c>
      <c r="AD6" s="922">
        <v>8.5848326551654335</v>
      </c>
      <c r="AE6" s="922">
        <v>8.6627325296655275</v>
      </c>
      <c r="AF6" s="922">
        <v>8.7406324041656216</v>
      </c>
      <c r="AG6" s="922">
        <v>8.8185322786657157</v>
      </c>
      <c r="AH6" s="922">
        <v>8.8964321531658097</v>
      </c>
      <c r="AI6" s="922">
        <v>8.9743320276659038</v>
      </c>
      <c r="AJ6" s="922">
        <v>9.0522319021659978</v>
      </c>
      <c r="AK6" s="922">
        <v>9.1301317766660848</v>
      </c>
      <c r="AL6" s="922">
        <v>9.2578200706648097</v>
      </c>
      <c r="AM6" s="922">
        <v>9.3855083646635347</v>
      </c>
      <c r="AN6" s="922">
        <v>9.5131966586622596</v>
      </c>
      <c r="AO6" s="922">
        <v>9.6408849526609846</v>
      </c>
      <c r="AP6" s="922">
        <v>9.7685732466597095</v>
      </c>
      <c r="AQ6" s="922">
        <v>9.8962615406584344</v>
      </c>
      <c r="AR6" s="922">
        <v>10.023949834657159</v>
      </c>
      <c r="AS6" s="922">
        <v>10.151638128655884</v>
      </c>
      <c r="AT6" s="922">
        <v>10.279326422654609</v>
      </c>
      <c r="AU6" s="922">
        <v>10.407014716653334</v>
      </c>
      <c r="AV6" s="922">
        <v>10.534703010652059</v>
      </c>
      <c r="AW6" s="922">
        <v>10.662391304650784</v>
      </c>
      <c r="AX6" s="922">
        <v>10.790079598649509</v>
      </c>
      <c r="AY6" s="922">
        <v>10.917767892648234</v>
      </c>
      <c r="AZ6" s="923">
        <v>11.045456186646948</v>
      </c>
      <c r="BA6" s="922">
        <v>11.066404719719236</v>
      </c>
      <c r="BB6" s="922">
        <v>11.087353252791523</v>
      </c>
      <c r="BC6" s="922">
        <v>11.10830178586381</v>
      </c>
      <c r="BD6" s="922">
        <v>11.129250318936098</v>
      </c>
      <c r="BE6" s="922">
        <v>11.150198852008385</v>
      </c>
      <c r="BF6" s="922">
        <v>11.171147385080673</v>
      </c>
      <c r="BG6" s="922">
        <v>11.19209591815296</v>
      </c>
      <c r="BH6" s="922">
        <v>11.213044451225247</v>
      </c>
      <c r="BI6" s="922">
        <v>11.233992984297535</v>
      </c>
      <c r="BJ6" s="922">
        <v>11.254941517369822</v>
      </c>
      <c r="BK6" s="922">
        <v>11.27589005044211</v>
      </c>
      <c r="BL6" s="922">
        <v>11.296838583514397</v>
      </c>
      <c r="BM6" s="922">
        <v>11.317787116586684</v>
      </c>
      <c r="BN6" s="922">
        <v>11.338735649658972</v>
      </c>
      <c r="BO6" s="923">
        <v>11.359684182731248</v>
      </c>
      <c r="BP6" s="922">
        <v>11.381228672680008</v>
      </c>
      <c r="BQ6" s="922">
        <v>11.402773162628767</v>
      </c>
      <c r="BR6" s="922">
        <v>11.424317652577527</v>
      </c>
      <c r="BS6" s="922">
        <v>11.445862142526286</v>
      </c>
      <c r="BT6" s="924">
        <v>11.467406632475045</v>
      </c>
    </row>
    <row r="7" spans="1:72" x14ac:dyDescent="0.25">
      <c r="A7" s="925" t="s">
        <v>748</v>
      </c>
      <c r="B7" s="920" t="s">
        <v>747</v>
      </c>
      <c r="C7" s="921">
        <v>5.2088497969877503</v>
      </c>
      <c r="D7" s="921">
        <v>4.0515519538015683</v>
      </c>
      <c r="E7" s="921">
        <v>5.7953765594734321</v>
      </c>
      <c r="F7" s="921">
        <v>6.3059286733843276</v>
      </c>
      <c r="G7" s="921">
        <v>6.3351569917966728</v>
      </c>
      <c r="H7" s="921">
        <v>5.6603640970194089</v>
      </c>
      <c r="I7" s="921">
        <v>5.2154936812958672</v>
      </c>
      <c r="J7" s="921">
        <v>4.824472465605103</v>
      </c>
      <c r="K7" s="921">
        <v>4.7214620293311338</v>
      </c>
      <c r="L7" s="921">
        <v>4.5987567766657387</v>
      </c>
      <c r="M7" s="921">
        <v>4.6224680014376371</v>
      </c>
      <c r="N7" s="921">
        <v>4.6768878495918127</v>
      </c>
      <c r="O7" s="921">
        <v>4.7861952984108127</v>
      </c>
      <c r="P7" s="921">
        <v>4.922351045428587</v>
      </c>
      <c r="Q7" s="921">
        <v>5.0173813554475863</v>
      </c>
      <c r="R7" s="921">
        <v>5.0686005039035118</v>
      </c>
      <c r="S7" s="921">
        <v>5.0229759936062797</v>
      </c>
      <c r="T7" s="921">
        <v>5.0914502886106439</v>
      </c>
      <c r="U7" s="921">
        <v>5.2365480121576597</v>
      </c>
      <c r="V7" s="921">
        <v>5.4816269649649545</v>
      </c>
      <c r="W7" s="921">
        <v>5.5841408180740668</v>
      </c>
      <c r="X7" s="921">
        <v>5.5850370537559959</v>
      </c>
      <c r="Y7" s="921">
        <v>5.6052826350589937</v>
      </c>
      <c r="Z7" s="921">
        <v>5.6612136071582997</v>
      </c>
      <c r="AA7" s="921">
        <v>5.7676752715740598</v>
      </c>
      <c r="AB7" s="922">
        <v>5.8539244792759346</v>
      </c>
      <c r="AC7" s="922">
        <v>5.9401736869778095</v>
      </c>
      <c r="AD7" s="922">
        <v>6.0264228946796843</v>
      </c>
      <c r="AE7" s="922">
        <v>6.1126721023815591</v>
      </c>
      <c r="AF7" s="922">
        <v>6.1989213100834339</v>
      </c>
      <c r="AG7" s="922">
        <v>6.2851705177853088</v>
      </c>
      <c r="AH7" s="922">
        <v>6.3714197254871836</v>
      </c>
      <c r="AI7" s="922">
        <v>6.4576689331890584</v>
      </c>
      <c r="AJ7" s="922">
        <v>6.5439181408909333</v>
      </c>
      <c r="AK7" s="922">
        <v>6.6301673485928063</v>
      </c>
      <c r="AL7" s="922">
        <v>6.7228927087931387</v>
      </c>
      <c r="AM7" s="922">
        <v>6.8156180689934711</v>
      </c>
      <c r="AN7" s="922">
        <v>6.9083434291938035</v>
      </c>
      <c r="AO7" s="922">
        <v>7.0010687893941359</v>
      </c>
      <c r="AP7" s="922">
        <v>7.0937941495944683</v>
      </c>
      <c r="AQ7" s="922">
        <v>7.1865195097948007</v>
      </c>
      <c r="AR7" s="922">
        <v>7.2792448699951331</v>
      </c>
      <c r="AS7" s="922">
        <v>7.3719702301954655</v>
      </c>
      <c r="AT7" s="922">
        <v>7.4646955903957979</v>
      </c>
      <c r="AU7" s="922">
        <v>7.5574209505961303</v>
      </c>
      <c r="AV7" s="922">
        <v>7.6501463107964627</v>
      </c>
      <c r="AW7" s="922">
        <v>7.7428716709967951</v>
      </c>
      <c r="AX7" s="922">
        <v>7.8355970311971275</v>
      </c>
      <c r="AY7" s="922">
        <v>7.9283223913974599</v>
      </c>
      <c r="AZ7" s="923">
        <v>8.021047751597786</v>
      </c>
      <c r="BA7" s="922">
        <v>8.0362602680624171</v>
      </c>
      <c r="BB7" s="922">
        <v>8.0514727845270482</v>
      </c>
      <c r="BC7" s="922">
        <v>8.0666853009916792</v>
      </c>
      <c r="BD7" s="922">
        <v>8.0818978174563103</v>
      </c>
      <c r="BE7" s="922">
        <v>8.0971103339209414</v>
      </c>
      <c r="BF7" s="922">
        <v>8.1123228503855724</v>
      </c>
      <c r="BG7" s="922">
        <v>8.1275353668502035</v>
      </c>
      <c r="BH7" s="922">
        <v>8.1427478833148346</v>
      </c>
      <c r="BI7" s="922">
        <v>8.1579603997794656</v>
      </c>
      <c r="BJ7" s="922">
        <v>8.1731729162440967</v>
      </c>
      <c r="BK7" s="922">
        <v>8.1883854327087278</v>
      </c>
      <c r="BL7" s="922">
        <v>8.2035979491733588</v>
      </c>
      <c r="BM7" s="922">
        <v>8.2188104656379899</v>
      </c>
      <c r="BN7" s="922">
        <v>8.234022982102621</v>
      </c>
      <c r="BO7" s="923">
        <v>8.2492354985672645</v>
      </c>
      <c r="BP7" s="922">
        <v>8.2648807901462327</v>
      </c>
      <c r="BQ7" s="922">
        <v>8.2805260817252009</v>
      </c>
      <c r="BR7" s="922">
        <v>8.2961713733041691</v>
      </c>
      <c r="BS7" s="922">
        <v>8.3118166648831373</v>
      </c>
      <c r="BT7" s="924">
        <v>8.3274619564621091</v>
      </c>
    </row>
    <row r="8" spans="1:72" x14ac:dyDescent="0.25">
      <c r="A8" s="925" t="s">
        <v>749</v>
      </c>
      <c r="B8" s="920" t="s">
        <v>747</v>
      </c>
      <c r="C8" s="921">
        <v>5.6269638934579786</v>
      </c>
      <c r="D8" s="921">
        <v>3.8422456293735823</v>
      </c>
      <c r="E8" s="921">
        <v>5.691139826234779</v>
      </c>
      <c r="F8" s="921">
        <v>6.2376343214286925</v>
      </c>
      <c r="G8" s="921">
        <v>6.1731978092553481</v>
      </c>
      <c r="H8" s="921">
        <v>5.4998161252939477</v>
      </c>
      <c r="I8" s="921">
        <v>5.0667498741509744</v>
      </c>
      <c r="J8" s="921">
        <v>4.6999946247856554</v>
      </c>
      <c r="K8" s="921">
        <v>4.5877827360944901</v>
      </c>
      <c r="L8" s="921">
        <v>4.4974766767249967</v>
      </c>
      <c r="M8" s="921">
        <v>4.5471429464952013</v>
      </c>
      <c r="N8" s="921">
        <v>4.6470168064225401</v>
      </c>
      <c r="O8" s="921">
        <v>4.7885290901615907</v>
      </c>
      <c r="P8" s="921">
        <v>4.9298490038457894</v>
      </c>
      <c r="Q8" s="921">
        <v>5.0143193411377212</v>
      </c>
      <c r="R8" s="921">
        <v>5.0431599369588911</v>
      </c>
      <c r="S8" s="921">
        <v>4.9958503246307417</v>
      </c>
      <c r="T8" s="921">
        <v>5.071809156885692</v>
      </c>
      <c r="U8" s="921">
        <v>5.2209958625289659</v>
      </c>
      <c r="V8" s="921">
        <v>5.4542850660827948</v>
      </c>
      <c r="W8" s="921">
        <v>5.5514960671370845</v>
      </c>
      <c r="X8" s="921">
        <v>5.5489887943807661</v>
      </c>
      <c r="Y8" s="921">
        <v>5.5622220646660265</v>
      </c>
      <c r="Z8" s="921">
        <v>5.6263508841676488</v>
      </c>
      <c r="AA8" s="921">
        <v>5.730461856104295</v>
      </c>
      <c r="AB8" s="922">
        <v>5.8123040182474703</v>
      </c>
      <c r="AC8" s="922">
        <v>5.8941461803906456</v>
      </c>
      <c r="AD8" s="922">
        <v>5.9759883425338209</v>
      </c>
      <c r="AE8" s="922">
        <v>6.0578305046769962</v>
      </c>
      <c r="AF8" s="922">
        <v>6.1396726668201715</v>
      </c>
      <c r="AG8" s="922">
        <v>6.2215148289633468</v>
      </c>
      <c r="AH8" s="922">
        <v>6.3033569911065221</v>
      </c>
      <c r="AI8" s="922">
        <v>6.3851991532496974</v>
      </c>
      <c r="AJ8" s="922">
        <v>6.4670413153928727</v>
      </c>
      <c r="AK8" s="922">
        <v>6.5488834775360516</v>
      </c>
      <c r="AL8" s="922">
        <v>6.6404720525202734</v>
      </c>
      <c r="AM8" s="922">
        <v>6.7320606275044952</v>
      </c>
      <c r="AN8" s="922">
        <v>6.823649202488717</v>
      </c>
      <c r="AO8" s="922">
        <v>6.9152377774729388</v>
      </c>
      <c r="AP8" s="922">
        <v>7.0068263524571606</v>
      </c>
      <c r="AQ8" s="922">
        <v>7.0984149274413824</v>
      </c>
      <c r="AR8" s="922">
        <v>7.1900035024256042</v>
      </c>
      <c r="AS8" s="922">
        <v>7.2815920774098259</v>
      </c>
      <c r="AT8" s="922">
        <v>7.3731806523940477</v>
      </c>
      <c r="AU8" s="922">
        <v>7.4647692273782695</v>
      </c>
      <c r="AV8" s="922">
        <v>7.5563578023624913</v>
      </c>
      <c r="AW8" s="922">
        <v>7.6479463773467131</v>
      </c>
      <c r="AX8" s="922">
        <v>7.7395349523309349</v>
      </c>
      <c r="AY8" s="922">
        <v>7.8311235273151567</v>
      </c>
      <c r="AZ8" s="923">
        <v>7.9227121022993829</v>
      </c>
      <c r="BA8" s="922">
        <v>7.9377381178566102</v>
      </c>
      <c r="BB8" s="922">
        <v>7.9527641334138375</v>
      </c>
      <c r="BC8" s="922">
        <v>7.9677901489710647</v>
      </c>
      <c r="BD8" s="922">
        <v>7.982816164528292</v>
      </c>
      <c r="BE8" s="922">
        <v>7.9978421800855193</v>
      </c>
      <c r="BF8" s="922">
        <v>8.0128681956427457</v>
      </c>
      <c r="BG8" s="922">
        <v>8.0278942111999729</v>
      </c>
      <c r="BH8" s="922">
        <v>8.0429202267572002</v>
      </c>
      <c r="BI8" s="922">
        <v>8.0579462423144275</v>
      </c>
      <c r="BJ8" s="922">
        <v>8.0729722578716547</v>
      </c>
      <c r="BK8" s="922">
        <v>8.087998273428882</v>
      </c>
      <c r="BL8" s="922">
        <v>8.1030242889861093</v>
      </c>
      <c r="BM8" s="922">
        <v>8.1180503045433365</v>
      </c>
      <c r="BN8" s="922">
        <v>8.1330763201005638</v>
      </c>
      <c r="BO8" s="923">
        <v>8.1481023356577857</v>
      </c>
      <c r="BP8" s="922">
        <v>8.1635558206357306</v>
      </c>
      <c r="BQ8" s="922">
        <v>8.1790093056136755</v>
      </c>
      <c r="BR8" s="922">
        <v>8.1944627905916203</v>
      </c>
      <c r="BS8" s="922">
        <v>8.2099162755695652</v>
      </c>
      <c r="BT8" s="924">
        <v>8.2253697605475136</v>
      </c>
    </row>
    <row r="9" spans="1:72" x14ac:dyDescent="0.25">
      <c r="A9" s="1649" t="s">
        <v>750</v>
      </c>
      <c r="B9" s="1650"/>
      <c r="C9" s="1650"/>
      <c r="D9" s="1650"/>
      <c r="E9" s="1650"/>
      <c r="F9" s="1650"/>
      <c r="G9" s="1650"/>
      <c r="H9" s="1650"/>
      <c r="I9" s="1650"/>
      <c r="J9" s="1650"/>
      <c r="K9" s="1650"/>
      <c r="L9" s="1650"/>
      <c r="M9" s="1650"/>
      <c r="N9" s="1650"/>
      <c r="O9" s="1650"/>
      <c r="P9" s="1650"/>
      <c r="Q9" s="1650"/>
      <c r="R9" s="1650"/>
      <c r="S9" s="1650"/>
      <c r="T9" s="1650"/>
      <c r="U9" s="1650"/>
      <c r="V9" s="1650"/>
      <c r="W9" s="1650"/>
      <c r="X9" s="1650"/>
      <c r="Y9" s="1650"/>
      <c r="Z9" s="1650"/>
      <c r="AA9" s="1650"/>
      <c r="AB9" s="1650"/>
      <c r="AC9" s="1650"/>
      <c r="AD9" s="1650"/>
      <c r="AE9" s="1650"/>
      <c r="AF9" s="1650"/>
      <c r="AG9" s="1650"/>
      <c r="AH9" s="1650"/>
      <c r="AI9" s="1650"/>
      <c r="AJ9" s="1650"/>
      <c r="AK9" s="1650"/>
      <c r="AL9" s="1650"/>
      <c r="AM9" s="1650"/>
      <c r="AN9" s="1650"/>
      <c r="AO9" s="1650"/>
      <c r="AP9" s="1650"/>
      <c r="AQ9" s="1650"/>
      <c r="AR9" s="1650"/>
      <c r="AS9" s="1650"/>
      <c r="AT9" s="1650"/>
      <c r="AU9" s="1650"/>
      <c r="AV9" s="1650"/>
      <c r="AW9" s="1650"/>
      <c r="AX9" s="1650"/>
      <c r="AY9" s="1650"/>
      <c r="AZ9" s="1650"/>
      <c r="BA9" s="1650"/>
      <c r="BB9" s="1650"/>
      <c r="BC9" s="1650"/>
      <c r="BD9" s="1650"/>
      <c r="BE9" s="1650"/>
      <c r="BF9" s="1650"/>
      <c r="BG9" s="1650"/>
      <c r="BH9" s="1650"/>
      <c r="BI9" s="1650"/>
      <c r="BJ9" s="1650"/>
      <c r="BK9" s="1650"/>
      <c r="BL9" s="1650"/>
      <c r="BM9" s="1650"/>
      <c r="BN9" s="1650"/>
      <c r="BO9" s="1650"/>
      <c r="BP9" s="1650"/>
      <c r="BQ9" s="1650"/>
      <c r="BR9" s="1650"/>
      <c r="BS9" s="1650"/>
      <c r="BT9" s="1651"/>
    </row>
    <row r="10" spans="1:72" x14ac:dyDescent="0.25">
      <c r="A10" s="925" t="s">
        <v>683</v>
      </c>
      <c r="B10" s="920" t="s">
        <v>747</v>
      </c>
      <c r="C10" s="921">
        <v>24.866788774356646</v>
      </c>
      <c r="D10" s="921">
        <v>24.345010037692106</v>
      </c>
      <c r="E10" s="921">
        <v>24.223933219909672</v>
      </c>
      <c r="F10" s="921">
        <v>24.020635352944481</v>
      </c>
      <c r="G10" s="921">
        <v>23.91295186528621</v>
      </c>
      <c r="H10" s="921">
        <v>22.837542614846832</v>
      </c>
      <c r="I10" s="921">
        <v>21.69091966017233</v>
      </c>
      <c r="J10" s="921">
        <v>21.090846376599046</v>
      </c>
      <c r="K10" s="921">
        <v>21.058556043876806</v>
      </c>
      <c r="L10" s="921">
        <v>20.987678365887316</v>
      </c>
      <c r="M10" s="921">
        <v>20.983490961902529</v>
      </c>
      <c r="N10" s="921">
        <v>21.313707333690761</v>
      </c>
      <c r="O10" s="921">
        <v>21.638938984780914</v>
      </c>
      <c r="P10" s="921">
        <v>22.13258341123478</v>
      </c>
      <c r="Q10" s="921">
        <v>22.313049388381657</v>
      </c>
      <c r="R10" s="921">
        <v>22.486876361774936</v>
      </c>
      <c r="S10" s="921">
        <v>22.494946956634521</v>
      </c>
      <c r="T10" s="921">
        <v>22.662665807975912</v>
      </c>
      <c r="U10" s="921">
        <v>22.922821701697636</v>
      </c>
      <c r="V10" s="921">
        <v>23.270139622238439</v>
      </c>
      <c r="W10" s="921">
        <v>23.509686568997985</v>
      </c>
      <c r="X10" s="921">
        <v>23.493712398241108</v>
      </c>
      <c r="Y10" s="921">
        <v>23.423848763951703</v>
      </c>
      <c r="Z10" s="921">
        <v>23.513217827059155</v>
      </c>
      <c r="AA10" s="921">
        <v>23.645542576627872</v>
      </c>
      <c r="AB10" s="922">
        <v>23.786749293232678</v>
      </c>
      <c r="AC10" s="922">
        <v>23.927956009837484</v>
      </c>
      <c r="AD10" s="922">
        <v>24.06916272644229</v>
      </c>
      <c r="AE10" s="922">
        <v>24.210369443047096</v>
      </c>
      <c r="AF10" s="922">
        <v>24.351576159651902</v>
      </c>
      <c r="AG10" s="922">
        <v>24.492782876256708</v>
      </c>
      <c r="AH10" s="922">
        <v>24.633989592861514</v>
      </c>
      <c r="AI10" s="922">
        <v>24.77519630946632</v>
      </c>
      <c r="AJ10" s="922">
        <v>24.916403026071126</v>
      </c>
      <c r="AK10" s="922">
        <v>25.057609742675933</v>
      </c>
      <c r="AL10" s="922">
        <v>25.047759076850095</v>
      </c>
      <c r="AM10" s="922">
        <v>25.037908411024258</v>
      </c>
      <c r="AN10" s="922">
        <v>25.028057745198421</v>
      </c>
      <c r="AO10" s="922">
        <v>25.018207079372583</v>
      </c>
      <c r="AP10" s="922">
        <v>25.008356413546746</v>
      </c>
      <c r="AQ10" s="922">
        <v>24.998505747720909</v>
      </c>
      <c r="AR10" s="922">
        <v>24.988655081895072</v>
      </c>
      <c r="AS10" s="922">
        <v>24.978804416069234</v>
      </c>
      <c r="AT10" s="922">
        <v>24.968953750243397</v>
      </c>
      <c r="AU10" s="922">
        <v>24.95910308441756</v>
      </c>
      <c r="AV10" s="922">
        <v>24.949252418591723</v>
      </c>
      <c r="AW10" s="922">
        <v>24.939401752765885</v>
      </c>
      <c r="AX10" s="922">
        <v>24.929551086940048</v>
      </c>
      <c r="AY10" s="922">
        <v>24.919700421114211</v>
      </c>
      <c r="AZ10" s="923">
        <v>24.90984975528837</v>
      </c>
      <c r="BA10" s="922">
        <v>24.925673674379027</v>
      </c>
      <c r="BB10" s="922">
        <v>24.941497593469684</v>
      </c>
      <c r="BC10" s="922">
        <v>24.957321512560341</v>
      </c>
      <c r="BD10" s="922">
        <v>24.973145431650998</v>
      </c>
      <c r="BE10" s="922">
        <v>24.988969350741655</v>
      </c>
      <c r="BF10" s="922">
        <v>25.004793269832312</v>
      </c>
      <c r="BG10" s="922">
        <v>25.020617188922969</v>
      </c>
      <c r="BH10" s="922">
        <v>25.036441108013626</v>
      </c>
      <c r="BI10" s="922">
        <v>25.052265027104283</v>
      </c>
      <c r="BJ10" s="922">
        <v>25.068088946194941</v>
      </c>
      <c r="BK10" s="922">
        <v>25.083912865285598</v>
      </c>
      <c r="BL10" s="922">
        <v>25.099736784376255</v>
      </c>
      <c r="BM10" s="922">
        <v>25.115560703466912</v>
      </c>
      <c r="BN10" s="922">
        <v>25.131384622557569</v>
      </c>
      <c r="BO10" s="923">
        <v>25.147208541648205</v>
      </c>
      <c r="BP10" s="922">
        <v>25.163183242307905</v>
      </c>
      <c r="BQ10" s="922">
        <v>25.179157942967606</v>
      </c>
      <c r="BR10" s="922">
        <v>25.195132643627307</v>
      </c>
      <c r="BS10" s="922">
        <v>25.211107344287008</v>
      </c>
      <c r="BT10" s="924">
        <v>25.227082044946716</v>
      </c>
    </row>
    <row r="11" spans="1:72" x14ac:dyDescent="0.25">
      <c r="A11" s="925" t="s">
        <v>698</v>
      </c>
      <c r="B11" s="920" t="s">
        <v>747</v>
      </c>
      <c r="C11" s="921">
        <v>16.038863482553147</v>
      </c>
      <c r="D11" s="921">
        <v>15.36037109932807</v>
      </c>
      <c r="E11" s="921">
        <v>15.664056310113844</v>
      </c>
      <c r="F11" s="921">
        <v>16.390134465019642</v>
      </c>
      <c r="G11" s="921">
        <v>16.26049394877451</v>
      </c>
      <c r="H11" s="921">
        <v>15.718549229064077</v>
      </c>
      <c r="I11" s="921">
        <v>15.083546116666987</v>
      </c>
      <c r="J11" s="921">
        <v>14.764544869368896</v>
      </c>
      <c r="K11" s="921">
        <v>14.679648534306921</v>
      </c>
      <c r="L11" s="921">
        <v>14.510741661179726</v>
      </c>
      <c r="M11" s="921">
        <v>14.370329416023063</v>
      </c>
      <c r="N11" s="921">
        <v>14.522587083420669</v>
      </c>
      <c r="O11" s="921">
        <v>14.791267903345901</v>
      </c>
      <c r="P11" s="921">
        <v>15.142176731577413</v>
      </c>
      <c r="Q11" s="921">
        <v>15.304996360023072</v>
      </c>
      <c r="R11" s="921">
        <v>15.443286072533045</v>
      </c>
      <c r="S11" s="921">
        <v>15.485992224711291</v>
      </c>
      <c r="T11" s="921">
        <v>15.663456831338236</v>
      </c>
      <c r="U11" s="921">
        <v>15.910829809476709</v>
      </c>
      <c r="V11" s="921">
        <v>16.241389166634008</v>
      </c>
      <c r="W11" s="921">
        <v>16.419768400912066</v>
      </c>
      <c r="X11" s="921">
        <v>16.405212897174714</v>
      </c>
      <c r="Y11" s="921">
        <v>16.372526888577397</v>
      </c>
      <c r="Z11" s="921">
        <v>16.449089176249931</v>
      </c>
      <c r="AA11" s="921">
        <v>16.568027554817903</v>
      </c>
      <c r="AB11" s="922">
        <v>16.704753726753587</v>
      </c>
      <c r="AC11" s="922">
        <v>16.841479898689272</v>
      </c>
      <c r="AD11" s="922">
        <v>16.978206070624957</v>
      </c>
      <c r="AE11" s="922">
        <v>17.114932242560641</v>
      </c>
      <c r="AF11" s="922">
        <v>17.251658414496326</v>
      </c>
      <c r="AG11" s="922">
        <v>17.388384586432011</v>
      </c>
      <c r="AH11" s="922">
        <v>17.525110758367695</v>
      </c>
      <c r="AI11" s="922">
        <v>17.66183693030338</v>
      </c>
      <c r="AJ11" s="922">
        <v>17.798563102239065</v>
      </c>
      <c r="AK11" s="922">
        <v>17.935289274174743</v>
      </c>
      <c r="AL11" s="922">
        <v>17.928238540168429</v>
      </c>
      <c r="AM11" s="922">
        <v>17.921187806162116</v>
      </c>
      <c r="AN11" s="922">
        <v>17.914137072155803</v>
      </c>
      <c r="AO11" s="922">
        <v>17.90708633814949</v>
      </c>
      <c r="AP11" s="922">
        <v>17.900035604143177</v>
      </c>
      <c r="AQ11" s="922">
        <v>17.892984870136864</v>
      </c>
      <c r="AR11" s="922">
        <v>17.885934136130551</v>
      </c>
      <c r="AS11" s="922">
        <v>17.878883402124238</v>
      </c>
      <c r="AT11" s="922">
        <v>17.871832668117925</v>
      </c>
      <c r="AU11" s="922">
        <v>17.864781934111612</v>
      </c>
      <c r="AV11" s="922">
        <v>17.857731200105299</v>
      </c>
      <c r="AW11" s="922">
        <v>17.850680466098986</v>
      </c>
      <c r="AX11" s="922">
        <v>17.843629732092673</v>
      </c>
      <c r="AY11" s="922">
        <v>17.83657899808636</v>
      </c>
      <c r="AZ11" s="923">
        <v>17.829528264080036</v>
      </c>
      <c r="BA11" s="922">
        <v>17.840854426840831</v>
      </c>
      <c r="BB11" s="922">
        <v>17.852180589601627</v>
      </c>
      <c r="BC11" s="922">
        <v>17.863506752362422</v>
      </c>
      <c r="BD11" s="922">
        <v>17.874832915123218</v>
      </c>
      <c r="BE11" s="922">
        <v>17.886159077884013</v>
      </c>
      <c r="BF11" s="922">
        <v>17.897485240644809</v>
      </c>
      <c r="BG11" s="922">
        <v>17.908811403405604</v>
      </c>
      <c r="BH11" s="922">
        <v>17.9201375661664</v>
      </c>
      <c r="BI11" s="922">
        <v>17.931463728927195</v>
      </c>
      <c r="BJ11" s="922">
        <v>17.94278989168799</v>
      </c>
      <c r="BK11" s="922">
        <v>17.954116054448786</v>
      </c>
      <c r="BL11" s="922">
        <v>17.965442217209581</v>
      </c>
      <c r="BM11" s="922">
        <v>17.976768379970377</v>
      </c>
      <c r="BN11" s="922">
        <v>17.988094542731172</v>
      </c>
      <c r="BO11" s="923">
        <v>17.999420705491971</v>
      </c>
      <c r="BP11" s="922">
        <v>18.010854791996724</v>
      </c>
      <c r="BQ11" s="922">
        <v>18.022288878501477</v>
      </c>
      <c r="BR11" s="922">
        <v>18.033722965006231</v>
      </c>
      <c r="BS11" s="922">
        <v>18.045157051510984</v>
      </c>
      <c r="BT11" s="924">
        <v>18.056591138015737</v>
      </c>
    </row>
    <row r="12" spans="1:72" x14ac:dyDescent="0.25">
      <c r="A12" s="926" t="s">
        <v>751</v>
      </c>
      <c r="B12" s="920"/>
      <c r="C12" s="920"/>
      <c r="D12" s="920"/>
      <c r="E12" s="920"/>
      <c r="F12" s="920"/>
      <c r="G12" s="920"/>
      <c r="H12" s="920"/>
      <c r="I12" s="920"/>
      <c r="J12" s="920"/>
      <c r="K12" s="920"/>
      <c r="L12" s="920"/>
      <c r="M12" s="920"/>
      <c r="N12" s="920"/>
      <c r="O12" s="920"/>
      <c r="P12" s="920"/>
      <c r="Q12" s="920"/>
      <c r="R12" s="920"/>
      <c r="S12" s="920"/>
      <c r="T12" s="920"/>
      <c r="U12" s="920"/>
      <c r="V12" s="920"/>
      <c r="W12" s="920"/>
      <c r="X12" s="920"/>
      <c r="Y12" s="920"/>
      <c r="Z12" s="920"/>
      <c r="AA12" s="920"/>
      <c r="AB12" s="920"/>
      <c r="AC12" s="920"/>
      <c r="AD12" s="920"/>
      <c r="AE12" s="920"/>
      <c r="AF12" s="920"/>
      <c r="AG12" s="920"/>
      <c r="AH12" s="920"/>
      <c r="AI12" s="920"/>
      <c r="AJ12" s="920"/>
      <c r="AK12" s="920"/>
      <c r="AL12" s="920"/>
      <c r="AM12" s="920"/>
      <c r="AN12" s="920"/>
      <c r="AO12" s="920"/>
      <c r="AP12" s="920"/>
      <c r="AQ12" s="920"/>
      <c r="AR12" s="920"/>
      <c r="AS12" s="920"/>
      <c r="AT12" s="920"/>
      <c r="AU12" s="920"/>
      <c r="AV12" s="920"/>
      <c r="AW12" s="920"/>
      <c r="AX12" s="920"/>
      <c r="AY12" s="920"/>
      <c r="AZ12" s="920"/>
      <c r="BA12" s="920"/>
      <c r="BB12" s="920"/>
      <c r="BC12" s="920"/>
      <c r="BD12" s="920"/>
      <c r="BE12" s="920"/>
      <c r="BF12" s="920"/>
      <c r="BG12" s="920"/>
      <c r="BH12" s="920"/>
      <c r="BI12" s="920"/>
      <c r="BJ12" s="920"/>
      <c r="BK12" s="920"/>
      <c r="BL12" s="920"/>
      <c r="BM12" s="920"/>
      <c r="BN12" s="920"/>
      <c r="BO12" s="920"/>
      <c r="BP12" s="920"/>
      <c r="BQ12" s="920"/>
      <c r="BR12" s="920"/>
      <c r="BS12" s="920"/>
      <c r="BT12" s="927"/>
    </row>
    <row r="13" spans="1:72" x14ac:dyDescent="0.25">
      <c r="A13" s="925" t="s">
        <v>1087</v>
      </c>
      <c r="B13" s="920" t="s">
        <v>747</v>
      </c>
      <c r="C13" s="921">
        <v>1.3268491834774256</v>
      </c>
      <c r="D13" s="921">
        <v>1.32388562245189</v>
      </c>
      <c r="E13" s="921">
        <v>1.3334961719108085</v>
      </c>
      <c r="F13" s="921">
        <v>1.3380821099821107</v>
      </c>
      <c r="G13" s="921">
        <v>1.3443425871291239</v>
      </c>
      <c r="H13" s="921">
        <v>1.3528785733681756</v>
      </c>
      <c r="I13" s="921">
        <v>1.3415886383011697</v>
      </c>
      <c r="J13" s="921">
        <v>1.3403624656065469</v>
      </c>
      <c r="K13" s="921">
        <v>1.330997225248586</v>
      </c>
      <c r="L13" s="921">
        <v>1.3164209684110997</v>
      </c>
      <c r="M13" s="921">
        <v>1.3072140481112184</v>
      </c>
      <c r="N13" s="921">
        <v>1.3019573002491378</v>
      </c>
      <c r="O13" s="921">
        <v>1.2978333982656636</v>
      </c>
      <c r="P13" s="921">
        <v>1.295833644439585</v>
      </c>
      <c r="Q13" s="921">
        <v>1.2953486183904279</v>
      </c>
      <c r="R13" s="921">
        <v>1.2970626753456174</v>
      </c>
      <c r="S13" s="921">
        <v>1.2955796364343368</v>
      </c>
      <c r="T13" s="921">
        <v>1.3002382724914889</v>
      </c>
      <c r="U13" s="921">
        <v>1.3044509032987155</v>
      </c>
      <c r="V13" s="921">
        <v>1.3304805103337984</v>
      </c>
      <c r="W13" s="921">
        <v>1.3397570218680066</v>
      </c>
      <c r="X13" s="921">
        <v>1.3519914094007222</v>
      </c>
      <c r="Y13" s="921">
        <v>1.3569265463442153</v>
      </c>
      <c r="Z13" s="921">
        <v>1.3726611244228613</v>
      </c>
      <c r="AA13" s="921">
        <v>1.3854931266802686</v>
      </c>
      <c r="AB13" s="922">
        <v>1.3951349014789893</v>
      </c>
      <c r="AC13" s="922">
        <v>1.4047766762777101</v>
      </c>
      <c r="AD13" s="922">
        <v>1.4144184510764308</v>
      </c>
      <c r="AE13" s="922">
        <v>1.4240602258751516</v>
      </c>
      <c r="AF13" s="922">
        <v>1.4337020006738723</v>
      </c>
      <c r="AG13" s="922">
        <v>1.4433437754725931</v>
      </c>
      <c r="AH13" s="922">
        <v>1.4529855502713138</v>
      </c>
      <c r="AI13" s="922">
        <v>1.4626273250700346</v>
      </c>
      <c r="AJ13" s="922">
        <v>1.4722690998687553</v>
      </c>
      <c r="AK13" s="922">
        <v>1.481910874667477</v>
      </c>
      <c r="AL13" s="922">
        <v>1.4862555877963981</v>
      </c>
      <c r="AM13" s="922">
        <v>1.4906003009253193</v>
      </c>
      <c r="AN13" s="922">
        <v>1.4949450140542404</v>
      </c>
      <c r="AO13" s="922">
        <v>1.4992897271831616</v>
      </c>
      <c r="AP13" s="922">
        <v>1.5036344403120827</v>
      </c>
      <c r="AQ13" s="922">
        <v>1.5079791534410039</v>
      </c>
      <c r="AR13" s="922">
        <v>1.512323866569925</v>
      </c>
      <c r="AS13" s="922">
        <v>1.5166685796988462</v>
      </c>
      <c r="AT13" s="922">
        <v>1.5210132928277673</v>
      </c>
      <c r="AU13" s="922">
        <v>1.5253580059566885</v>
      </c>
      <c r="AV13" s="922">
        <v>1.5297027190856096</v>
      </c>
      <c r="AW13" s="922">
        <v>1.5340474322145308</v>
      </c>
      <c r="AX13" s="922">
        <v>1.5383921453434519</v>
      </c>
      <c r="AY13" s="922">
        <v>1.5427368584723731</v>
      </c>
      <c r="AZ13" s="923">
        <v>1.5470815716012942</v>
      </c>
      <c r="BA13" s="922">
        <v>1.5500157274134729</v>
      </c>
      <c r="BB13" s="922">
        <v>1.5529498832256516</v>
      </c>
      <c r="BC13" s="922">
        <v>1.5558840390378303</v>
      </c>
      <c r="BD13" s="922">
        <v>1.5588181948500091</v>
      </c>
      <c r="BE13" s="922">
        <v>1.5617523506621878</v>
      </c>
      <c r="BF13" s="922">
        <v>1.5646865064743665</v>
      </c>
      <c r="BG13" s="922">
        <v>1.5676206622865452</v>
      </c>
      <c r="BH13" s="922">
        <v>1.5705548180987239</v>
      </c>
      <c r="BI13" s="922">
        <v>1.5734889739109026</v>
      </c>
      <c r="BJ13" s="922">
        <v>1.5764231297230813</v>
      </c>
      <c r="BK13" s="922">
        <v>1.57935728553526</v>
      </c>
      <c r="BL13" s="922">
        <v>1.5822914413474387</v>
      </c>
      <c r="BM13" s="922">
        <v>1.5852255971596174</v>
      </c>
      <c r="BN13" s="922">
        <v>1.5881597529717961</v>
      </c>
      <c r="BO13" s="923">
        <v>1.5910939087839742</v>
      </c>
      <c r="BP13" s="922">
        <v>1.5941115372826113</v>
      </c>
      <c r="BQ13" s="922">
        <v>1.5971291657812485</v>
      </c>
      <c r="BR13" s="922">
        <v>1.6001467942798857</v>
      </c>
      <c r="BS13" s="922">
        <v>1.6031644227785229</v>
      </c>
      <c r="BT13" s="924">
        <v>1.6061820512771605</v>
      </c>
    </row>
    <row r="14" spans="1:72" x14ac:dyDescent="0.25">
      <c r="A14" s="1649" t="s">
        <v>752</v>
      </c>
      <c r="B14" s="1650"/>
      <c r="C14" s="1650"/>
      <c r="D14" s="1650"/>
      <c r="E14" s="1650"/>
      <c r="F14" s="1650"/>
      <c r="G14" s="1650"/>
      <c r="H14" s="1650"/>
      <c r="I14" s="1650"/>
      <c r="J14" s="1650"/>
      <c r="K14" s="1650"/>
      <c r="L14" s="1650"/>
      <c r="M14" s="1650"/>
      <c r="N14" s="1650"/>
      <c r="O14" s="1650"/>
      <c r="P14" s="1650"/>
      <c r="Q14" s="1650"/>
      <c r="R14" s="1650"/>
      <c r="S14" s="1650"/>
      <c r="T14" s="1650"/>
      <c r="U14" s="1650"/>
      <c r="V14" s="1650"/>
      <c r="W14" s="1650"/>
      <c r="X14" s="1650"/>
      <c r="Y14" s="1650"/>
      <c r="Z14" s="1650"/>
      <c r="AA14" s="1650"/>
      <c r="AB14" s="1650"/>
      <c r="AC14" s="1650"/>
      <c r="AD14" s="1650"/>
      <c r="AE14" s="1650"/>
      <c r="AF14" s="1650"/>
      <c r="AG14" s="1650"/>
      <c r="AH14" s="1650"/>
      <c r="AI14" s="1650"/>
      <c r="AJ14" s="1650"/>
      <c r="AK14" s="1650"/>
      <c r="AL14" s="1650"/>
      <c r="AM14" s="1650"/>
      <c r="AN14" s="1650"/>
      <c r="AO14" s="1650"/>
      <c r="AP14" s="1650"/>
      <c r="AQ14" s="1650"/>
      <c r="AR14" s="1650"/>
      <c r="AS14" s="1650"/>
      <c r="AT14" s="1650"/>
      <c r="AU14" s="1650"/>
      <c r="AV14" s="1650"/>
      <c r="AW14" s="1650"/>
      <c r="AX14" s="1650"/>
      <c r="AY14" s="1650"/>
      <c r="AZ14" s="1650"/>
      <c r="BA14" s="1650"/>
      <c r="BB14" s="1650"/>
      <c r="BC14" s="1650"/>
      <c r="BD14" s="1650"/>
      <c r="BE14" s="1650"/>
      <c r="BF14" s="1650"/>
      <c r="BG14" s="1650"/>
      <c r="BH14" s="1650"/>
      <c r="BI14" s="1650"/>
      <c r="BJ14" s="1650"/>
      <c r="BK14" s="1650"/>
      <c r="BL14" s="1650"/>
      <c r="BM14" s="1650"/>
      <c r="BN14" s="1650"/>
      <c r="BO14" s="1650"/>
      <c r="BP14" s="1650"/>
      <c r="BQ14" s="1650"/>
      <c r="BR14" s="1650"/>
      <c r="BS14" s="1650"/>
      <c r="BT14" s="1651"/>
    </row>
    <row r="15" spans="1:72" ht="23" x14ac:dyDescent="0.25">
      <c r="A15" s="919" t="s">
        <v>753</v>
      </c>
      <c r="B15" s="920" t="s">
        <v>747</v>
      </c>
      <c r="C15" s="921">
        <v>10.789461735918687</v>
      </c>
      <c r="D15" s="921">
        <v>9.9590971559848445</v>
      </c>
      <c r="E15" s="921">
        <v>11.383831536994775</v>
      </c>
      <c r="F15" s="921">
        <v>12.531178240506115</v>
      </c>
      <c r="G15" s="921">
        <v>12.036300060884058</v>
      </c>
      <c r="H15" s="921">
        <v>12.613383383121093</v>
      </c>
      <c r="I15" s="921">
        <v>13.01890940036416</v>
      </c>
      <c r="J15" s="921">
        <v>12.908589399085846</v>
      </c>
      <c r="K15" s="921">
        <v>12.946875513724528</v>
      </c>
      <c r="L15" s="921">
        <v>13.039098811599491</v>
      </c>
      <c r="M15" s="921">
        <v>13.088955960183741</v>
      </c>
      <c r="N15" s="921">
        <v>13.133508268392355</v>
      </c>
      <c r="O15" s="921">
        <v>13.038477461293056</v>
      </c>
      <c r="P15" s="921">
        <v>12.989168095138872</v>
      </c>
      <c r="Q15" s="921">
        <v>12.752903866318045</v>
      </c>
      <c r="R15" s="921">
        <v>12.539506322932722</v>
      </c>
      <c r="S15" s="921">
        <v>12.335074118848111</v>
      </c>
      <c r="T15" s="921">
        <v>12.292193988584152</v>
      </c>
      <c r="U15" s="921">
        <v>12.304560350921868</v>
      </c>
      <c r="V15" s="921">
        <v>12.340337204483362</v>
      </c>
      <c r="W15" s="921">
        <v>12.418707870087554</v>
      </c>
      <c r="X15" s="921">
        <v>12.438495640484758</v>
      </c>
      <c r="Y15" s="921">
        <v>12.492141534697302</v>
      </c>
      <c r="Z15" s="921">
        <v>12.624332072599859</v>
      </c>
      <c r="AA15" s="921">
        <v>13.025979869770596</v>
      </c>
      <c r="AB15" s="921">
        <v>13.053872203635709</v>
      </c>
      <c r="AC15" s="921">
        <v>13.081764537500822</v>
      </c>
      <c r="AD15" s="921">
        <v>13.109656871365935</v>
      </c>
      <c r="AE15" s="921">
        <v>13.137549205231048</v>
      </c>
      <c r="AF15" s="921">
        <v>13.165441539096161</v>
      </c>
      <c r="AG15" s="921">
        <v>13.193333872961274</v>
      </c>
      <c r="AH15" s="921">
        <v>13.221226206826387</v>
      </c>
      <c r="AI15" s="921">
        <v>13.2491185406915</v>
      </c>
      <c r="AJ15" s="921">
        <v>13.277010874556613</v>
      </c>
      <c r="AK15" s="921">
        <v>13.304903208421727</v>
      </c>
      <c r="AL15" s="921">
        <v>13.445726499778688</v>
      </c>
      <c r="AM15" s="921">
        <v>13.586549791135649</v>
      </c>
      <c r="AN15" s="921">
        <v>13.72737308249261</v>
      </c>
      <c r="AO15" s="921">
        <v>13.868196373849571</v>
      </c>
      <c r="AP15" s="921">
        <v>14.009019665206532</v>
      </c>
      <c r="AQ15" s="921">
        <v>14.149842956563493</v>
      </c>
      <c r="AR15" s="921">
        <v>14.290666247920454</v>
      </c>
      <c r="AS15" s="921">
        <v>14.431489539277415</v>
      </c>
      <c r="AT15" s="921">
        <v>14.572312830634376</v>
      </c>
      <c r="AU15" s="921">
        <v>14.713136121991337</v>
      </c>
      <c r="AV15" s="921">
        <v>14.853959413348298</v>
      </c>
      <c r="AW15" s="921">
        <v>14.994782704705258</v>
      </c>
      <c r="AX15" s="921">
        <v>15.135605996062219</v>
      </c>
      <c r="AY15" s="921">
        <v>15.27642928741918</v>
      </c>
      <c r="AZ15" s="921">
        <v>15.417252578776129</v>
      </c>
      <c r="BA15" s="921">
        <v>15.505038084680947</v>
      </c>
      <c r="BB15" s="921">
        <v>15.592823590585766</v>
      </c>
      <c r="BC15" s="921">
        <v>15.680609096490585</v>
      </c>
      <c r="BD15" s="921">
        <v>15.768394602395404</v>
      </c>
      <c r="BE15" s="921">
        <v>15.856180108300222</v>
      </c>
      <c r="BF15" s="921">
        <v>15.943965614205041</v>
      </c>
      <c r="BG15" s="921">
        <v>16.03175112010986</v>
      </c>
      <c r="BH15" s="921">
        <v>16.119536626014678</v>
      </c>
      <c r="BI15" s="921">
        <v>16.207322131919497</v>
      </c>
      <c r="BJ15" s="921">
        <v>16.295107637824316</v>
      </c>
      <c r="BK15" s="921">
        <v>16.382893143729135</v>
      </c>
      <c r="BL15" s="921">
        <v>16.470678649633953</v>
      </c>
      <c r="BM15" s="921">
        <v>16.558464155538772</v>
      </c>
      <c r="BN15" s="921">
        <v>16.646249661443591</v>
      </c>
      <c r="BO15" s="921">
        <v>16.734035167348416</v>
      </c>
      <c r="BP15" s="921">
        <v>16.829318405103567</v>
      </c>
      <c r="BQ15" s="921">
        <v>16.924601642858718</v>
      </c>
      <c r="BR15" s="921">
        <v>17.019884880613869</v>
      </c>
      <c r="BS15" s="921">
        <v>17.11516811836902</v>
      </c>
      <c r="BT15" s="928">
        <v>17.210451356124164</v>
      </c>
    </row>
    <row r="16" spans="1:72" x14ac:dyDescent="0.25">
      <c r="A16" s="925" t="s">
        <v>754</v>
      </c>
      <c r="B16" s="920" t="s">
        <v>747</v>
      </c>
      <c r="C16" s="921">
        <v>12.730520250245322</v>
      </c>
      <c r="D16" s="921">
        <v>11.801320287416596</v>
      </c>
      <c r="E16" s="921">
        <v>13.477350603859424</v>
      </c>
      <c r="F16" s="921">
        <v>15.275134761378448</v>
      </c>
      <c r="G16" s="921">
        <v>14.956036086352325</v>
      </c>
      <c r="H16" s="921">
        <v>15.333911517881027</v>
      </c>
      <c r="I16" s="921">
        <v>14.969645149302909</v>
      </c>
      <c r="J16" s="921">
        <v>14.856007634468792</v>
      </c>
      <c r="K16" s="921">
        <v>14.855665643260203</v>
      </c>
      <c r="L16" s="921">
        <v>14.676357863084307</v>
      </c>
      <c r="M16" s="921">
        <v>14.660823111264261</v>
      </c>
      <c r="N16" s="921">
        <v>14.621396694543213</v>
      </c>
      <c r="O16" s="921">
        <v>14.496914877081778</v>
      </c>
      <c r="P16" s="921">
        <v>14.525867813038341</v>
      </c>
      <c r="Q16" s="921">
        <v>14.406443289990676</v>
      </c>
      <c r="R16" s="921">
        <v>14.511791494657368</v>
      </c>
      <c r="S16" s="921">
        <v>14.408484301477108</v>
      </c>
      <c r="T16" s="921">
        <v>14.421367627269808</v>
      </c>
      <c r="U16" s="921">
        <v>14.483474821414545</v>
      </c>
      <c r="V16" s="921">
        <v>14.423047758498246</v>
      </c>
      <c r="W16" s="921">
        <v>14.678410804496627</v>
      </c>
      <c r="X16" s="921">
        <v>14.842794247393387</v>
      </c>
      <c r="Y16" s="921">
        <v>14.985196801851416</v>
      </c>
      <c r="Z16" s="921">
        <v>15.125157698145465</v>
      </c>
      <c r="AA16" s="921">
        <v>15.225733932459173</v>
      </c>
      <c r="AB16" s="922">
        <v>15.312322281050708</v>
      </c>
      <c r="AC16" s="922">
        <v>15.398910629642243</v>
      </c>
      <c r="AD16" s="922">
        <v>15.485498978233778</v>
      </c>
      <c r="AE16" s="922">
        <v>15.572087326825313</v>
      </c>
      <c r="AF16" s="922">
        <v>15.658675675416848</v>
      </c>
      <c r="AG16" s="922">
        <v>15.745264024008383</v>
      </c>
      <c r="AH16" s="922">
        <v>15.831852372599919</v>
      </c>
      <c r="AI16" s="922">
        <v>15.918440721191454</v>
      </c>
      <c r="AJ16" s="922">
        <v>16.005029069782989</v>
      </c>
      <c r="AK16" s="922">
        <v>16.091617418374518</v>
      </c>
      <c r="AL16" s="922">
        <v>16.26193617174043</v>
      </c>
      <c r="AM16" s="922">
        <v>16.432254925106342</v>
      </c>
      <c r="AN16" s="922">
        <v>16.602573678472254</v>
      </c>
      <c r="AO16" s="922">
        <v>16.772892431838166</v>
      </c>
      <c r="AP16" s="922">
        <v>16.943211185204078</v>
      </c>
      <c r="AQ16" s="922">
        <v>17.113529938569989</v>
      </c>
      <c r="AR16" s="922">
        <v>17.283848691935901</v>
      </c>
      <c r="AS16" s="922">
        <v>17.454167445301813</v>
      </c>
      <c r="AT16" s="922">
        <v>17.624486198667725</v>
      </c>
      <c r="AU16" s="922">
        <v>17.794804952033637</v>
      </c>
      <c r="AV16" s="922">
        <v>17.965123705399549</v>
      </c>
      <c r="AW16" s="922">
        <v>18.135442458765461</v>
      </c>
      <c r="AX16" s="922">
        <v>18.305761212131372</v>
      </c>
      <c r="AY16" s="922">
        <v>18.476079965497284</v>
      </c>
      <c r="AZ16" s="921">
        <v>18.646398718863171</v>
      </c>
      <c r="BA16" s="922">
        <v>18.752570913712709</v>
      </c>
      <c r="BB16" s="922">
        <v>18.858743108562248</v>
      </c>
      <c r="BC16" s="922">
        <v>18.964915303411786</v>
      </c>
      <c r="BD16" s="922">
        <v>19.071087498261324</v>
      </c>
      <c r="BE16" s="922">
        <v>19.177259693110862</v>
      </c>
      <c r="BF16" s="922">
        <v>19.283431887960401</v>
      </c>
      <c r="BG16" s="922">
        <v>19.389604082809939</v>
      </c>
      <c r="BH16" s="922">
        <v>19.495776277659477</v>
      </c>
      <c r="BI16" s="922">
        <v>19.601948472509015</v>
      </c>
      <c r="BJ16" s="922">
        <v>19.708120667358553</v>
      </c>
      <c r="BK16" s="922">
        <v>19.814292862208092</v>
      </c>
      <c r="BL16" s="922">
        <v>19.92046505705763</v>
      </c>
      <c r="BM16" s="922">
        <v>20.026637251907168</v>
      </c>
      <c r="BN16" s="922">
        <v>20.132809446756706</v>
      </c>
      <c r="BO16" s="921">
        <v>20.238981641606255</v>
      </c>
      <c r="BP16" s="922">
        <v>20.354221969500514</v>
      </c>
      <c r="BQ16" s="922">
        <v>20.469462297394774</v>
      </c>
      <c r="BR16" s="922">
        <v>20.584702625289033</v>
      </c>
      <c r="BS16" s="922">
        <v>20.699942953183292</v>
      </c>
      <c r="BT16" s="928">
        <v>20.815183281077545</v>
      </c>
    </row>
    <row r="17" spans="1:72" x14ac:dyDescent="0.25">
      <c r="A17" s="925" t="s">
        <v>312</v>
      </c>
      <c r="B17" s="920" t="s">
        <v>747</v>
      </c>
      <c r="C17" s="921">
        <v>15.730049999999999</v>
      </c>
      <c r="D17" s="921">
        <v>15.730049999999999</v>
      </c>
      <c r="E17" s="921">
        <v>15.730049999999999</v>
      </c>
      <c r="F17" s="921">
        <v>15.730049999999999</v>
      </c>
      <c r="G17" s="921">
        <v>15.730049999999999</v>
      </c>
      <c r="H17" s="921">
        <v>15.730049999999999</v>
      </c>
      <c r="I17" s="921">
        <v>15.730049999999999</v>
      </c>
      <c r="J17" s="921">
        <v>15.730049999999999</v>
      </c>
      <c r="K17" s="921">
        <v>15.730049999999999</v>
      </c>
      <c r="L17" s="921">
        <v>15.730049999999999</v>
      </c>
      <c r="M17" s="921">
        <v>15.730049999999999</v>
      </c>
      <c r="N17" s="921">
        <v>15.730049999999999</v>
      </c>
      <c r="O17" s="921">
        <v>15.730049999999999</v>
      </c>
      <c r="P17" s="921">
        <v>15.730049999999999</v>
      </c>
      <c r="Q17" s="921">
        <v>15.730049999999999</v>
      </c>
      <c r="R17" s="921">
        <v>15.730049999999999</v>
      </c>
      <c r="S17" s="921">
        <v>15.730049999999999</v>
      </c>
      <c r="T17" s="921">
        <v>15.730049999999999</v>
      </c>
      <c r="U17" s="921">
        <v>15.730049999999999</v>
      </c>
      <c r="V17" s="921">
        <v>15.730049999999999</v>
      </c>
      <c r="W17" s="921">
        <v>15.730049999999999</v>
      </c>
      <c r="X17" s="921">
        <v>15.730049999999999</v>
      </c>
      <c r="Y17" s="921">
        <v>15.730049999999999</v>
      </c>
      <c r="Z17" s="921">
        <v>15.730049999999999</v>
      </c>
      <c r="AA17" s="921">
        <v>15.730049999999999</v>
      </c>
      <c r="AB17" s="921">
        <v>15.730049999999999</v>
      </c>
      <c r="AC17" s="921">
        <v>15.730049999999999</v>
      </c>
      <c r="AD17" s="921">
        <v>15.730049999999999</v>
      </c>
      <c r="AE17" s="921">
        <v>15.730049999999999</v>
      </c>
      <c r="AF17" s="921">
        <v>15.730049999999999</v>
      </c>
      <c r="AG17" s="921">
        <v>15.730049999999999</v>
      </c>
      <c r="AH17" s="921">
        <v>15.730049999999999</v>
      </c>
      <c r="AI17" s="921">
        <v>15.730049999999999</v>
      </c>
      <c r="AJ17" s="921">
        <v>15.730049999999999</v>
      </c>
      <c r="AK17" s="921">
        <v>15.730049999999999</v>
      </c>
      <c r="AL17" s="921">
        <v>15.730049999999999</v>
      </c>
      <c r="AM17" s="921">
        <v>15.730049999999999</v>
      </c>
      <c r="AN17" s="921">
        <v>15.730049999999999</v>
      </c>
      <c r="AO17" s="921">
        <v>15.730049999999999</v>
      </c>
      <c r="AP17" s="921">
        <v>15.730049999999999</v>
      </c>
      <c r="AQ17" s="921">
        <v>15.730049999999999</v>
      </c>
      <c r="AR17" s="921">
        <v>15.730049999999999</v>
      </c>
      <c r="AS17" s="921">
        <v>15.730049999999999</v>
      </c>
      <c r="AT17" s="921">
        <v>15.730049999999999</v>
      </c>
      <c r="AU17" s="921">
        <v>15.730049999999999</v>
      </c>
      <c r="AV17" s="921">
        <v>15.730049999999999</v>
      </c>
      <c r="AW17" s="921">
        <v>15.730049999999999</v>
      </c>
      <c r="AX17" s="921">
        <v>15.730049999999999</v>
      </c>
      <c r="AY17" s="921">
        <v>15.730049999999999</v>
      </c>
      <c r="AZ17" s="921">
        <v>15.730049999999999</v>
      </c>
      <c r="BA17" s="921">
        <v>15.730049999999999</v>
      </c>
      <c r="BB17" s="921">
        <v>15.730049999999999</v>
      </c>
      <c r="BC17" s="921">
        <v>15.730049999999999</v>
      </c>
      <c r="BD17" s="921">
        <v>15.730049999999999</v>
      </c>
      <c r="BE17" s="921">
        <v>15.730049999999999</v>
      </c>
      <c r="BF17" s="921">
        <v>15.730049999999999</v>
      </c>
      <c r="BG17" s="921">
        <v>15.730049999999999</v>
      </c>
      <c r="BH17" s="921">
        <v>15.730049999999999</v>
      </c>
      <c r="BI17" s="921">
        <v>15.730049999999999</v>
      </c>
      <c r="BJ17" s="921">
        <v>15.730049999999999</v>
      </c>
      <c r="BK17" s="921">
        <v>15.730049999999999</v>
      </c>
      <c r="BL17" s="921">
        <v>15.730049999999999</v>
      </c>
      <c r="BM17" s="921">
        <v>15.730049999999999</v>
      </c>
      <c r="BN17" s="921">
        <v>15.730049999999999</v>
      </c>
      <c r="BO17" s="921">
        <v>15.730049999999999</v>
      </c>
      <c r="BP17" s="921">
        <v>15.730049999999999</v>
      </c>
      <c r="BQ17" s="921">
        <v>15.730049999999999</v>
      </c>
      <c r="BR17" s="921">
        <v>15.730049999999999</v>
      </c>
      <c r="BS17" s="921">
        <v>15.730049999999999</v>
      </c>
      <c r="BT17" s="928">
        <v>15.730049999999999</v>
      </c>
    </row>
    <row r="18" spans="1:72" x14ac:dyDescent="0.25">
      <c r="A18" s="919" t="s">
        <v>311</v>
      </c>
      <c r="B18" s="920" t="s">
        <v>747</v>
      </c>
      <c r="C18" s="921">
        <v>8.7353999999999985</v>
      </c>
      <c r="D18" s="921">
        <v>8.7353999999999985</v>
      </c>
      <c r="E18" s="921">
        <v>8.7353999999999985</v>
      </c>
      <c r="F18" s="921">
        <v>8.7353999999999985</v>
      </c>
      <c r="G18" s="921">
        <v>8.7353999999999985</v>
      </c>
      <c r="H18" s="921">
        <v>8.7353999999999985</v>
      </c>
      <c r="I18" s="921">
        <v>8.7353999999999985</v>
      </c>
      <c r="J18" s="921">
        <v>8.7353999999999985</v>
      </c>
      <c r="K18" s="921">
        <v>8.7353999999999985</v>
      </c>
      <c r="L18" s="921">
        <v>8.7353999999999985</v>
      </c>
      <c r="M18" s="921">
        <v>8.7353999999999985</v>
      </c>
      <c r="N18" s="921">
        <v>8.7353999999999985</v>
      </c>
      <c r="O18" s="921">
        <v>8.7353999999999985</v>
      </c>
      <c r="P18" s="921">
        <v>8.7353999999999985</v>
      </c>
      <c r="Q18" s="921">
        <v>8.7353999999999985</v>
      </c>
      <c r="R18" s="921">
        <v>8.7353999999999985</v>
      </c>
      <c r="S18" s="921">
        <v>8.7353999999999985</v>
      </c>
      <c r="T18" s="921">
        <v>8.7353999999999985</v>
      </c>
      <c r="U18" s="921">
        <v>8.7353999999999985</v>
      </c>
      <c r="V18" s="921">
        <v>8.7353999999999985</v>
      </c>
      <c r="W18" s="921">
        <v>8.7353999999999985</v>
      </c>
      <c r="X18" s="921">
        <v>8.7353999999999985</v>
      </c>
      <c r="Y18" s="921">
        <v>8.7353999999999985</v>
      </c>
      <c r="Z18" s="921">
        <v>8.7353999999999985</v>
      </c>
      <c r="AA18" s="921">
        <v>8.7353999999999985</v>
      </c>
      <c r="AB18" s="921">
        <v>8.7353999999999985</v>
      </c>
      <c r="AC18" s="921">
        <v>8.7353999999999985</v>
      </c>
      <c r="AD18" s="921">
        <v>8.7353999999999985</v>
      </c>
      <c r="AE18" s="921">
        <v>8.7353999999999985</v>
      </c>
      <c r="AF18" s="921">
        <v>8.7353999999999985</v>
      </c>
      <c r="AG18" s="921">
        <v>8.7353999999999985</v>
      </c>
      <c r="AH18" s="921">
        <v>8.7353999999999985</v>
      </c>
      <c r="AI18" s="921">
        <v>8.7353999999999985</v>
      </c>
      <c r="AJ18" s="921">
        <v>8.7353999999999985</v>
      </c>
      <c r="AK18" s="921">
        <v>8.7353999999999985</v>
      </c>
      <c r="AL18" s="921">
        <v>8.7353999999999985</v>
      </c>
      <c r="AM18" s="921">
        <v>8.7353999999999985</v>
      </c>
      <c r="AN18" s="921">
        <v>8.7353999999999985</v>
      </c>
      <c r="AO18" s="921">
        <v>8.7353999999999985</v>
      </c>
      <c r="AP18" s="921">
        <v>8.7353999999999985</v>
      </c>
      <c r="AQ18" s="921">
        <v>8.7353999999999985</v>
      </c>
      <c r="AR18" s="921">
        <v>8.7353999999999985</v>
      </c>
      <c r="AS18" s="921">
        <v>8.7353999999999985</v>
      </c>
      <c r="AT18" s="921">
        <v>8.7353999999999985</v>
      </c>
      <c r="AU18" s="921">
        <v>8.7353999999999985</v>
      </c>
      <c r="AV18" s="921">
        <v>8.7353999999999985</v>
      </c>
      <c r="AW18" s="921">
        <v>8.7353999999999985</v>
      </c>
      <c r="AX18" s="921">
        <v>8.7353999999999985</v>
      </c>
      <c r="AY18" s="921">
        <v>8.7353999999999985</v>
      </c>
      <c r="AZ18" s="921">
        <v>8.7353999999999985</v>
      </c>
      <c r="BA18" s="921">
        <v>8.7353999999999985</v>
      </c>
      <c r="BB18" s="921">
        <v>8.7353999999999985</v>
      </c>
      <c r="BC18" s="921">
        <v>8.7353999999999985</v>
      </c>
      <c r="BD18" s="921">
        <v>8.7353999999999985</v>
      </c>
      <c r="BE18" s="921">
        <v>8.7353999999999985</v>
      </c>
      <c r="BF18" s="921">
        <v>8.7353999999999985</v>
      </c>
      <c r="BG18" s="921">
        <v>8.7353999999999985</v>
      </c>
      <c r="BH18" s="921">
        <v>8.7353999999999985</v>
      </c>
      <c r="BI18" s="921">
        <v>8.7353999999999985</v>
      </c>
      <c r="BJ18" s="921">
        <v>8.7353999999999985</v>
      </c>
      <c r="BK18" s="921">
        <v>8.7353999999999985</v>
      </c>
      <c r="BL18" s="921">
        <v>8.7353999999999985</v>
      </c>
      <c r="BM18" s="921">
        <v>8.7353999999999985</v>
      </c>
      <c r="BN18" s="921">
        <v>8.7353999999999985</v>
      </c>
      <c r="BO18" s="921">
        <v>8.7353999999999985</v>
      </c>
      <c r="BP18" s="921">
        <v>8.7353999999999985</v>
      </c>
      <c r="BQ18" s="921">
        <v>8.7353999999999985</v>
      </c>
      <c r="BR18" s="921">
        <v>8.7353999999999985</v>
      </c>
      <c r="BS18" s="921">
        <v>8.7353999999999985</v>
      </c>
      <c r="BT18" s="928">
        <v>8.7353999999999985</v>
      </c>
    </row>
    <row r="19" spans="1:72" x14ac:dyDescent="0.25">
      <c r="A19" s="1649" t="s">
        <v>755</v>
      </c>
      <c r="B19" s="1650"/>
      <c r="C19" s="1650"/>
      <c r="D19" s="1650"/>
      <c r="E19" s="1650"/>
      <c r="F19" s="1650"/>
      <c r="G19" s="1650"/>
      <c r="H19" s="1650"/>
      <c r="I19" s="1650"/>
      <c r="J19" s="1650"/>
      <c r="K19" s="1650"/>
      <c r="L19" s="1650"/>
      <c r="M19" s="1650"/>
      <c r="N19" s="1650"/>
      <c r="O19" s="1650"/>
      <c r="P19" s="1650"/>
      <c r="Q19" s="1650"/>
      <c r="R19" s="1650"/>
      <c r="S19" s="1650"/>
      <c r="T19" s="1650"/>
      <c r="U19" s="1650"/>
      <c r="V19" s="1650"/>
      <c r="W19" s="1650"/>
      <c r="X19" s="1650"/>
      <c r="Y19" s="1650"/>
      <c r="Z19" s="1650"/>
      <c r="AA19" s="1650"/>
      <c r="AB19" s="1650"/>
      <c r="AC19" s="1650"/>
      <c r="AD19" s="1650"/>
      <c r="AE19" s="1650"/>
      <c r="AF19" s="1650"/>
      <c r="AG19" s="1650"/>
      <c r="AH19" s="1650"/>
      <c r="AI19" s="1650"/>
      <c r="AJ19" s="1650"/>
      <c r="AK19" s="1650"/>
      <c r="AL19" s="1650"/>
      <c r="AM19" s="1650"/>
      <c r="AN19" s="1650"/>
      <c r="AO19" s="1650"/>
      <c r="AP19" s="1650"/>
      <c r="AQ19" s="1650"/>
      <c r="AR19" s="1650"/>
      <c r="AS19" s="1650"/>
      <c r="AT19" s="1650"/>
      <c r="AU19" s="1650"/>
      <c r="AV19" s="1650"/>
      <c r="AW19" s="1650"/>
      <c r="AX19" s="1650"/>
      <c r="AY19" s="1650"/>
      <c r="AZ19" s="1650"/>
      <c r="BA19" s="1650"/>
      <c r="BB19" s="1650"/>
      <c r="BC19" s="1650"/>
      <c r="BD19" s="1650"/>
      <c r="BE19" s="1650"/>
      <c r="BF19" s="1650"/>
      <c r="BG19" s="1650"/>
      <c r="BH19" s="1650"/>
      <c r="BI19" s="1650"/>
      <c r="BJ19" s="1650"/>
      <c r="BK19" s="1650"/>
      <c r="BL19" s="1650"/>
      <c r="BM19" s="1650"/>
      <c r="BN19" s="1650"/>
      <c r="BO19" s="1650"/>
      <c r="BP19" s="1650"/>
      <c r="BQ19" s="1650"/>
      <c r="BR19" s="1650"/>
      <c r="BS19" s="1650"/>
      <c r="BT19" s="1651"/>
    </row>
    <row r="20" spans="1:72" ht="23.5" thickBot="1" x14ac:dyDescent="0.3">
      <c r="A20" s="929" t="s">
        <v>756</v>
      </c>
      <c r="B20" s="930" t="s">
        <v>747</v>
      </c>
      <c r="C20" s="931">
        <v>1.2696286520685174</v>
      </c>
      <c r="D20" s="931">
        <v>1.2696286520685174</v>
      </c>
      <c r="E20" s="931">
        <v>1.2696286520685174</v>
      </c>
      <c r="F20" s="931">
        <v>1.2696286520685174</v>
      </c>
      <c r="G20" s="931">
        <v>1.2696286520685174</v>
      </c>
      <c r="H20" s="931">
        <v>1.2696286520685174</v>
      </c>
      <c r="I20" s="931">
        <v>1.2696286520685174</v>
      </c>
      <c r="J20" s="931">
        <v>1.2696286520685174</v>
      </c>
      <c r="K20" s="931">
        <v>1.2696286520685174</v>
      </c>
      <c r="L20" s="931">
        <v>1.2696286520685174</v>
      </c>
      <c r="M20" s="931">
        <v>1.2716814065585227</v>
      </c>
      <c r="N20" s="931">
        <v>1.2809188017635484</v>
      </c>
      <c r="O20" s="931">
        <v>1.3178683825836508</v>
      </c>
      <c r="P20" s="931">
        <v>1.3209475143186591</v>
      </c>
      <c r="Q20" s="931">
        <v>1.3435278137087219</v>
      </c>
      <c r="R20" s="931">
        <v>1.3466069454437304</v>
      </c>
      <c r="S20" s="931">
        <v>1.3630289813637759</v>
      </c>
      <c r="T20" s="931">
        <v>1.3578970951387617</v>
      </c>
      <c r="U20" s="931">
        <v>1.383556526263833</v>
      </c>
      <c r="V20" s="931">
        <v>1.4030576939188868</v>
      </c>
      <c r="W20" s="931">
        <v>1.460534819639046</v>
      </c>
      <c r="X20" s="931">
        <v>1.4800359872941</v>
      </c>
      <c r="Y20" s="931">
        <v>1.4861942507641173</v>
      </c>
      <c r="Z20" s="931">
        <v>1.5118536818891883</v>
      </c>
      <c r="AA20" s="931">
        <v>1.5262229633192279</v>
      </c>
      <c r="AB20" s="931">
        <v>1.6236006669873051</v>
      </c>
      <c r="AC20" s="931">
        <v>1.7209783706553823</v>
      </c>
      <c r="AD20" s="931">
        <v>1.8183560743234595</v>
      </c>
      <c r="AE20" s="931">
        <v>1.9157337779915367</v>
      </c>
      <c r="AF20" s="931">
        <v>2.0131114816596138</v>
      </c>
      <c r="AG20" s="931">
        <v>2.1104891853276913</v>
      </c>
      <c r="AH20" s="931">
        <v>2.2078668889957687</v>
      </c>
      <c r="AI20" s="931">
        <v>2.3052445926638461</v>
      </c>
      <c r="AJ20" s="931">
        <v>2.4026222963319235</v>
      </c>
      <c r="AK20" s="931">
        <v>2.5</v>
      </c>
      <c r="AL20" s="931">
        <v>2.5714285714285716</v>
      </c>
      <c r="AM20" s="931">
        <v>2.6428571428571432</v>
      </c>
      <c r="AN20" s="931">
        <v>2.7142857142857149</v>
      </c>
      <c r="AO20" s="931">
        <v>2.7857142857142865</v>
      </c>
      <c r="AP20" s="931">
        <v>2.8571428571428581</v>
      </c>
      <c r="AQ20" s="931">
        <v>2.9285714285714297</v>
      </c>
      <c r="AR20" s="931">
        <v>3</v>
      </c>
      <c r="AS20" s="931">
        <v>3.071428571428573</v>
      </c>
      <c r="AT20" s="931">
        <v>3.1428571428571446</v>
      </c>
      <c r="AU20" s="931">
        <v>3.2142857142857162</v>
      </c>
      <c r="AV20" s="931">
        <v>3.2857142857142878</v>
      </c>
      <c r="AW20" s="931">
        <v>3.3571428571428594</v>
      </c>
      <c r="AX20" s="931">
        <v>3.428571428571431</v>
      </c>
      <c r="AY20" s="931">
        <v>3.5</v>
      </c>
      <c r="AZ20" s="931">
        <v>3.5714285714285743</v>
      </c>
      <c r="BA20" s="931">
        <v>3.6428571428571459</v>
      </c>
      <c r="BB20" s="931">
        <v>3.7142857142857175</v>
      </c>
      <c r="BC20" s="931">
        <v>3.7857142857142891</v>
      </c>
      <c r="BD20" s="931">
        <v>3.8571428571428608</v>
      </c>
      <c r="BE20" s="931">
        <v>3.9285714285714324</v>
      </c>
      <c r="BF20" s="931">
        <v>4</v>
      </c>
      <c r="BG20" s="931">
        <v>4.0714285714285747</v>
      </c>
      <c r="BH20" s="931">
        <v>4.1428571428571459</v>
      </c>
      <c r="BI20" s="931">
        <v>4.2142857142857171</v>
      </c>
      <c r="BJ20" s="931">
        <v>4.2857142857142883</v>
      </c>
      <c r="BK20" s="931">
        <v>4.3571428571428594</v>
      </c>
      <c r="BL20" s="931">
        <v>4.4285714285714306</v>
      </c>
      <c r="BM20" s="931">
        <v>4.5</v>
      </c>
      <c r="BN20" s="931">
        <v>4.571428571428573</v>
      </c>
      <c r="BO20" s="931">
        <v>4.6428571428571441</v>
      </c>
      <c r="BP20" s="931">
        <v>4.7142857142857153</v>
      </c>
      <c r="BQ20" s="931">
        <v>4.7857142857142865</v>
      </c>
      <c r="BR20" s="931">
        <v>4.8571428571428577</v>
      </c>
      <c r="BS20" s="931">
        <v>4.9285714285714288</v>
      </c>
      <c r="BT20" s="932">
        <v>5</v>
      </c>
    </row>
    <row r="21" spans="1:72" ht="47.25" customHeight="1" x14ac:dyDescent="0.25">
      <c r="A21" s="1657" t="s">
        <v>437</v>
      </c>
      <c r="B21" s="1658"/>
      <c r="C21" s="1658"/>
      <c r="D21" s="1658"/>
      <c r="E21" s="1658"/>
      <c r="F21" s="1658"/>
      <c r="G21" s="1658"/>
      <c r="H21" s="1658"/>
      <c r="I21" s="1658"/>
      <c r="J21" s="1658"/>
      <c r="K21" s="1658"/>
      <c r="L21" s="1658"/>
      <c r="M21" s="1658"/>
      <c r="N21" s="1658"/>
      <c r="O21" s="1658"/>
      <c r="P21" s="1658"/>
      <c r="Q21" s="1658"/>
      <c r="R21" s="1658"/>
      <c r="S21" s="1658"/>
      <c r="T21" s="1658"/>
      <c r="U21" s="933"/>
      <c r="V21" s="933"/>
      <c r="W21" s="933"/>
      <c r="X21" s="933"/>
      <c r="Y21" s="933"/>
      <c r="Z21" s="933"/>
      <c r="AA21" s="933"/>
      <c r="AB21" s="933"/>
      <c r="AC21" s="933"/>
      <c r="AD21" s="933"/>
      <c r="AE21" s="933"/>
      <c r="AF21" s="933"/>
      <c r="AG21" s="933"/>
      <c r="AH21" s="933"/>
      <c r="AI21" s="933"/>
      <c r="AJ21" s="933"/>
      <c r="AK21" s="933"/>
      <c r="AL21" s="933"/>
      <c r="AM21" s="933"/>
      <c r="AN21" s="933"/>
      <c r="AO21" s="933"/>
      <c r="AP21" s="933"/>
      <c r="AQ21" s="933"/>
      <c r="AR21" s="933"/>
      <c r="AS21" s="933"/>
      <c r="AT21" s="933"/>
      <c r="AU21" s="933"/>
      <c r="AV21" s="933"/>
      <c r="AW21" s="933"/>
      <c r="AX21" s="933"/>
      <c r="AY21" s="933"/>
      <c r="AZ21" s="933"/>
      <c r="BA21" s="933"/>
      <c r="BB21" s="933"/>
      <c r="BC21" s="933"/>
      <c r="BD21" s="933"/>
      <c r="BE21" s="933"/>
      <c r="BF21" s="933"/>
      <c r="BG21" s="933"/>
      <c r="BH21" s="933"/>
      <c r="BI21" s="933"/>
      <c r="BJ21" s="933"/>
      <c r="BK21" s="933"/>
      <c r="BL21" s="933"/>
      <c r="BM21" s="933"/>
      <c r="BN21" s="933"/>
      <c r="BO21" s="933"/>
      <c r="BP21" s="933"/>
      <c r="BQ21" s="933"/>
      <c r="BR21" s="933"/>
      <c r="BS21" s="933"/>
      <c r="BT21" s="933"/>
    </row>
    <row r="22" spans="1:72" x14ac:dyDescent="0.25">
      <c r="A22" s="934"/>
      <c r="B22" s="934"/>
      <c r="C22" s="934"/>
      <c r="D22" s="934"/>
      <c r="E22" s="934"/>
      <c r="F22" s="934"/>
      <c r="G22" s="934"/>
      <c r="H22" s="934"/>
      <c r="I22" s="934"/>
      <c r="J22" s="934"/>
      <c r="K22" s="934"/>
      <c r="L22" s="934"/>
      <c r="M22" s="934"/>
      <c r="N22" s="934"/>
      <c r="O22" s="934"/>
      <c r="P22" s="934"/>
      <c r="Q22" s="934"/>
      <c r="R22" s="934"/>
      <c r="S22" s="934"/>
      <c r="T22" s="934"/>
      <c r="U22" s="935"/>
      <c r="V22" s="935"/>
      <c r="W22" s="935"/>
      <c r="X22" s="935"/>
      <c r="Y22" s="935"/>
      <c r="Z22" s="935"/>
      <c r="AA22" s="935"/>
      <c r="AB22" s="935"/>
      <c r="AC22" s="935"/>
      <c r="AD22" s="935"/>
      <c r="AE22" s="935"/>
      <c r="AF22" s="935"/>
      <c r="AG22" s="935"/>
      <c r="AH22" s="935"/>
      <c r="AI22" s="935"/>
      <c r="AJ22" s="935"/>
      <c r="AK22" s="935"/>
      <c r="AL22" s="935"/>
      <c r="AM22" s="935"/>
      <c r="AN22" s="935"/>
      <c r="AO22" s="935"/>
      <c r="AP22" s="935"/>
      <c r="AQ22" s="935"/>
      <c r="AR22" s="935"/>
      <c r="AS22" s="935"/>
      <c r="AT22" s="935"/>
      <c r="AU22" s="935"/>
      <c r="AV22" s="935"/>
      <c r="AW22" s="935"/>
      <c r="AX22" s="935"/>
      <c r="AY22" s="935"/>
      <c r="AZ22" s="935"/>
      <c r="BA22" s="935"/>
      <c r="BB22" s="935"/>
      <c r="BC22" s="935"/>
      <c r="BD22" s="935"/>
      <c r="BE22" s="935"/>
      <c r="BF22" s="935"/>
      <c r="BG22" s="935"/>
      <c r="BH22" s="935"/>
      <c r="BI22" s="935"/>
      <c r="BJ22" s="935"/>
      <c r="BK22" s="935"/>
      <c r="BL22" s="935"/>
      <c r="BM22" s="935"/>
      <c r="BN22" s="935"/>
      <c r="BO22" s="935"/>
      <c r="BP22" s="935"/>
      <c r="BQ22" s="935"/>
      <c r="BR22" s="935"/>
      <c r="BS22" s="935"/>
      <c r="BT22" s="935"/>
    </row>
    <row r="23" spans="1:72" ht="42.75" customHeight="1" x14ac:dyDescent="0.25">
      <c r="A23" s="1641" t="s">
        <v>757</v>
      </c>
      <c r="B23" s="1641"/>
      <c r="C23" s="1641"/>
      <c r="D23" s="1641"/>
      <c r="E23" s="1641"/>
      <c r="F23" s="1641"/>
      <c r="G23" s="1641"/>
      <c r="H23" s="1641"/>
      <c r="I23" s="1641"/>
      <c r="J23" s="1641"/>
      <c r="K23" s="1641"/>
      <c r="L23" s="1641"/>
      <c r="M23" s="1641"/>
      <c r="N23" s="1641"/>
      <c r="O23" s="1641"/>
      <c r="P23" s="1641"/>
      <c r="Q23" s="1641"/>
      <c r="R23" s="1641"/>
      <c r="S23" s="1641"/>
      <c r="T23" s="1641"/>
      <c r="U23" s="935"/>
      <c r="V23" s="935"/>
      <c r="W23" s="935"/>
      <c r="X23" s="935"/>
      <c r="Y23" s="935"/>
      <c r="Z23" s="935"/>
      <c r="AA23" s="935"/>
      <c r="AB23" s="935"/>
      <c r="AC23" s="935"/>
      <c r="AD23" s="935"/>
      <c r="AE23" s="935"/>
      <c r="AF23" s="935"/>
      <c r="AG23" s="935"/>
      <c r="AH23" s="935"/>
      <c r="AI23" s="935"/>
      <c r="AJ23" s="935"/>
      <c r="AK23" s="935"/>
      <c r="AL23" s="935"/>
      <c r="AM23" s="935"/>
      <c r="AN23" s="935"/>
      <c r="AO23" s="935"/>
      <c r="AP23" s="935"/>
      <c r="AQ23" s="935"/>
      <c r="AR23" s="935"/>
      <c r="AS23" s="935"/>
      <c r="AT23" s="935"/>
      <c r="AU23" s="935"/>
      <c r="AV23" s="935"/>
      <c r="AW23" s="935"/>
      <c r="AX23" s="935"/>
      <c r="AY23" s="935"/>
      <c r="AZ23" s="935"/>
      <c r="BA23" s="935"/>
      <c r="BB23" s="935"/>
      <c r="BC23" s="935"/>
      <c r="BD23" s="935"/>
      <c r="BE23" s="935"/>
      <c r="BF23" s="935"/>
      <c r="BG23" s="935"/>
      <c r="BH23" s="935"/>
      <c r="BI23" s="935"/>
      <c r="BJ23" s="935"/>
      <c r="BK23" s="935"/>
      <c r="BL23" s="935"/>
      <c r="BM23" s="935"/>
      <c r="BN23" s="935"/>
      <c r="BO23" s="935"/>
      <c r="BP23" s="935"/>
      <c r="BQ23" s="935"/>
      <c r="BR23" s="935"/>
      <c r="BS23" s="935"/>
      <c r="BT23" s="935"/>
    </row>
    <row r="24" spans="1:72" x14ac:dyDescent="0.25">
      <c r="A24" s="935"/>
      <c r="B24" s="935"/>
      <c r="C24" s="935"/>
      <c r="D24" s="935"/>
      <c r="E24" s="935"/>
      <c r="F24" s="935"/>
      <c r="G24" s="935"/>
      <c r="H24" s="935"/>
      <c r="I24" s="935"/>
      <c r="J24" s="935"/>
      <c r="K24" s="935"/>
      <c r="L24" s="935"/>
      <c r="M24" s="935"/>
      <c r="N24" s="935"/>
      <c r="O24" s="935"/>
      <c r="P24" s="935"/>
      <c r="Q24" s="935"/>
      <c r="R24" s="935"/>
      <c r="S24" s="935"/>
      <c r="T24" s="935"/>
      <c r="U24" s="935"/>
      <c r="V24" s="935"/>
      <c r="W24" s="935"/>
      <c r="X24" s="935"/>
      <c r="Y24" s="935"/>
      <c r="Z24" s="935"/>
      <c r="AA24" s="935"/>
      <c r="AB24" s="935"/>
      <c r="AC24" s="935"/>
      <c r="AD24" s="935"/>
      <c r="AE24" s="935"/>
      <c r="AF24" s="935"/>
      <c r="AG24" s="935"/>
      <c r="AH24" s="935"/>
      <c r="AI24" s="935"/>
      <c r="AJ24" s="935"/>
      <c r="AK24" s="935"/>
      <c r="AL24" s="935"/>
      <c r="AM24" s="935"/>
      <c r="AN24" s="935"/>
      <c r="AO24" s="935"/>
      <c r="AP24" s="935"/>
      <c r="AQ24" s="935"/>
      <c r="AR24" s="935"/>
      <c r="AS24" s="935"/>
      <c r="AT24" s="935"/>
      <c r="AU24" s="935"/>
      <c r="AV24" s="935"/>
      <c r="AW24" s="935"/>
      <c r="AX24" s="935"/>
      <c r="AY24" s="935"/>
      <c r="AZ24" s="935"/>
      <c r="BA24" s="935"/>
      <c r="BB24" s="935"/>
      <c r="BC24" s="935"/>
      <c r="BD24" s="935"/>
      <c r="BE24" s="935"/>
      <c r="BF24" s="935"/>
      <c r="BG24" s="935"/>
      <c r="BH24" s="935"/>
      <c r="BI24" s="935"/>
      <c r="BJ24" s="935"/>
      <c r="BK24" s="935"/>
      <c r="BL24" s="935"/>
      <c r="BM24" s="935"/>
      <c r="BN24" s="935"/>
      <c r="BO24" s="935"/>
      <c r="BP24" s="935"/>
      <c r="BQ24" s="935"/>
      <c r="BR24" s="935"/>
      <c r="BS24" s="935"/>
      <c r="BT24" s="935"/>
    </row>
    <row r="25" spans="1:72" ht="15.5" x14ac:dyDescent="0.35">
      <c r="A25" s="1659" t="s">
        <v>1114</v>
      </c>
      <c r="B25" s="1659"/>
      <c r="C25" s="1659"/>
      <c r="D25" s="1659"/>
      <c r="E25" s="1659"/>
      <c r="F25" s="1659"/>
      <c r="G25" s="1659"/>
      <c r="H25" s="1659"/>
      <c r="I25" s="1659"/>
      <c r="J25" s="1659"/>
      <c r="K25" s="1659"/>
      <c r="L25" s="935"/>
      <c r="M25" s="935"/>
      <c r="N25" s="935"/>
      <c r="O25" s="935"/>
      <c r="P25" s="935"/>
      <c r="Q25" s="935"/>
      <c r="R25" s="935"/>
      <c r="S25" s="935"/>
      <c r="T25" s="935"/>
      <c r="U25" s="935"/>
      <c r="V25" s="935"/>
      <c r="W25" s="935"/>
      <c r="X25" s="935"/>
      <c r="Y25" s="935"/>
      <c r="Z25" s="935"/>
      <c r="AA25" s="935"/>
      <c r="AB25" s="935"/>
      <c r="AC25" s="935"/>
      <c r="AD25" s="935"/>
      <c r="AE25" s="935"/>
      <c r="AF25" s="935"/>
      <c r="AG25" s="935"/>
      <c r="AH25" s="935"/>
      <c r="AI25" s="935"/>
      <c r="AJ25" s="935"/>
      <c r="AK25" s="935"/>
      <c r="AL25" s="935"/>
      <c r="AM25" s="935"/>
      <c r="AN25" s="935"/>
      <c r="AO25" s="935"/>
      <c r="AP25" s="935"/>
      <c r="AQ25" s="935"/>
      <c r="AR25" s="935"/>
      <c r="AS25" s="935"/>
      <c r="AT25" s="935"/>
      <c r="AU25" s="935"/>
      <c r="AV25" s="935"/>
      <c r="AW25" s="935"/>
      <c r="AX25" s="935"/>
      <c r="AY25" s="935"/>
      <c r="AZ25" s="935"/>
      <c r="BA25" s="935"/>
      <c r="BB25" s="935"/>
      <c r="BC25" s="935"/>
      <c r="BD25" s="935"/>
      <c r="BE25" s="935"/>
      <c r="BF25" s="935"/>
      <c r="BG25" s="935"/>
      <c r="BH25" s="935"/>
      <c r="BI25" s="935"/>
      <c r="BJ25" s="935"/>
      <c r="BK25" s="935"/>
      <c r="BL25" s="935"/>
      <c r="BM25" s="935"/>
      <c r="BN25" s="935"/>
      <c r="BO25" s="935"/>
      <c r="BP25" s="935"/>
      <c r="BQ25" s="935"/>
      <c r="BR25" s="935"/>
      <c r="BS25" s="935"/>
      <c r="BT25" s="935"/>
    </row>
    <row r="26" spans="1:72" ht="13" thickBot="1" x14ac:dyDescent="0.3">
      <c r="A26" s="1660"/>
      <c r="B26" s="1660"/>
      <c r="C26" s="1660"/>
      <c r="D26" s="1660"/>
      <c r="E26" s="1660"/>
      <c r="F26" s="1660"/>
      <c r="G26" s="1660"/>
      <c r="H26" s="1660"/>
      <c r="I26" s="1660"/>
      <c r="J26" s="1660"/>
      <c r="K26" s="1660"/>
      <c r="L26" s="935"/>
      <c r="M26" s="935"/>
      <c r="N26" s="935"/>
      <c r="O26" s="935"/>
      <c r="P26" s="935"/>
      <c r="Q26" s="935"/>
      <c r="R26" s="935"/>
      <c r="S26" s="935"/>
      <c r="T26" s="935"/>
      <c r="U26" s="935"/>
      <c r="V26" s="935"/>
      <c r="W26" s="935"/>
      <c r="X26" s="935"/>
      <c r="Y26" s="935"/>
      <c r="Z26" s="935"/>
      <c r="AA26" s="935"/>
      <c r="AB26" s="935"/>
      <c r="AC26" s="935"/>
      <c r="AD26" s="935"/>
      <c r="AE26" s="935"/>
      <c r="AF26" s="935"/>
      <c r="AG26" s="935"/>
      <c r="AH26" s="935"/>
      <c r="AI26" s="935"/>
      <c r="AJ26" s="935"/>
      <c r="AK26" s="935"/>
      <c r="AL26" s="935"/>
      <c r="AM26" s="935"/>
      <c r="AN26" s="935"/>
      <c r="AO26" s="935"/>
      <c r="AP26" s="935"/>
      <c r="AQ26" s="935"/>
      <c r="AR26" s="935"/>
      <c r="AS26" s="935"/>
      <c r="AT26" s="935"/>
      <c r="AU26" s="935"/>
      <c r="AV26" s="935"/>
      <c r="AW26" s="935"/>
      <c r="AX26" s="935"/>
      <c r="AY26" s="935"/>
      <c r="AZ26" s="935"/>
      <c r="BA26" s="935"/>
      <c r="BB26" s="935"/>
      <c r="BC26" s="935"/>
      <c r="BD26" s="935"/>
      <c r="BE26" s="935"/>
      <c r="BF26" s="935"/>
      <c r="BG26" s="935"/>
      <c r="BH26" s="935"/>
      <c r="BI26" s="935"/>
      <c r="BJ26" s="935"/>
      <c r="BK26" s="935"/>
      <c r="BL26" s="935"/>
      <c r="BM26" s="935"/>
      <c r="BN26" s="935"/>
      <c r="BO26" s="935"/>
      <c r="BP26" s="935"/>
      <c r="BQ26" s="935"/>
      <c r="BR26" s="935"/>
      <c r="BS26" s="935"/>
      <c r="BT26" s="935"/>
    </row>
    <row r="27" spans="1:72" ht="39" x14ac:dyDescent="0.25">
      <c r="A27" s="936"/>
      <c r="B27" s="937" t="s">
        <v>758</v>
      </c>
      <c r="C27" s="937" t="s">
        <v>759</v>
      </c>
      <c r="D27" s="937" t="s">
        <v>1116</v>
      </c>
      <c r="E27" s="1661"/>
      <c r="F27" s="1661"/>
      <c r="G27" s="1661"/>
      <c r="H27" s="1661"/>
      <c r="I27" s="1661"/>
      <c r="J27" s="1627" t="s">
        <v>760</v>
      </c>
      <c r="K27" s="1628"/>
      <c r="L27" s="935"/>
      <c r="M27" s="935"/>
      <c r="N27" s="935"/>
      <c r="O27" s="935"/>
      <c r="P27" s="935"/>
      <c r="Q27" s="935"/>
      <c r="R27" s="935"/>
      <c r="S27" s="935"/>
      <c r="T27" s="935"/>
      <c r="U27" s="935"/>
      <c r="V27" s="935"/>
      <c r="W27" s="935"/>
      <c r="X27" s="935"/>
      <c r="Y27" s="935"/>
      <c r="Z27" s="935"/>
      <c r="AA27" s="935"/>
      <c r="AB27" s="935"/>
      <c r="AC27" s="935"/>
      <c r="AD27" s="935"/>
      <c r="AE27" s="935"/>
      <c r="AF27" s="935"/>
      <c r="AG27" s="935"/>
      <c r="AH27" s="935"/>
      <c r="AI27" s="935"/>
      <c r="AJ27" s="935"/>
      <c r="AK27" s="935"/>
      <c r="AL27" s="935"/>
      <c r="AM27" s="935"/>
      <c r="AN27" s="935"/>
      <c r="AO27" s="935"/>
      <c r="AP27" s="935"/>
      <c r="AQ27" s="935"/>
      <c r="AR27" s="935"/>
      <c r="AS27" s="935"/>
      <c r="AT27" s="935"/>
      <c r="AU27" s="935"/>
      <c r="AV27" s="935"/>
      <c r="AW27" s="935"/>
      <c r="AX27" s="935"/>
      <c r="AY27" s="935"/>
      <c r="AZ27" s="935"/>
      <c r="BA27" s="935"/>
      <c r="BB27" s="935"/>
      <c r="BC27" s="935"/>
      <c r="BD27" s="935"/>
      <c r="BE27" s="935"/>
      <c r="BF27" s="935"/>
      <c r="BG27" s="935"/>
      <c r="BH27" s="935"/>
      <c r="BI27" s="935"/>
      <c r="BJ27" s="935"/>
      <c r="BK27" s="935"/>
      <c r="BL27" s="935"/>
      <c r="BM27" s="935"/>
      <c r="BN27" s="935"/>
      <c r="BO27" s="935"/>
      <c r="BP27" s="935"/>
      <c r="BQ27" s="935"/>
      <c r="BR27" s="935"/>
      <c r="BS27" s="935"/>
      <c r="BT27" s="935"/>
    </row>
    <row r="28" spans="1:72" x14ac:dyDescent="0.25">
      <c r="A28" s="938" t="s">
        <v>569</v>
      </c>
      <c r="B28" s="939">
        <f>G40/F40</f>
        <v>1.0482288241385485</v>
      </c>
      <c r="C28" s="939">
        <f>H40/G40</f>
        <v>1.0526415477404851</v>
      </c>
      <c r="D28" s="939">
        <f>I40/H40</f>
        <v>1.0160295046377366</v>
      </c>
      <c r="E28" s="1629"/>
      <c r="F28" s="1629"/>
      <c r="G28" s="1629"/>
      <c r="H28" s="1629"/>
      <c r="I28" s="1629"/>
      <c r="J28" s="1629" t="s">
        <v>1084</v>
      </c>
      <c r="K28" s="1630" t="s">
        <v>1092</v>
      </c>
      <c r="L28" s="935"/>
      <c r="M28" s="935"/>
      <c r="N28" s="935"/>
      <c r="O28" s="935"/>
      <c r="P28" s="935"/>
      <c r="Q28" s="935"/>
      <c r="R28" s="935"/>
      <c r="S28" s="935"/>
      <c r="T28" s="935"/>
      <c r="U28" s="935"/>
      <c r="V28" s="935"/>
      <c r="W28" s="935"/>
      <c r="X28" s="935"/>
      <c r="Y28" s="935"/>
      <c r="Z28" s="935"/>
      <c r="AA28" s="935"/>
      <c r="AB28" s="935"/>
      <c r="AC28" s="935"/>
      <c r="AD28" s="935"/>
      <c r="AE28" s="935"/>
      <c r="AF28" s="935"/>
      <c r="AG28" s="935"/>
      <c r="AH28" s="935"/>
      <c r="AI28" s="935"/>
      <c r="AJ28" s="935"/>
      <c r="AK28" s="935"/>
      <c r="AL28" s="935"/>
      <c r="AM28" s="935"/>
      <c r="AN28" s="935"/>
      <c r="AO28" s="935"/>
      <c r="AP28" s="935"/>
      <c r="AQ28" s="935"/>
      <c r="AR28" s="935"/>
      <c r="AS28" s="935"/>
      <c r="AT28" s="935"/>
      <c r="AU28" s="935"/>
      <c r="AV28" s="935"/>
      <c r="AW28" s="935"/>
      <c r="AX28" s="935"/>
      <c r="AY28" s="935"/>
      <c r="AZ28" s="935"/>
      <c r="BA28" s="935"/>
      <c r="BB28" s="935"/>
      <c r="BC28" s="935"/>
      <c r="BD28" s="935"/>
      <c r="BE28" s="935"/>
      <c r="BF28" s="935"/>
      <c r="BG28" s="935"/>
      <c r="BH28" s="935"/>
      <c r="BI28" s="935"/>
      <c r="BJ28" s="935"/>
      <c r="BK28" s="935"/>
      <c r="BL28" s="935"/>
      <c r="BM28" s="935"/>
      <c r="BN28" s="935"/>
      <c r="BO28" s="935"/>
      <c r="BP28" s="935"/>
      <c r="BQ28" s="935"/>
      <c r="BR28" s="935"/>
      <c r="BS28" s="935"/>
      <c r="BT28" s="935"/>
    </row>
    <row r="29" spans="1:72" x14ac:dyDescent="0.25">
      <c r="A29" s="940" t="s">
        <v>570</v>
      </c>
      <c r="B29" s="941">
        <f t="shared" ref="B29:B35" si="0">G41/F41</f>
        <v>1.1441282284851997</v>
      </c>
      <c r="C29" s="941">
        <f t="shared" ref="C29:C35" si="1">H41/G41</f>
        <v>1.1360328119345371</v>
      </c>
      <c r="D29" s="941">
        <f t="shared" ref="D29:D35" si="2">I41/H41</f>
        <v>1.0363018547359477</v>
      </c>
      <c r="E29" s="1629"/>
      <c r="F29" s="1629"/>
      <c r="G29" s="1629"/>
      <c r="H29" s="1629"/>
      <c r="I29" s="1629"/>
      <c r="J29" s="1629"/>
      <c r="K29" s="1630"/>
      <c r="L29" s="935"/>
      <c r="M29" s="935"/>
      <c r="N29" s="935"/>
      <c r="O29" s="935"/>
      <c r="P29" s="935"/>
      <c r="Q29" s="935"/>
      <c r="R29" s="935"/>
      <c r="S29" s="935"/>
      <c r="T29" s="935"/>
      <c r="U29" s="935"/>
      <c r="V29" s="935"/>
      <c r="W29" s="935"/>
      <c r="X29" s="935"/>
      <c r="Y29" s="935"/>
      <c r="Z29" s="935"/>
      <c r="AA29" s="935"/>
      <c r="AB29" s="935"/>
      <c r="AC29" s="935"/>
      <c r="AD29" s="935"/>
      <c r="AE29" s="935"/>
      <c r="AF29" s="935"/>
      <c r="AG29" s="935"/>
      <c r="AH29" s="935"/>
      <c r="AI29" s="935"/>
      <c r="AJ29" s="935"/>
      <c r="AK29" s="935"/>
      <c r="AL29" s="935"/>
      <c r="AM29" s="935"/>
      <c r="AN29" s="935"/>
      <c r="AO29" s="935"/>
      <c r="AP29" s="935"/>
      <c r="AQ29" s="935"/>
      <c r="AR29" s="935"/>
      <c r="AS29" s="935"/>
      <c r="AT29" s="935"/>
      <c r="AU29" s="935"/>
      <c r="AV29" s="935"/>
      <c r="AW29" s="935"/>
      <c r="AX29" s="935"/>
      <c r="AY29" s="935"/>
      <c r="AZ29" s="935"/>
      <c r="BA29" s="935"/>
      <c r="BB29" s="935"/>
      <c r="BC29" s="935"/>
      <c r="BD29" s="935"/>
      <c r="BE29" s="935"/>
      <c r="BF29" s="935"/>
      <c r="BG29" s="935"/>
      <c r="BH29" s="935"/>
      <c r="BI29" s="935"/>
      <c r="BJ29" s="935"/>
      <c r="BK29" s="935"/>
      <c r="BL29" s="935"/>
      <c r="BM29" s="935"/>
      <c r="BN29" s="935"/>
      <c r="BO29" s="935"/>
      <c r="BP29" s="935"/>
      <c r="BQ29" s="935"/>
      <c r="BR29" s="935"/>
      <c r="BS29" s="935"/>
      <c r="BT29" s="935"/>
    </row>
    <row r="30" spans="1:72" x14ac:dyDescent="0.25">
      <c r="A30" s="938" t="s">
        <v>571</v>
      </c>
      <c r="B30" s="939">
        <f t="shared" si="0"/>
        <v>1.1252277801242987</v>
      </c>
      <c r="C30" s="939">
        <f t="shared" si="1"/>
        <v>1.1222249629995065</v>
      </c>
      <c r="D30" s="939">
        <f t="shared" si="2"/>
        <v>1.0285793469898747</v>
      </c>
      <c r="E30" s="1629"/>
      <c r="F30" s="1629"/>
      <c r="G30" s="1629"/>
      <c r="H30" s="1629"/>
      <c r="I30" s="1629"/>
      <c r="J30" s="942">
        <v>1991</v>
      </c>
      <c r="K30" s="943">
        <v>84.5</v>
      </c>
      <c r="L30" s="935"/>
      <c r="M30" s="935"/>
      <c r="N30" s="935"/>
      <c r="O30" s="935"/>
      <c r="P30" s="935"/>
      <c r="Q30" s="935"/>
      <c r="R30" s="935"/>
      <c r="S30" s="935"/>
      <c r="T30" s="935"/>
      <c r="U30" s="935"/>
      <c r="V30" s="935"/>
      <c r="W30" s="935"/>
      <c r="X30" s="935"/>
      <c r="Y30" s="935"/>
      <c r="Z30" s="935"/>
      <c r="AA30" s="935"/>
      <c r="AB30" s="935"/>
      <c r="AC30" s="935"/>
      <c r="AD30" s="935"/>
      <c r="AE30" s="935"/>
      <c r="AF30" s="935"/>
      <c r="AG30" s="935"/>
      <c r="AH30" s="935"/>
      <c r="AI30" s="935"/>
      <c r="AJ30" s="935"/>
      <c r="AK30" s="935"/>
      <c r="AL30" s="935"/>
      <c r="AM30" s="935"/>
      <c r="AN30" s="935"/>
      <c r="AO30" s="935"/>
      <c r="AP30" s="935"/>
      <c r="AQ30" s="935"/>
      <c r="AR30" s="935"/>
      <c r="AS30" s="935"/>
      <c r="AT30" s="935"/>
      <c r="AU30" s="935"/>
      <c r="AV30" s="935"/>
      <c r="AW30" s="935"/>
      <c r="AX30" s="935"/>
      <c r="AY30" s="935"/>
      <c r="AZ30" s="935"/>
      <c r="BA30" s="935"/>
      <c r="BB30" s="935"/>
      <c r="BC30" s="935"/>
      <c r="BD30" s="935"/>
      <c r="BE30" s="935"/>
      <c r="BF30" s="935"/>
      <c r="BG30" s="935"/>
      <c r="BH30" s="935"/>
      <c r="BI30" s="935"/>
      <c r="BJ30" s="935"/>
      <c r="BK30" s="935"/>
      <c r="BL30" s="935"/>
      <c r="BM30" s="935"/>
      <c r="BN30" s="935"/>
      <c r="BO30" s="935"/>
      <c r="BP30" s="935"/>
      <c r="BQ30" s="935"/>
      <c r="BR30" s="935"/>
      <c r="BS30" s="935"/>
      <c r="BT30" s="935"/>
    </row>
    <row r="31" spans="1:72" x14ac:dyDescent="0.25">
      <c r="A31" s="940" t="s">
        <v>572</v>
      </c>
      <c r="B31" s="941">
        <f t="shared" si="0"/>
        <v>1.0687839040840581</v>
      </c>
      <c r="C31" s="941">
        <f t="shared" si="1"/>
        <v>1.0213566498986533</v>
      </c>
      <c r="D31" s="941">
        <f t="shared" si="2"/>
        <v>1.0031375164207406</v>
      </c>
      <c r="E31" s="1629"/>
      <c r="F31" s="1629"/>
      <c r="G31" s="1629"/>
      <c r="H31" s="1629"/>
      <c r="I31" s="1629"/>
      <c r="J31" s="944">
        <v>1992</v>
      </c>
      <c r="K31" s="945">
        <v>86.4</v>
      </c>
      <c r="L31" s="935"/>
      <c r="M31" s="935"/>
      <c r="N31" s="935"/>
      <c r="O31" s="935"/>
      <c r="P31" s="935"/>
      <c r="Q31" s="935"/>
      <c r="R31" s="935"/>
      <c r="S31" s="935"/>
      <c r="T31" s="935"/>
      <c r="U31" s="935"/>
      <c r="V31" s="935"/>
      <c r="W31" s="935"/>
      <c r="X31" s="935"/>
      <c r="Y31" s="935"/>
      <c r="Z31" s="935"/>
      <c r="AA31" s="935"/>
      <c r="AB31" s="935"/>
      <c r="AC31" s="935"/>
      <c r="AD31" s="935"/>
      <c r="AE31" s="935"/>
      <c r="AF31" s="935"/>
      <c r="AG31" s="935"/>
      <c r="AH31" s="935"/>
      <c r="AI31" s="935"/>
      <c r="AJ31" s="935"/>
      <c r="AK31" s="935"/>
      <c r="AL31" s="935"/>
      <c r="AM31" s="935"/>
      <c r="AN31" s="935"/>
      <c r="AO31" s="935"/>
      <c r="AP31" s="935"/>
      <c r="AQ31" s="935"/>
      <c r="AR31" s="935"/>
      <c r="AS31" s="935"/>
      <c r="AT31" s="935"/>
      <c r="AU31" s="935"/>
      <c r="AV31" s="935"/>
      <c r="AW31" s="935"/>
      <c r="AX31" s="935"/>
      <c r="AY31" s="935"/>
      <c r="AZ31" s="935"/>
      <c r="BA31" s="935"/>
      <c r="BB31" s="935"/>
      <c r="BC31" s="935"/>
      <c r="BD31" s="935"/>
      <c r="BE31" s="935"/>
      <c r="BF31" s="935"/>
      <c r="BG31" s="935"/>
      <c r="BH31" s="935"/>
      <c r="BI31" s="935"/>
      <c r="BJ31" s="935"/>
      <c r="BK31" s="935"/>
      <c r="BL31" s="935"/>
      <c r="BM31" s="935"/>
      <c r="BN31" s="935"/>
      <c r="BO31" s="935"/>
      <c r="BP31" s="935"/>
      <c r="BQ31" s="935"/>
      <c r="BR31" s="935"/>
      <c r="BS31" s="935"/>
      <c r="BT31" s="935"/>
    </row>
    <row r="32" spans="1:72" x14ac:dyDescent="0.25">
      <c r="A32" s="938" t="s">
        <v>573</v>
      </c>
      <c r="B32" s="939">
        <f t="shared" si="0"/>
        <v>1.03736526166104</v>
      </c>
      <c r="C32" s="939">
        <f t="shared" si="1"/>
        <v>1.0084486821562659</v>
      </c>
      <c r="D32" s="939">
        <f t="shared" si="2"/>
        <v>1.0010687685088917</v>
      </c>
      <c r="E32" s="1629"/>
      <c r="F32" s="1629"/>
      <c r="G32" s="1629"/>
      <c r="H32" s="1629"/>
      <c r="I32" s="1629"/>
      <c r="J32" s="942">
        <v>1993</v>
      </c>
      <c r="K32" s="943">
        <v>88.4</v>
      </c>
      <c r="L32" s="935"/>
      <c r="M32" s="935"/>
      <c r="N32" s="935"/>
      <c r="O32" s="935"/>
      <c r="P32" s="935"/>
      <c r="Q32" s="935"/>
      <c r="R32" s="935"/>
      <c r="S32" s="935"/>
      <c r="T32" s="935"/>
      <c r="U32" s="935"/>
      <c r="V32" s="935"/>
      <c r="W32" s="935"/>
      <c r="X32" s="935"/>
      <c r="Y32" s="935"/>
      <c r="Z32" s="935"/>
      <c r="AA32" s="935"/>
      <c r="AB32" s="935"/>
      <c r="AC32" s="935"/>
      <c r="AD32" s="935"/>
      <c r="AE32" s="935"/>
      <c r="AF32" s="935"/>
      <c r="AG32" s="935"/>
      <c r="AH32" s="935"/>
      <c r="AI32" s="935"/>
      <c r="AJ32" s="935"/>
      <c r="AK32" s="935"/>
      <c r="AL32" s="935"/>
      <c r="AM32" s="935"/>
      <c r="AN32" s="935"/>
      <c r="AO32" s="935"/>
      <c r="AP32" s="935"/>
      <c r="AQ32" s="935"/>
      <c r="AR32" s="935"/>
      <c r="AS32" s="935"/>
      <c r="AT32" s="935"/>
      <c r="AU32" s="935"/>
      <c r="AV32" s="935"/>
      <c r="AW32" s="935"/>
      <c r="AX32" s="935"/>
      <c r="AY32" s="935"/>
      <c r="AZ32" s="935"/>
      <c r="BA32" s="935"/>
      <c r="BB32" s="935"/>
      <c r="BC32" s="935"/>
      <c r="BD32" s="935"/>
      <c r="BE32" s="935"/>
      <c r="BF32" s="935"/>
      <c r="BG32" s="935"/>
      <c r="BH32" s="935"/>
      <c r="BI32" s="935"/>
      <c r="BJ32" s="935"/>
      <c r="BK32" s="935"/>
      <c r="BL32" s="935"/>
      <c r="BM32" s="935"/>
      <c r="BN32" s="935"/>
      <c r="BO32" s="935"/>
      <c r="BP32" s="935"/>
      <c r="BQ32" s="935"/>
      <c r="BR32" s="935"/>
      <c r="BS32" s="935"/>
      <c r="BT32" s="935"/>
    </row>
    <row r="33" spans="1:72" x14ac:dyDescent="0.25">
      <c r="A33" s="940" t="s">
        <v>574</v>
      </c>
      <c r="B33" s="941">
        <f t="shared" si="0"/>
        <v>0.975071533164794</v>
      </c>
      <c r="C33" s="941">
        <f t="shared" si="1"/>
        <v>1.0087393571750138</v>
      </c>
      <c r="D33" s="941">
        <f t="shared" si="2"/>
        <v>0.99663324890666094</v>
      </c>
      <c r="E33" s="1629"/>
      <c r="F33" s="1629"/>
      <c r="G33" s="1629"/>
      <c r="H33" s="1629"/>
      <c r="I33" s="1629"/>
      <c r="J33" s="944">
        <v>1994</v>
      </c>
      <c r="K33" s="945">
        <v>90.3</v>
      </c>
      <c r="L33" s="935"/>
      <c r="M33" s="935"/>
      <c r="N33" s="935"/>
      <c r="O33" s="935"/>
      <c r="P33" s="935"/>
      <c r="Q33" s="935"/>
      <c r="R33" s="935"/>
      <c r="S33" s="935"/>
      <c r="T33" s="935"/>
      <c r="U33" s="935"/>
      <c r="V33" s="935"/>
      <c r="W33" s="935"/>
      <c r="X33" s="935"/>
      <c r="Y33" s="935"/>
      <c r="Z33" s="935"/>
      <c r="AA33" s="935"/>
      <c r="AB33" s="935"/>
      <c r="AC33" s="935"/>
      <c r="AD33" s="935"/>
      <c r="AE33" s="935"/>
      <c r="AF33" s="935"/>
      <c r="AG33" s="935"/>
      <c r="AH33" s="935"/>
      <c r="AI33" s="935"/>
      <c r="AJ33" s="935"/>
      <c r="AK33" s="935"/>
      <c r="AL33" s="935"/>
      <c r="AM33" s="935"/>
      <c r="AN33" s="935"/>
      <c r="AO33" s="935"/>
      <c r="AP33" s="935"/>
      <c r="AQ33" s="935"/>
      <c r="AR33" s="935"/>
      <c r="AS33" s="935"/>
      <c r="AT33" s="935"/>
      <c r="AU33" s="935"/>
      <c r="AV33" s="935"/>
      <c r="AW33" s="935"/>
      <c r="AX33" s="935"/>
      <c r="AY33" s="935"/>
      <c r="AZ33" s="935"/>
      <c r="BA33" s="935"/>
      <c r="BB33" s="935"/>
      <c r="BC33" s="935"/>
      <c r="BD33" s="935"/>
      <c r="BE33" s="935"/>
      <c r="BF33" s="935"/>
      <c r="BG33" s="935"/>
      <c r="BH33" s="935"/>
      <c r="BI33" s="935"/>
      <c r="BJ33" s="935"/>
      <c r="BK33" s="935"/>
      <c r="BL33" s="935"/>
      <c r="BM33" s="935"/>
      <c r="BN33" s="935"/>
      <c r="BO33" s="935"/>
      <c r="BP33" s="935"/>
      <c r="BQ33" s="935"/>
      <c r="BR33" s="935"/>
      <c r="BS33" s="935"/>
      <c r="BT33" s="935"/>
    </row>
    <row r="34" spans="1:72" x14ac:dyDescent="0.25">
      <c r="A34" s="938" t="s">
        <v>575</v>
      </c>
      <c r="B34" s="939">
        <f t="shared" si="0"/>
        <v>1.0938371922267365</v>
      </c>
      <c r="C34" s="939">
        <f t="shared" si="1"/>
        <v>1.0852680569229392</v>
      </c>
      <c r="D34" s="939">
        <f t="shared" si="2"/>
        <v>1.0142672175626977</v>
      </c>
      <c r="E34" s="1629"/>
      <c r="F34" s="1629"/>
      <c r="G34" s="1629"/>
      <c r="H34" s="1629"/>
      <c r="I34" s="1629"/>
      <c r="J34" s="942">
        <v>1995</v>
      </c>
      <c r="K34" s="943">
        <v>92.1</v>
      </c>
      <c r="L34" s="935"/>
      <c r="M34" s="935"/>
      <c r="N34" s="935"/>
      <c r="O34" s="935"/>
      <c r="P34" s="935"/>
      <c r="Q34" s="935"/>
      <c r="R34" s="935"/>
      <c r="S34" s="935"/>
      <c r="T34" s="935"/>
      <c r="U34" s="935"/>
      <c r="V34" s="935"/>
      <c r="W34" s="935"/>
      <c r="X34" s="935"/>
      <c r="Y34" s="935"/>
      <c r="Z34" s="935"/>
      <c r="AA34" s="935"/>
      <c r="AB34" s="935"/>
      <c r="AC34" s="935"/>
      <c r="AD34" s="935"/>
      <c r="AE34" s="935"/>
      <c r="AF34" s="935"/>
      <c r="AG34" s="935"/>
      <c r="AH34" s="935"/>
      <c r="AI34" s="935"/>
      <c r="AJ34" s="935"/>
      <c r="AK34" s="935"/>
      <c r="AL34" s="935"/>
      <c r="AM34" s="935"/>
      <c r="AN34" s="935"/>
      <c r="AO34" s="935"/>
      <c r="AP34" s="935"/>
      <c r="AQ34" s="935"/>
      <c r="AR34" s="935"/>
      <c r="AS34" s="935"/>
      <c r="AT34" s="935"/>
      <c r="AU34" s="935"/>
      <c r="AV34" s="935"/>
      <c r="AW34" s="935"/>
      <c r="AX34" s="935"/>
      <c r="AY34" s="935"/>
      <c r="AZ34" s="935"/>
      <c r="BA34" s="935"/>
      <c r="BB34" s="935"/>
      <c r="BC34" s="935"/>
      <c r="BD34" s="935"/>
      <c r="BE34" s="935"/>
      <c r="BF34" s="935"/>
      <c r="BG34" s="935"/>
      <c r="BH34" s="935"/>
      <c r="BI34" s="935"/>
      <c r="BJ34" s="935"/>
      <c r="BK34" s="935"/>
      <c r="BL34" s="935"/>
      <c r="BM34" s="935"/>
      <c r="BN34" s="935"/>
      <c r="BO34" s="935"/>
      <c r="BP34" s="935"/>
      <c r="BQ34" s="935"/>
      <c r="BR34" s="935"/>
      <c r="BS34" s="935"/>
      <c r="BT34" s="935"/>
    </row>
    <row r="35" spans="1:72" x14ac:dyDescent="0.25">
      <c r="A35" s="940" t="s">
        <v>312</v>
      </c>
      <c r="B35" s="941">
        <f t="shared" si="0"/>
        <v>1.0046194107582356</v>
      </c>
      <c r="C35" s="941">
        <f t="shared" si="1"/>
        <v>1.003094645903579</v>
      </c>
      <c r="D35" s="941">
        <f t="shared" si="2"/>
        <v>0.99710816742279029</v>
      </c>
      <c r="E35" s="1629"/>
      <c r="F35" s="1629"/>
      <c r="G35" s="1629"/>
      <c r="H35" s="1629"/>
      <c r="I35" s="1629"/>
      <c r="J35" s="944">
        <v>1996</v>
      </c>
      <c r="K35" s="945">
        <v>93.9</v>
      </c>
      <c r="L35" s="935"/>
      <c r="M35" s="935"/>
      <c r="N35" s="935"/>
      <c r="O35" s="935"/>
      <c r="P35" s="935"/>
      <c r="Q35" s="935"/>
      <c r="R35" s="935"/>
      <c r="S35" s="935"/>
      <c r="T35" s="935"/>
      <c r="U35" s="935"/>
      <c r="V35" s="935"/>
      <c r="W35" s="935"/>
      <c r="X35" s="935"/>
      <c r="Y35" s="935"/>
      <c r="Z35" s="935"/>
      <c r="AA35" s="935"/>
      <c r="AB35" s="935"/>
      <c r="AC35" s="935"/>
      <c r="AD35" s="935"/>
      <c r="AE35" s="935"/>
      <c r="AF35" s="935"/>
      <c r="AG35" s="935"/>
      <c r="AH35" s="935"/>
      <c r="AI35" s="935"/>
      <c r="AJ35" s="935"/>
      <c r="AK35" s="935"/>
      <c r="AL35" s="935"/>
      <c r="AM35" s="935"/>
      <c r="AN35" s="935"/>
      <c r="AO35" s="935"/>
      <c r="AP35" s="935"/>
      <c r="AQ35" s="935"/>
      <c r="AR35" s="935"/>
      <c r="AS35" s="935"/>
      <c r="AT35" s="935"/>
      <c r="AU35" s="935"/>
      <c r="AV35" s="935"/>
      <c r="AW35" s="935"/>
      <c r="AX35" s="935"/>
      <c r="AY35" s="935"/>
      <c r="AZ35" s="935"/>
      <c r="BA35" s="935"/>
      <c r="BB35" s="935"/>
      <c r="BC35" s="935"/>
      <c r="BD35" s="935"/>
      <c r="BE35" s="935"/>
      <c r="BF35" s="935"/>
      <c r="BG35" s="935"/>
      <c r="BH35" s="935"/>
      <c r="BI35" s="935"/>
      <c r="BJ35" s="935"/>
      <c r="BK35" s="935"/>
      <c r="BL35" s="935"/>
      <c r="BM35" s="935"/>
      <c r="BN35" s="935"/>
      <c r="BO35" s="935"/>
      <c r="BP35" s="935"/>
      <c r="BQ35" s="935"/>
      <c r="BR35" s="935"/>
      <c r="BS35" s="935"/>
      <c r="BT35" s="935"/>
    </row>
    <row r="36" spans="1:72" x14ac:dyDescent="0.25">
      <c r="A36" s="1631"/>
      <c r="B36" s="1632"/>
      <c r="C36" s="1632"/>
      <c r="D36" s="1632"/>
      <c r="E36" s="1629"/>
      <c r="F36" s="1629"/>
      <c r="G36" s="1629"/>
      <c r="H36" s="1629"/>
      <c r="I36" s="1629"/>
      <c r="J36" s="942">
        <v>1997</v>
      </c>
      <c r="K36" s="943">
        <v>95.4</v>
      </c>
      <c r="L36" s="935"/>
      <c r="M36" s="935"/>
      <c r="N36" s="935"/>
      <c r="O36" s="935"/>
      <c r="P36" s="935"/>
      <c r="Q36" s="935"/>
      <c r="R36" s="935"/>
      <c r="S36" s="935"/>
      <c r="T36" s="935"/>
      <c r="U36" s="935"/>
      <c r="V36" s="935"/>
      <c r="W36" s="935"/>
      <c r="X36" s="935"/>
      <c r="Y36" s="935"/>
      <c r="Z36" s="935"/>
      <c r="AA36" s="935"/>
      <c r="AB36" s="935"/>
      <c r="AC36" s="935"/>
      <c r="AD36" s="935"/>
      <c r="AE36" s="935"/>
      <c r="AF36" s="935"/>
      <c r="AG36" s="935"/>
      <c r="AH36" s="935"/>
      <c r="AI36" s="935"/>
      <c r="AJ36" s="935"/>
      <c r="AK36" s="935"/>
      <c r="AL36" s="935"/>
      <c r="AM36" s="935"/>
      <c r="AN36" s="935"/>
      <c r="AO36" s="935"/>
      <c r="AP36" s="935"/>
      <c r="AQ36" s="935"/>
      <c r="AR36" s="935"/>
      <c r="AS36" s="935"/>
      <c r="AT36" s="935"/>
      <c r="AU36" s="935"/>
      <c r="AV36" s="935"/>
      <c r="AW36" s="935"/>
      <c r="AX36" s="935"/>
      <c r="AY36" s="935"/>
      <c r="AZ36" s="935"/>
      <c r="BA36" s="935"/>
      <c r="BB36" s="935"/>
      <c r="BC36" s="935"/>
      <c r="BD36" s="935"/>
      <c r="BE36" s="935"/>
      <c r="BF36" s="935"/>
      <c r="BG36" s="935"/>
      <c r="BH36" s="935"/>
      <c r="BI36" s="935"/>
      <c r="BJ36" s="935"/>
      <c r="BK36" s="935"/>
      <c r="BL36" s="935"/>
      <c r="BM36" s="935"/>
      <c r="BN36" s="935"/>
      <c r="BO36" s="935"/>
      <c r="BP36" s="935"/>
      <c r="BQ36" s="935"/>
      <c r="BR36" s="935"/>
      <c r="BS36" s="935"/>
      <c r="BT36" s="935"/>
    </row>
    <row r="37" spans="1:72" x14ac:dyDescent="0.25">
      <c r="A37" s="1631"/>
      <c r="B37" s="1632"/>
      <c r="C37" s="1632"/>
      <c r="D37" s="1632"/>
      <c r="E37" s="1629"/>
      <c r="F37" s="1629"/>
      <c r="G37" s="1629"/>
      <c r="H37" s="1629"/>
      <c r="I37" s="1629"/>
      <c r="J37" s="944">
        <v>1998</v>
      </c>
      <c r="K37" s="945">
        <v>96.5</v>
      </c>
      <c r="L37" s="935"/>
      <c r="M37" s="935"/>
      <c r="N37" s="935"/>
      <c r="O37" s="935"/>
      <c r="P37" s="935"/>
      <c r="Q37" s="935"/>
      <c r="R37" s="935"/>
      <c r="S37" s="935"/>
      <c r="T37" s="935"/>
      <c r="U37" s="935"/>
      <c r="V37" s="935"/>
      <c r="W37" s="935"/>
      <c r="X37" s="935"/>
      <c r="Y37" s="935"/>
      <c r="Z37" s="935"/>
      <c r="AA37" s="935"/>
      <c r="AB37" s="935"/>
      <c r="AC37" s="935"/>
      <c r="AD37" s="935"/>
      <c r="AE37" s="935"/>
      <c r="AF37" s="935"/>
      <c r="AG37" s="935"/>
      <c r="AH37" s="935"/>
      <c r="AI37" s="935"/>
      <c r="AJ37" s="935"/>
      <c r="AK37" s="935"/>
      <c r="AL37" s="935"/>
      <c r="AM37" s="935"/>
      <c r="AN37" s="935"/>
      <c r="AO37" s="935"/>
      <c r="AP37" s="935"/>
      <c r="AQ37" s="935"/>
      <c r="AR37" s="935"/>
      <c r="AS37" s="935"/>
      <c r="AT37" s="935"/>
      <c r="AU37" s="935"/>
      <c r="AV37" s="935"/>
      <c r="AW37" s="935"/>
      <c r="AX37" s="935"/>
      <c r="AY37" s="935"/>
      <c r="AZ37" s="935"/>
      <c r="BA37" s="935"/>
      <c r="BB37" s="935"/>
      <c r="BC37" s="935"/>
      <c r="BD37" s="935"/>
      <c r="BE37" s="935"/>
      <c r="BF37" s="935"/>
      <c r="BG37" s="935"/>
      <c r="BH37" s="935"/>
      <c r="BI37" s="935"/>
      <c r="BJ37" s="935"/>
      <c r="BK37" s="935"/>
      <c r="BL37" s="935"/>
      <c r="BM37" s="935"/>
      <c r="BN37" s="935"/>
      <c r="BO37" s="935"/>
      <c r="BP37" s="935"/>
      <c r="BQ37" s="935"/>
      <c r="BR37" s="935"/>
      <c r="BS37" s="935"/>
      <c r="BT37" s="935"/>
    </row>
    <row r="38" spans="1:72" ht="13" x14ac:dyDescent="0.3">
      <c r="A38" s="1636" t="s">
        <v>577</v>
      </c>
      <c r="B38" s="1637"/>
      <c r="C38" s="946" t="s">
        <v>578</v>
      </c>
      <c r="D38" s="946" t="s">
        <v>578</v>
      </c>
      <c r="E38" s="1637" t="s">
        <v>1115</v>
      </c>
      <c r="F38" s="1637"/>
      <c r="G38" s="1637"/>
      <c r="H38" s="1637"/>
      <c r="I38" s="1637"/>
      <c r="J38" s="942">
        <v>1999</v>
      </c>
      <c r="K38" s="943">
        <v>97.9</v>
      </c>
      <c r="L38" s="935"/>
      <c r="M38" s="935"/>
      <c r="N38" s="935"/>
      <c r="O38" s="935"/>
      <c r="P38" s="935"/>
      <c r="Q38" s="935"/>
      <c r="R38" s="935"/>
      <c r="S38" s="935"/>
      <c r="T38" s="935"/>
      <c r="U38" s="935"/>
      <c r="V38" s="935"/>
      <c r="W38" s="935"/>
      <c r="X38" s="935"/>
      <c r="Y38" s="935"/>
      <c r="Z38" s="935"/>
      <c r="AA38" s="935"/>
      <c r="AB38" s="935"/>
      <c r="AC38" s="935"/>
      <c r="AD38" s="935"/>
      <c r="AE38" s="935"/>
      <c r="AF38" s="935"/>
      <c r="AG38" s="935"/>
      <c r="AH38" s="935"/>
      <c r="AI38" s="935"/>
      <c r="AJ38" s="935"/>
      <c r="AK38" s="935"/>
      <c r="AL38" s="935"/>
      <c r="AM38" s="935"/>
      <c r="AN38" s="935"/>
      <c r="AO38" s="935"/>
      <c r="AP38" s="935"/>
      <c r="AQ38" s="935"/>
      <c r="AR38" s="935"/>
      <c r="AS38" s="935"/>
      <c r="AT38" s="935"/>
      <c r="AU38" s="935"/>
      <c r="AV38" s="935"/>
      <c r="AW38" s="935"/>
      <c r="AX38" s="935"/>
      <c r="AY38" s="935"/>
      <c r="AZ38" s="935"/>
      <c r="BA38" s="935"/>
      <c r="BB38" s="935"/>
      <c r="BC38" s="935"/>
      <c r="BD38" s="935"/>
      <c r="BE38" s="935"/>
      <c r="BF38" s="935"/>
      <c r="BG38" s="935"/>
      <c r="BH38" s="935"/>
      <c r="BI38" s="935"/>
      <c r="BJ38" s="935"/>
      <c r="BK38" s="935"/>
      <c r="BL38" s="935"/>
      <c r="BM38" s="935"/>
      <c r="BN38" s="935"/>
      <c r="BO38" s="935"/>
      <c r="BP38" s="935"/>
      <c r="BQ38" s="935"/>
      <c r="BR38" s="935"/>
      <c r="BS38" s="935"/>
      <c r="BT38" s="935"/>
    </row>
    <row r="39" spans="1:72" ht="13" x14ac:dyDescent="0.3">
      <c r="A39" s="940"/>
      <c r="B39" s="889" t="s">
        <v>1049</v>
      </c>
      <c r="C39" s="944">
        <v>2000</v>
      </c>
      <c r="D39" s="944">
        <v>2005</v>
      </c>
      <c r="E39" s="944">
        <v>2020</v>
      </c>
      <c r="F39" s="944">
        <v>2035</v>
      </c>
      <c r="G39" s="944">
        <v>2050</v>
      </c>
      <c r="H39" s="944">
        <v>2065</v>
      </c>
      <c r="I39" s="944">
        <v>2070</v>
      </c>
      <c r="J39" s="944">
        <v>2000</v>
      </c>
      <c r="K39" s="945">
        <v>100</v>
      </c>
      <c r="L39" s="935"/>
      <c r="M39" s="935"/>
      <c r="N39" s="935"/>
      <c r="O39" s="935"/>
      <c r="P39" s="935"/>
      <c r="Q39" s="935"/>
      <c r="R39" s="935"/>
      <c r="S39" s="935"/>
      <c r="T39" s="935"/>
      <c r="U39" s="935"/>
      <c r="V39" s="935"/>
      <c r="W39" s="935"/>
      <c r="X39" s="935"/>
      <c r="Y39" s="935"/>
      <c r="Z39" s="935"/>
      <c r="AA39" s="935"/>
      <c r="AB39" s="935"/>
      <c r="AC39" s="935"/>
      <c r="AD39" s="935"/>
      <c r="AE39" s="935"/>
      <c r="AF39" s="935"/>
      <c r="AG39" s="935"/>
      <c r="AH39" s="935"/>
      <c r="AI39" s="935"/>
      <c r="AJ39" s="935"/>
      <c r="AK39" s="935"/>
      <c r="AL39" s="935"/>
      <c r="AM39" s="935"/>
      <c r="AN39" s="935"/>
      <c r="AO39" s="935"/>
      <c r="AP39" s="935"/>
      <c r="AQ39" s="935"/>
      <c r="AR39" s="935"/>
      <c r="AS39" s="935"/>
      <c r="AT39" s="935"/>
      <c r="AU39" s="935"/>
      <c r="AV39" s="935"/>
      <c r="AW39" s="935"/>
      <c r="AX39" s="935"/>
      <c r="AY39" s="935"/>
      <c r="AZ39" s="935"/>
      <c r="BA39" s="935"/>
      <c r="BB39" s="935"/>
      <c r="BC39" s="935"/>
      <c r="BD39" s="935"/>
      <c r="BE39" s="935"/>
      <c r="BF39" s="935"/>
      <c r="BG39" s="935"/>
      <c r="BH39" s="935"/>
      <c r="BI39" s="935"/>
      <c r="BJ39" s="935"/>
      <c r="BK39" s="935"/>
      <c r="BL39" s="935"/>
      <c r="BM39" s="935"/>
      <c r="BN39" s="935"/>
      <c r="BO39" s="935"/>
      <c r="BP39" s="935"/>
      <c r="BQ39" s="935"/>
      <c r="BR39" s="935"/>
      <c r="BS39" s="935"/>
      <c r="BT39" s="935"/>
    </row>
    <row r="40" spans="1:72" x14ac:dyDescent="0.25">
      <c r="A40" s="938" t="s">
        <v>569</v>
      </c>
      <c r="B40" s="947" t="s">
        <v>579</v>
      </c>
      <c r="C40" s="942">
        <v>25.276500000000002</v>
      </c>
      <c r="D40" s="942">
        <v>25.071000000000002</v>
      </c>
      <c r="E40" s="942">
        <v>49.911552427759986</v>
      </c>
      <c r="F40" s="942">
        <v>51.73380738099187</v>
      </c>
      <c r="G40" s="942">
        <v>54.228868079187265</v>
      </c>
      <c r="H40" s="942">
        <v>57.083559627090274</v>
      </c>
      <c r="I40" s="942">
        <v>57.998580810871225</v>
      </c>
      <c r="J40" s="942">
        <v>2001</v>
      </c>
      <c r="K40" s="943">
        <v>102.4</v>
      </c>
      <c r="L40" s="935"/>
      <c r="M40" s="935"/>
      <c r="N40" s="935"/>
      <c r="O40" s="935"/>
      <c r="P40" s="935"/>
      <c r="Q40" s="935"/>
      <c r="R40" s="935"/>
      <c r="S40" s="935"/>
      <c r="T40" s="935"/>
      <c r="U40" s="935"/>
      <c r="V40" s="935"/>
      <c r="W40" s="935"/>
      <c r="X40" s="935"/>
      <c r="Y40" s="935"/>
      <c r="Z40" s="935"/>
      <c r="AA40" s="935"/>
      <c r="AB40" s="935"/>
      <c r="AC40" s="935"/>
      <c r="AD40" s="935"/>
      <c r="AE40" s="935"/>
      <c r="AF40" s="935"/>
      <c r="AG40" s="935"/>
      <c r="AH40" s="935"/>
      <c r="AI40" s="935"/>
      <c r="AJ40" s="935"/>
      <c r="AK40" s="935"/>
      <c r="AL40" s="935"/>
      <c r="AM40" s="935"/>
      <c r="AN40" s="935"/>
      <c r="AO40" s="935"/>
      <c r="AP40" s="935"/>
      <c r="AQ40" s="935"/>
      <c r="AR40" s="935"/>
      <c r="AS40" s="935"/>
      <c r="AT40" s="935"/>
      <c r="AU40" s="935"/>
      <c r="AV40" s="935"/>
      <c r="AW40" s="935"/>
      <c r="AX40" s="935"/>
      <c r="AY40" s="935"/>
      <c r="AZ40" s="935"/>
      <c r="BA40" s="935"/>
      <c r="BB40" s="935"/>
      <c r="BC40" s="935"/>
      <c r="BD40" s="935"/>
      <c r="BE40" s="935"/>
      <c r="BF40" s="935"/>
      <c r="BG40" s="935"/>
      <c r="BH40" s="935"/>
      <c r="BI40" s="935"/>
      <c r="BJ40" s="935"/>
      <c r="BK40" s="935"/>
      <c r="BL40" s="935"/>
      <c r="BM40" s="935"/>
      <c r="BN40" s="935"/>
      <c r="BO40" s="935"/>
      <c r="BP40" s="935"/>
      <c r="BQ40" s="935"/>
      <c r="BR40" s="935"/>
      <c r="BS40" s="935"/>
      <c r="BT40" s="935"/>
    </row>
    <row r="41" spans="1:72" x14ac:dyDescent="0.25">
      <c r="A41" s="940" t="s">
        <v>570</v>
      </c>
      <c r="B41" s="948" t="s">
        <v>580</v>
      </c>
      <c r="C41" s="944">
        <v>3.83</v>
      </c>
      <c r="D41" s="944">
        <v>2.88</v>
      </c>
      <c r="E41" s="944">
        <v>3.4820792312666162</v>
      </c>
      <c r="F41" s="944">
        <v>3.718467288972283</v>
      </c>
      <c r="G41" s="944">
        <v>4.254403392012021</v>
      </c>
      <c r="H41" s="944">
        <v>4.8331418485312492</v>
      </c>
      <c r="I41" s="944">
        <v>5.0085938618348607</v>
      </c>
      <c r="J41" s="944">
        <v>2002</v>
      </c>
      <c r="K41" s="945">
        <v>104.1</v>
      </c>
      <c r="L41" s="935"/>
      <c r="M41" s="935"/>
      <c r="N41" s="935"/>
      <c r="O41" s="935"/>
      <c r="P41" s="935"/>
      <c r="Q41" s="935"/>
      <c r="R41" s="935"/>
      <c r="S41" s="935"/>
      <c r="T41" s="935"/>
      <c r="U41" s="935"/>
      <c r="V41" s="935"/>
      <c r="W41" s="935"/>
      <c r="X41" s="935"/>
      <c r="Y41" s="935"/>
      <c r="Z41" s="935"/>
      <c r="AA41" s="935"/>
      <c r="AB41" s="935"/>
      <c r="AC41" s="935"/>
      <c r="AD41" s="935"/>
      <c r="AE41" s="935"/>
      <c r="AF41" s="935"/>
      <c r="AG41" s="935"/>
      <c r="AH41" s="935"/>
      <c r="AI41" s="935"/>
      <c r="AJ41" s="935"/>
      <c r="AK41" s="935"/>
      <c r="AL41" s="935"/>
      <c r="AM41" s="935"/>
      <c r="AN41" s="935"/>
      <c r="AO41" s="935"/>
      <c r="AP41" s="935"/>
      <c r="AQ41" s="935"/>
      <c r="AR41" s="935"/>
      <c r="AS41" s="935"/>
      <c r="AT41" s="935"/>
      <c r="AU41" s="935"/>
      <c r="AV41" s="935"/>
      <c r="AW41" s="935"/>
      <c r="AX41" s="935"/>
      <c r="AY41" s="935"/>
      <c r="AZ41" s="935"/>
      <c r="BA41" s="935"/>
      <c r="BB41" s="935"/>
      <c r="BC41" s="935"/>
      <c r="BD41" s="935"/>
      <c r="BE41" s="935"/>
      <c r="BF41" s="935"/>
      <c r="BG41" s="935"/>
      <c r="BH41" s="935"/>
      <c r="BI41" s="935"/>
      <c r="BJ41" s="935"/>
      <c r="BK41" s="935"/>
      <c r="BL41" s="935"/>
      <c r="BM41" s="935"/>
      <c r="BN41" s="935"/>
      <c r="BO41" s="935"/>
      <c r="BP41" s="935"/>
      <c r="BQ41" s="935"/>
      <c r="BR41" s="935"/>
      <c r="BS41" s="935"/>
      <c r="BT41" s="935"/>
    </row>
    <row r="42" spans="1:72" x14ac:dyDescent="0.25">
      <c r="A42" s="938" t="s">
        <v>571</v>
      </c>
      <c r="B42" s="947" t="s">
        <v>580</v>
      </c>
      <c r="C42" s="942">
        <v>4.333333333333333</v>
      </c>
      <c r="D42" s="942">
        <v>3.2058823529411766</v>
      </c>
      <c r="E42" s="942">
        <v>5.3135477999345282</v>
      </c>
      <c r="F42" s="942">
        <v>5.6703709369749671</v>
      </c>
      <c r="G42" s="942">
        <v>6.3804589018936815</v>
      </c>
      <c r="H42" s="942">
        <v>7.1603102550975084</v>
      </c>
      <c r="I42" s="942">
        <v>7.3649472464330987</v>
      </c>
      <c r="J42" s="942">
        <v>2003</v>
      </c>
      <c r="K42" s="943">
        <v>106</v>
      </c>
      <c r="L42" s="935"/>
      <c r="M42" s="935"/>
      <c r="N42" s="935"/>
      <c r="O42" s="935"/>
      <c r="P42" s="935"/>
      <c r="Q42" s="935"/>
      <c r="R42" s="935"/>
      <c r="S42" s="935"/>
      <c r="T42" s="935"/>
      <c r="U42" s="935"/>
      <c r="V42" s="935"/>
      <c r="W42" s="935"/>
      <c r="X42" s="935"/>
      <c r="Y42" s="935"/>
      <c r="Z42" s="935"/>
      <c r="AA42" s="935"/>
      <c r="AB42" s="935"/>
      <c r="AC42" s="935"/>
      <c r="AD42" s="935"/>
      <c r="AE42" s="935"/>
      <c r="AF42" s="935"/>
      <c r="AG42" s="935"/>
      <c r="AH42" s="935"/>
      <c r="AI42" s="935"/>
      <c r="AJ42" s="935"/>
      <c r="AK42" s="935"/>
      <c r="AL42" s="935"/>
      <c r="AM42" s="935"/>
      <c r="AN42" s="935"/>
      <c r="AO42" s="935"/>
      <c r="AP42" s="935"/>
      <c r="AQ42" s="935"/>
      <c r="AR42" s="935"/>
      <c r="AS42" s="935"/>
      <c r="AT42" s="935"/>
      <c r="AU42" s="935"/>
      <c r="AV42" s="935"/>
      <c r="AW42" s="935"/>
      <c r="AX42" s="935"/>
      <c r="AY42" s="935"/>
      <c r="AZ42" s="935"/>
      <c r="BA42" s="935"/>
      <c r="BB42" s="935"/>
      <c r="BC42" s="935"/>
      <c r="BD42" s="935"/>
      <c r="BE42" s="935"/>
      <c r="BF42" s="935"/>
      <c r="BG42" s="935"/>
      <c r="BH42" s="935"/>
      <c r="BI42" s="935"/>
      <c r="BJ42" s="935"/>
      <c r="BK42" s="935"/>
      <c r="BL42" s="935"/>
      <c r="BM42" s="935"/>
      <c r="BN42" s="935"/>
      <c r="BO42" s="935"/>
      <c r="BP42" s="935"/>
      <c r="BQ42" s="935"/>
      <c r="BR42" s="935"/>
      <c r="BS42" s="935"/>
      <c r="BT42" s="935"/>
    </row>
    <row r="43" spans="1:72" ht="13" x14ac:dyDescent="0.3">
      <c r="A43" s="940" t="s">
        <v>572</v>
      </c>
      <c r="B43" s="948" t="s">
        <v>581</v>
      </c>
      <c r="C43" s="944">
        <v>28.35</v>
      </c>
      <c r="D43" s="944">
        <v>23.27</v>
      </c>
      <c r="E43" s="944">
        <v>38.166254666132858</v>
      </c>
      <c r="F43" s="944">
        <v>44.018296607182357</v>
      </c>
      <c r="G43" s="944">
        <v>47.046046898954408</v>
      </c>
      <c r="H43" s="944">
        <v>48.050792851691</v>
      </c>
      <c r="I43" s="944">
        <v>48.201553003292787</v>
      </c>
      <c r="J43" s="944">
        <v>2004</v>
      </c>
      <c r="K43" s="949">
        <v>108.3</v>
      </c>
      <c r="L43" s="935"/>
      <c r="M43" s="935"/>
      <c r="N43" s="935"/>
      <c r="O43" s="935"/>
      <c r="P43" s="935"/>
      <c r="Q43" s="935"/>
      <c r="R43" s="935"/>
      <c r="S43" s="935"/>
      <c r="T43" s="935"/>
      <c r="U43" s="935"/>
      <c r="V43" s="935"/>
      <c r="W43" s="935"/>
      <c r="X43" s="935"/>
      <c r="Y43" s="935"/>
      <c r="Z43" s="935"/>
      <c r="AA43" s="935"/>
      <c r="AB43" s="935"/>
      <c r="AC43" s="935"/>
      <c r="AD43" s="935"/>
      <c r="AE43" s="935"/>
      <c r="AF43" s="935"/>
      <c r="AG43" s="935"/>
      <c r="AH43" s="935"/>
      <c r="AI43" s="935"/>
      <c r="AJ43" s="935"/>
      <c r="AK43" s="935"/>
      <c r="AL43" s="935"/>
      <c r="AM43" s="935"/>
      <c r="AN43" s="935"/>
      <c r="AO43" s="935"/>
      <c r="AP43" s="935"/>
      <c r="AQ43" s="935"/>
      <c r="AR43" s="935"/>
      <c r="AS43" s="935"/>
      <c r="AT43" s="935"/>
      <c r="AU43" s="935"/>
      <c r="AV43" s="935"/>
      <c r="AW43" s="935"/>
      <c r="AX43" s="935"/>
      <c r="AY43" s="935"/>
      <c r="AZ43" s="935"/>
      <c r="BA43" s="935"/>
      <c r="BB43" s="935"/>
      <c r="BC43" s="935"/>
      <c r="BD43" s="935"/>
      <c r="BE43" s="935"/>
      <c r="BF43" s="935"/>
      <c r="BG43" s="935"/>
      <c r="BH43" s="935"/>
      <c r="BI43" s="935"/>
      <c r="BJ43" s="935"/>
      <c r="BK43" s="935"/>
      <c r="BL43" s="935"/>
      <c r="BM43" s="935"/>
      <c r="BN43" s="935"/>
      <c r="BO43" s="935"/>
      <c r="BP43" s="935"/>
      <c r="BQ43" s="935"/>
      <c r="BR43" s="935"/>
      <c r="BS43" s="935"/>
      <c r="BT43" s="935"/>
    </row>
    <row r="44" spans="1:72" ht="13" x14ac:dyDescent="0.3">
      <c r="A44" s="938" t="s">
        <v>573</v>
      </c>
      <c r="B44" s="947" t="s">
        <v>582</v>
      </c>
      <c r="C44" s="942">
        <v>1.5176666666666667</v>
      </c>
      <c r="D44" s="942">
        <v>1.2925714285714285</v>
      </c>
      <c r="E44" s="942">
        <v>1.9428327208531595</v>
      </c>
      <c r="F44" s="942">
        <v>2.1262391061548653</v>
      </c>
      <c r="G44" s="942">
        <v>2.2056865867102777</v>
      </c>
      <c r="H44" s="942">
        <v>2.2243217316177319</v>
      </c>
      <c r="I44" s="942">
        <v>2.2266990166381286</v>
      </c>
      <c r="J44" s="942">
        <v>2005</v>
      </c>
      <c r="K44" s="950">
        <v>110.5</v>
      </c>
      <c r="L44" s="935"/>
      <c r="M44" s="935"/>
      <c r="N44" s="935"/>
      <c r="O44" s="935"/>
      <c r="P44" s="935"/>
      <c r="Q44" s="935"/>
      <c r="R44" s="935"/>
      <c r="S44" s="935"/>
      <c r="T44" s="935"/>
      <c r="U44" s="935"/>
      <c r="V44" s="935"/>
      <c r="W44" s="935"/>
      <c r="X44" s="935"/>
      <c r="Y44" s="935"/>
      <c r="Z44" s="935"/>
      <c r="AA44" s="935"/>
      <c r="AB44" s="935"/>
      <c r="AC44" s="935"/>
      <c r="AD44" s="935"/>
      <c r="AE44" s="935"/>
      <c r="AF44" s="935"/>
      <c r="AG44" s="935"/>
      <c r="AH44" s="935"/>
      <c r="AI44" s="935"/>
      <c r="AJ44" s="935"/>
      <c r="AK44" s="935"/>
      <c r="AL44" s="935"/>
      <c r="AM44" s="935"/>
      <c r="AN44" s="935"/>
      <c r="AO44" s="935"/>
      <c r="AP44" s="935"/>
      <c r="AQ44" s="935"/>
      <c r="AR44" s="935"/>
      <c r="AS44" s="935"/>
      <c r="AT44" s="935"/>
      <c r="AU44" s="935"/>
      <c r="AV44" s="935"/>
      <c r="AW44" s="935"/>
      <c r="AX44" s="935"/>
      <c r="AY44" s="935"/>
      <c r="AZ44" s="935"/>
      <c r="BA44" s="935"/>
      <c r="BB44" s="935"/>
      <c r="BC44" s="935"/>
      <c r="BD44" s="935"/>
      <c r="BE44" s="935"/>
      <c r="BF44" s="935"/>
      <c r="BG44" s="935"/>
      <c r="BH44" s="935"/>
      <c r="BI44" s="935"/>
      <c r="BJ44" s="935"/>
      <c r="BK44" s="935"/>
      <c r="BL44" s="935"/>
      <c r="BM44" s="935"/>
      <c r="BN44" s="935"/>
      <c r="BO44" s="935"/>
      <c r="BP44" s="935"/>
      <c r="BQ44" s="935"/>
      <c r="BR44" s="935"/>
      <c r="BS44" s="935"/>
      <c r="BT44" s="935"/>
    </row>
    <row r="45" spans="1:72" x14ac:dyDescent="0.25">
      <c r="A45" s="940" t="s">
        <v>574</v>
      </c>
      <c r="B45" s="948" t="s">
        <v>583</v>
      </c>
      <c r="C45" s="944">
        <v>6.9</v>
      </c>
      <c r="D45" s="944">
        <v>6.4</v>
      </c>
      <c r="E45" s="944">
        <v>7.2674708046079139</v>
      </c>
      <c r="F45" s="944">
        <v>7.0885496188632935</v>
      </c>
      <c r="G45" s="944">
        <v>6.9118429447797478</v>
      </c>
      <c r="H45" s="944">
        <v>6.9722480090117775</v>
      </c>
      <c r="I45" s="944">
        <v>6.9487741854044058</v>
      </c>
      <c r="J45" s="1638" t="s">
        <v>761</v>
      </c>
      <c r="K45" s="1639"/>
      <c r="L45" s="935"/>
      <c r="M45" s="935"/>
      <c r="N45" s="935"/>
      <c r="O45" s="935"/>
      <c r="P45" s="935"/>
      <c r="Q45" s="935"/>
      <c r="R45" s="935"/>
      <c r="S45" s="935"/>
      <c r="T45" s="935"/>
      <c r="U45" s="935"/>
      <c r="V45" s="935"/>
      <c r="W45" s="935"/>
      <c r="X45" s="935"/>
      <c r="Y45" s="935"/>
      <c r="Z45" s="935"/>
      <c r="AA45" s="935"/>
      <c r="AB45" s="935"/>
      <c r="AC45" s="935"/>
      <c r="AD45" s="935"/>
      <c r="AE45" s="935"/>
      <c r="AF45" s="935"/>
      <c r="AG45" s="935"/>
      <c r="AH45" s="935"/>
      <c r="AI45" s="935"/>
      <c r="AJ45" s="935"/>
      <c r="AK45" s="935"/>
      <c r="AL45" s="935"/>
      <c r="AM45" s="935"/>
      <c r="AN45" s="935"/>
      <c r="AO45" s="935"/>
      <c r="AP45" s="935"/>
      <c r="AQ45" s="935"/>
      <c r="AR45" s="935"/>
      <c r="AS45" s="935"/>
      <c r="AT45" s="935"/>
      <c r="AU45" s="935"/>
      <c r="AV45" s="935"/>
      <c r="AW45" s="935"/>
      <c r="AX45" s="935"/>
      <c r="AY45" s="935"/>
      <c r="AZ45" s="935"/>
      <c r="BA45" s="935"/>
      <c r="BB45" s="935"/>
      <c r="BC45" s="935"/>
      <c r="BD45" s="935"/>
      <c r="BE45" s="935"/>
      <c r="BF45" s="935"/>
      <c r="BG45" s="935"/>
      <c r="BH45" s="935"/>
      <c r="BI45" s="935"/>
      <c r="BJ45" s="935"/>
      <c r="BK45" s="935"/>
      <c r="BL45" s="935"/>
      <c r="BM45" s="935"/>
      <c r="BN45" s="935"/>
      <c r="BO45" s="935"/>
      <c r="BP45" s="935"/>
      <c r="BQ45" s="935"/>
      <c r="BR45" s="935"/>
      <c r="BS45" s="935"/>
      <c r="BT45" s="935"/>
    </row>
    <row r="46" spans="1:72" x14ac:dyDescent="0.25">
      <c r="A46" s="938" t="s">
        <v>575</v>
      </c>
      <c r="B46" s="947" t="s">
        <v>584</v>
      </c>
      <c r="C46" s="942"/>
      <c r="D46" s="942"/>
      <c r="E46" s="942">
        <v>3.9267286033597717</v>
      </c>
      <c r="F46" s="942">
        <v>3.4025762910602637</v>
      </c>
      <c r="G46" s="942">
        <v>3.7218644965506216</v>
      </c>
      <c r="H46" s="942">
        <v>4.0392206503019663</v>
      </c>
      <c r="I46" s="942">
        <v>4.0968490901035652</v>
      </c>
      <c r="J46" s="1638"/>
      <c r="K46" s="1639"/>
      <c r="L46" s="935"/>
      <c r="M46" s="935"/>
      <c r="N46" s="935"/>
      <c r="O46" s="935"/>
      <c r="P46" s="935"/>
      <c r="Q46" s="935"/>
      <c r="R46" s="935"/>
      <c r="S46" s="935"/>
      <c r="T46" s="935"/>
      <c r="U46" s="935"/>
      <c r="V46" s="935"/>
      <c r="W46" s="935"/>
      <c r="X46" s="935"/>
      <c r="Y46" s="935"/>
      <c r="Z46" s="935"/>
      <c r="AA46" s="935"/>
      <c r="AB46" s="935"/>
      <c r="AC46" s="935"/>
      <c r="AD46" s="935"/>
      <c r="AE46" s="935"/>
      <c r="AF46" s="935"/>
      <c r="AG46" s="935"/>
      <c r="AH46" s="935"/>
      <c r="AI46" s="935"/>
      <c r="AJ46" s="935"/>
      <c r="AK46" s="935"/>
      <c r="AL46" s="935"/>
      <c r="AM46" s="935"/>
      <c r="AN46" s="935"/>
      <c r="AO46" s="935"/>
      <c r="AP46" s="935"/>
      <c r="AQ46" s="935"/>
      <c r="AR46" s="935"/>
      <c r="AS46" s="935"/>
      <c r="AT46" s="935"/>
      <c r="AU46" s="935"/>
      <c r="AV46" s="935"/>
      <c r="AW46" s="935"/>
      <c r="AX46" s="935"/>
      <c r="AY46" s="935"/>
      <c r="AZ46" s="935"/>
      <c r="BA46" s="935"/>
      <c r="BB46" s="935"/>
      <c r="BC46" s="935"/>
      <c r="BD46" s="935"/>
      <c r="BE46" s="935"/>
      <c r="BF46" s="935"/>
      <c r="BG46" s="935"/>
      <c r="BH46" s="935"/>
      <c r="BI46" s="935"/>
      <c r="BJ46" s="935"/>
      <c r="BK46" s="935"/>
      <c r="BL46" s="935"/>
      <c r="BM46" s="935"/>
      <c r="BN46" s="935"/>
      <c r="BO46" s="935"/>
      <c r="BP46" s="935"/>
      <c r="BQ46" s="935"/>
      <c r="BR46" s="935"/>
      <c r="BS46" s="935"/>
      <c r="BT46" s="935"/>
    </row>
    <row r="47" spans="1:72" x14ac:dyDescent="0.25">
      <c r="A47" s="940" t="s">
        <v>312</v>
      </c>
      <c r="B47" s="948" t="s">
        <v>584</v>
      </c>
      <c r="C47" s="944"/>
      <c r="D47" s="944"/>
      <c r="E47" s="944">
        <v>24.686324737923844</v>
      </c>
      <c r="F47" s="944">
        <v>23.090083577893328</v>
      </c>
      <c r="G47" s="944">
        <v>23.196746158381607</v>
      </c>
      <c r="H47" s="944">
        <v>23.268531873857007</v>
      </c>
      <c r="I47" s="944">
        <v>23.201243175360347</v>
      </c>
      <c r="J47" s="1638"/>
      <c r="K47" s="1639"/>
      <c r="L47" s="935"/>
      <c r="M47" s="935"/>
      <c r="N47" s="935"/>
      <c r="O47" s="935"/>
      <c r="P47" s="935"/>
      <c r="Q47" s="935"/>
      <c r="R47" s="935"/>
      <c r="S47" s="935"/>
      <c r="T47" s="935"/>
      <c r="U47" s="935"/>
      <c r="V47" s="935"/>
      <c r="W47" s="935"/>
      <c r="X47" s="935"/>
      <c r="Y47" s="935"/>
      <c r="Z47" s="935"/>
      <c r="AA47" s="935"/>
      <c r="AB47" s="935"/>
      <c r="AC47" s="935"/>
      <c r="AD47" s="935"/>
      <c r="AE47" s="935"/>
      <c r="AF47" s="935"/>
      <c r="AG47" s="935"/>
      <c r="AH47" s="935"/>
      <c r="AI47" s="935"/>
      <c r="AJ47" s="935"/>
      <c r="AK47" s="935"/>
      <c r="AL47" s="935"/>
      <c r="AM47" s="935"/>
      <c r="AN47" s="935"/>
      <c r="AO47" s="935"/>
      <c r="AP47" s="935"/>
      <c r="AQ47" s="935"/>
      <c r="AR47" s="935"/>
      <c r="AS47" s="935"/>
      <c r="AT47" s="935"/>
      <c r="AU47" s="935"/>
      <c r="AV47" s="935"/>
      <c r="AW47" s="935"/>
      <c r="AX47" s="935"/>
      <c r="AY47" s="935"/>
      <c r="AZ47" s="935"/>
      <c r="BA47" s="935"/>
      <c r="BB47" s="935"/>
      <c r="BC47" s="935"/>
      <c r="BD47" s="935"/>
      <c r="BE47" s="935"/>
      <c r="BF47" s="935"/>
      <c r="BG47" s="935"/>
      <c r="BH47" s="935"/>
      <c r="BI47" s="935"/>
      <c r="BJ47" s="935"/>
      <c r="BK47" s="935"/>
      <c r="BL47" s="935"/>
      <c r="BM47" s="935"/>
      <c r="BN47" s="935"/>
      <c r="BO47" s="935"/>
      <c r="BP47" s="935"/>
      <c r="BQ47" s="935"/>
      <c r="BR47" s="935"/>
      <c r="BS47" s="935"/>
      <c r="BT47" s="935"/>
    </row>
    <row r="48" spans="1:72" ht="37.5" x14ac:dyDescent="0.25">
      <c r="A48" s="956" t="s">
        <v>770</v>
      </c>
      <c r="B48" s="947" t="s">
        <v>579</v>
      </c>
      <c r="C48" s="942"/>
      <c r="D48" s="942"/>
      <c r="E48" s="942">
        <v>10</v>
      </c>
      <c r="F48" s="942">
        <v>10</v>
      </c>
      <c r="G48" s="942">
        <v>10</v>
      </c>
      <c r="H48" s="942">
        <v>10</v>
      </c>
      <c r="I48" s="942"/>
      <c r="J48" s="1638"/>
      <c r="K48" s="1639"/>
      <c r="L48" s="935"/>
      <c r="M48" s="935"/>
      <c r="N48" s="935"/>
      <c r="O48" s="935"/>
      <c r="P48" s="935"/>
      <c r="Q48" s="935"/>
      <c r="R48" s="935"/>
      <c r="S48" s="935"/>
      <c r="T48" s="935"/>
      <c r="U48" s="935"/>
      <c r="V48" s="935"/>
      <c r="W48" s="935"/>
      <c r="X48" s="935"/>
      <c r="Y48" s="935"/>
      <c r="Z48" s="935"/>
      <c r="AA48" s="935"/>
      <c r="AB48" s="935"/>
      <c r="AC48" s="935"/>
      <c r="AD48" s="935"/>
      <c r="AE48" s="935"/>
      <c r="AF48" s="935"/>
      <c r="AG48" s="935"/>
      <c r="AH48" s="935"/>
      <c r="AI48" s="935"/>
      <c r="AJ48" s="935"/>
      <c r="AK48" s="935"/>
      <c r="AL48" s="935"/>
      <c r="AM48" s="935"/>
      <c r="AN48" s="935"/>
      <c r="AO48" s="935"/>
      <c r="AP48" s="935"/>
      <c r="AQ48" s="935"/>
      <c r="AR48" s="935"/>
      <c r="AS48" s="935"/>
      <c r="AT48" s="935"/>
      <c r="AU48" s="935"/>
      <c r="AV48" s="935"/>
      <c r="AW48" s="935"/>
      <c r="AX48" s="935"/>
      <c r="AY48" s="935"/>
      <c r="AZ48" s="935"/>
      <c r="BA48" s="935"/>
      <c r="BB48" s="935"/>
      <c r="BC48" s="935"/>
      <c r="BD48" s="935"/>
      <c r="BE48" s="935"/>
      <c r="BF48" s="935"/>
      <c r="BG48" s="935"/>
      <c r="BH48" s="935"/>
      <c r="BI48" s="935"/>
      <c r="BJ48" s="935"/>
      <c r="BK48" s="935"/>
      <c r="BL48" s="935"/>
      <c r="BM48" s="935"/>
      <c r="BN48" s="935"/>
      <c r="BO48" s="935"/>
      <c r="BP48" s="935"/>
      <c r="BQ48" s="935"/>
      <c r="BR48" s="935"/>
      <c r="BS48" s="935"/>
      <c r="BT48" s="935"/>
    </row>
    <row r="49" spans="1:72" x14ac:dyDescent="0.25">
      <c r="B49" s="955" t="s">
        <v>769</v>
      </c>
      <c r="C49" s="953"/>
      <c r="D49" s="953"/>
      <c r="E49" s="953">
        <f>E48*$B$61</f>
        <v>0.65713983050847458</v>
      </c>
      <c r="F49" s="953">
        <f>F48*$B$61</f>
        <v>0.65713983050847458</v>
      </c>
      <c r="G49" s="953">
        <f>G48*$B$61</f>
        <v>0.65713983050847458</v>
      </c>
      <c r="H49" s="953">
        <f>H48*$B$61</f>
        <v>0.65713983050847458</v>
      </c>
      <c r="I49" s="953"/>
      <c r="J49" s="953"/>
      <c r="K49" s="954"/>
      <c r="L49" s="935"/>
      <c r="M49" s="935"/>
      <c r="N49" s="935"/>
      <c r="O49" s="935"/>
      <c r="P49" s="935"/>
      <c r="Q49" s="935"/>
      <c r="R49" s="935"/>
      <c r="S49" s="935"/>
      <c r="T49" s="935"/>
      <c r="U49" s="935"/>
      <c r="V49" s="935"/>
      <c r="W49" s="935"/>
      <c r="X49" s="935"/>
      <c r="Y49" s="935"/>
      <c r="Z49" s="935"/>
      <c r="AA49" s="935"/>
      <c r="AB49" s="935"/>
      <c r="AC49" s="935"/>
      <c r="AD49" s="935"/>
      <c r="AE49" s="935"/>
      <c r="AF49" s="935"/>
      <c r="AG49" s="935"/>
      <c r="AH49" s="935"/>
      <c r="AI49" s="935"/>
      <c r="AJ49" s="935"/>
      <c r="AK49" s="935"/>
      <c r="AL49" s="935"/>
      <c r="AM49" s="935"/>
      <c r="AN49" s="935"/>
      <c r="AO49" s="935"/>
      <c r="AP49" s="935"/>
      <c r="AQ49" s="935"/>
      <c r="AR49" s="935"/>
      <c r="AS49" s="935"/>
      <c r="AT49" s="935"/>
      <c r="AU49" s="935"/>
      <c r="AV49" s="935"/>
      <c r="AW49" s="935"/>
      <c r="AX49" s="935"/>
      <c r="AY49" s="935"/>
      <c r="AZ49" s="935"/>
      <c r="BA49" s="935"/>
      <c r="BB49" s="935"/>
      <c r="BC49" s="935"/>
      <c r="BD49" s="935"/>
      <c r="BE49" s="935"/>
      <c r="BF49" s="935"/>
      <c r="BG49" s="935"/>
      <c r="BH49" s="935"/>
      <c r="BI49" s="935"/>
      <c r="BJ49" s="935"/>
      <c r="BK49" s="935"/>
      <c r="BL49" s="935"/>
      <c r="BM49" s="935"/>
      <c r="BN49" s="935"/>
      <c r="BO49" s="935"/>
      <c r="BP49" s="935"/>
      <c r="BQ49" s="935"/>
      <c r="BR49" s="935"/>
      <c r="BS49" s="935"/>
      <c r="BT49" s="935"/>
    </row>
    <row r="50" spans="1:72" x14ac:dyDescent="0.25">
      <c r="A50" s="956" t="s">
        <v>771</v>
      </c>
      <c r="B50" s="957" t="s">
        <v>584</v>
      </c>
      <c r="C50" s="942"/>
      <c r="D50" s="942"/>
      <c r="E50" s="942">
        <f>E49+E46</f>
        <v>4.5838684338682461</v>
      </c>
      <c r="F50" s="942">
        <f>F49+F46</f>
        <v>4.0597161215687381</v>
      </c>
      <c r="G50" s="942">
        <f>G49+G46</f>
        <v>4.3790043270590964</v>
      </c>
      <c r="H50" s="942">
        <f>H49+H46</f>
        <v>4.6963604808104407</v>
      </c>
      <c r="I50" s="942"/>
      <c r="J50" s="953"/>
      <c r="K50" s="954"/>
      <c r="L50" s="935"/>
      <c r="M50" s="935"/>
      <c r="N50" s="935"/>
      <c r="O50" s="935"/>
      <c r="P50" s="935"/>
      <c r="Q50" s="935"/>
      <c r="R50" s="935"/>
      <c r="S50" s="935"/>
      <c r="T50" s="935"/>
      <c r="U50" s="935"/>
      <c r="V50" s="935"/>
      <c r="W50" s="935"/>
      <c r="X50" s="935"/>
      <c r="Y50" s="935"/>
      <c r="Z50" s="935"/>
      <c r="AA50" s="935"/>
      <c r="AB50" s="935"/>
      <c r="AC50" s="935"/>
      <c r="AD50" s="935"/>
      <c r="AE50" s="935"/>
      <c r="AF50" s="935"/>
      <c r="AG50" s="935"/>
      <c r="AH50" s="935"/>
      <c r="AI50" s="935"/>
      <c r="AJ50" s="935"/>
      <c r="AK50" s="935"/>
      <c r="AL50" s="935"/>
      <c r="AM50" s="935"/>
      <c r="AN50" s="935"/>
      <c r="AO50" s="935"/>
      <c r="AP50" s="935"/>
      <c r="AQ50" s="935"/>
      <c r="AR50" s="935"/>
      <c r="AS50" s="935"/>
      <c r="AT50" s="935"/>
      <c r="AU50" s="935"/>
      <c r="AV50" s="935"/>
      <c r="AW50" s="935"/>
      <c r="AX50" s="935"/>
      <c r="AY50" s="935"/>
      <c r="AZ50" s="935"/>
      <c r="BA50" s="935"/>
      <c r="BB50" s="935"/>
      <c r="BC50" s="935"/>
      <c r="BD50" s="935"/>
      <c r="BE50" s="935"/>
      <c r="BF50" s="935"/>
      <c r="BG50" s="935"/>
      <c r="BH50" s="935"/>
      <c r="BI50" s="935"/>
      <c r="BJ50" s="935"/>
      <c r="BK50" s="935"/>
      <c r="BL50" s="935"/>
      <c r="BM50" s="935"/>
      <c r="BN50" s="935"/>
      <c r="BO50" s="935"/>
      <c r="BP50" s="935"/>
      <c r="BQ50" s="935"/>
      <c r="BR50" s="935"/>
      <c r="BS50" s="935"/>
      <c r="BT50" s="935"/>
    </row>
    <row r="51" spans="1:72" x14ac:dyDescent="0.25">
      <c r="B51" s="955"/>
      <c r="C51" s="953"/>
      <c r="D51" s="953"/>
      <c r="E51" s="953"/>
      <c r="F51" s="953"/>
      <c r="G51" s="953"/>
      <c r="H51" s="953"/>
      <c r="I51" s="953"/>
      <c r="J51" s="953"/>
      <c r="K51" s="954"/>
      <c r="L51" s="935"/>
      <c r="M51" s="935"/>
      <c r="N51" s="935"/>
      <c r="O51" s="935"/>
      <c r="P51" s="935"/>
      <c r="Q51" s="935"/>
      <c r="R51" s="935"/>
      <c r="S51" s="935"/>
      <c r="T51" s="935"/>
      <c r="U51" s="935"/>
      <c r="V51" s="935"/>
      <c r="W51" s="935"/>
      <c r="X51" s="935"/>
      <c r="Y51" s="935"/>
      <c r="Z51" s="935"/>
      <c r="AA51" s="935"/>
      <c r="AB51" s="935"/>
      <c r="AC51" s="935"/>
      <c r="AD51" s="935"/>
      <c r="AE51" s="935"/>
      <c r="AF51" s="935"/>
      <c r="AG51" s="935"/>
      <c r="AH51" s="935"/>
      <c r="AI51" s="935"/>
      <c r="AJ51" s="935"/>
      <c r="AK51" s="935"/>
      <c r="AL51" s="935"/>
      <c r="AM51" s="935"/>
      <c r="AN51" s="935"/>
      <c r="AO51" s="935"/>
      <c r="AP51" s="935"/>
      <c r="AQ51" s="935"/>
      <c r="AR51" s="935"/>
      <c r="AS51" s="935"/>
      <c r="AT51" s="935"/>
      <c r="AU51" s="935"/>
      <c r="AV51" s="935"/>
      <c r="AW51" s="935"/>
      <c r="AX51" s="935"/>
      <c r="AY51" s="935"/>
      <c r="AZ51" s="935"/>
      <c r="BA51" s="935"/>
      <c r="BB51" s="935"/>
      <c r="BC51" s="935"/>
      <c r="BD51" s="935"/>
      <c r="BE51" s="935"/>
      <c r="BF51" s="935"/>
      <c r="BG51" s="935"/>
      <c r="BH51" s="935"/>
      <c r="BI51" s="935"/>
      <c r="BJ51" s="935"/>
      <c r="BK51" s="935"/>
      <c r="BL51" s="935"/>
      <c r="BM51" s="935"/>
      <c r="BN51" s="935"/>
      <c r="BO51" s="935"/>
      <c r="BP51" s="935"/>
      <c r="BQ51" s="935"/>
      <c r="BR51" s="935"/>
      <c r="BS51" s="935"/>
      <c r="BT51" s="935"/>
    </row>
    <row r="52" spans="1:72" x14ac:dyDescent="0.25">
      <c r="A52" s="952" t="s">
        <v>762</v>
      </c>
      <c r="B52" s="953"/>
      <c r="C52" s="953"/>
      <c r="D52" s="953"/>
      <c r="E52" s="953"/>
      <c r="F52" s="953"/>
      <c r="G52" s="953"/>
      <c r="H52" s="953"/>
      <c r="I52" s="953"/>
      <c r="J52" s="953"/>
      <c r="K52" s="954"/>
      <c r="L52" s="935"/>
      <c r="M52" s="935"/>
      <c r="N52" s="935"/>
      <c r="O52" s="935"/>
      <c r="P52" s="935"/>
      <c r="Q52" s="935"/>
      <c r="R52" s="935"/>
      <c r="S52" s="935"/>
      <c r="T52" s="935"/>
      <c r="U52" s="935"/>
      <c r="V52" s="935"/>
      <c r="W52" s="935"/>
      <c r="X52" s="935"/>
      <c r="Y52" s="935"/>
      <c r="Z52" s="935"/>
      <c r="AA52" s="935"/>
      <c r="AB52" s="935"/>
      <c r="AC52" s="935"/>
      <c r="AD52" s="935"/>
      <c r="AE52" s="935"/>
      <c r="AF52" s="935"/>
      <c r="AG52" s="935"/>
      <c r="AH52" s="935"/>
      <c r="AI52" s="935"/>
      <c r="AJ52" s="935"/>
      <c r="AK52" s="935"/>
      <c r="AL52" s="935"/>
      <c r="AM52" s="935"/>
      <c r="AN52" s="935"/>
      <c r="AO52" s="935"/>
      <c r="AP52" s="935"/>
      <c r="AQ52" s="935"/>
      <c r="AR52" s="935"/>
      <c r="AS52" s="935"/>
      <c r="AT52" s="935"/>
      <c r="AU52" s="935"/>
      <c r="AV52" s="935"/>
      <c r="AW52" s="935"/>
      <c r="AX52" s="935"/>
      <c r="AY52" s="935"/>
      <c r="AZ52" s="935"/>
      <c r="BA52" s="935"/>
      <c r="BB52" s="935"/>
      <c r="BC52" s="935"/>
      <c r="BD52" s="935"/>
      <c r="BE52" s="935"/>
      <c r="BF52" s="935"/>
      <c r="BG52" s="935"/>
      <c r="BH52" s="935"/>
      <c r="BI52" s="935"/>
      <c r="BJ52" s="935"/>
      <c r="BK52" s="935"/>
      <c r="BL52" s="935"/>
      <c r="BM52" s="935"/>
      <c r="BN52" s="935"/>
      <c r="BO52" s="935"/>
      <c r="BP52" s="935"/>
      <c r="BQ52" s="935"/>
      <c r="BR52" s="935"/>
      <c r="BS52" s="935"/>
      <c r="BT52" s="935"/>
    </row>
    <row r="53" spans="1:72" x14ac:dyDescent="0.25">
      <c r="A53" s="1640" t="s">
        <v>763</v>
      </c>
      <c r="B53" s="1641"/>
      <c r="C53" s="1641"/>
      <c r="D53" s="1641"/>
      <c r="E53" s="1641"/>
      <c r="F53" s="1641"/>
      <c r="G53" s="1641"/>
      <c r="H53" s="1641"/>
      <c r="I53" s="1641"/>
      <c r="J53" s="1641"/>
      <c r="K53" s="1642"/>
      <c r="L53" s="935"/>
      <c r="M53" s="935"/>
      <c r="N53" s="935"/>
      <c r="O53" s="935"/>
      <c r="P53" s="935"/>
      <c r="Q53" s="935"/>
      <c r="R53" s="935"/>
      <c r="S53" s="935"/>
      <c r="T53" s="935"/>
      <c r="U53" s="935"/>
      <c r="V53" s="935"/>
      <c r="W53" s="935"/>
      <c r="X53" s="935"/>
      <c r="Y53" s="935"/>
      <c r="Z53" s="935"/>
      <c r="AA53" s="935"/>
      <c r="AB53" s="935"/>
      <c r="AC53" s="935"/>
      <c r="AD53" s="935"/>
      <c r="AE53" s="935"/>
      <c r="AF53" s="935"/>
      <c r="AG53" s="935"/>
      <c r="AH53" s="935"/>
      <c r="AI53" s="935"/>
      <c r="AJ53" s="935"/>
      <c r="AK53" s="935"/>
      <c r="AL53" s="935"/>
      <c r="AM53" s="935"/>
      <c r="AN53" s="935"/>
      <c r="AO53" s="935"/>
      <c r="AP53" s="935"/>
      <c r="AQ53" s="935"/>
      <c r="AR53" s="935"/>
      <c r="AS53" s="935"/>
      <c r="AT53" s="935"/>
      <c r="AU53" s="935"/>
      <c r="AV53" s="935"/>
      <c r="AW53" s="935"/>
      <c r="AX53" s="935"/>
      <c r="AY53" s="935"/>
      <c r="AZ53" s="935"/>
      <c r="BA53" s="935"/>
      <c r="BB53" s="935"/>
      <c r="BC53" s="935"/>
      <c r="BD53" s="935"/>
      <c r="BE53" s="935"/>
      <c r="BF53" s="935"/>
      <c r="BG53" s="935"/>
      <c r="BH53" s="935"/>
      <c r="BI53" s="935"/>
      <c r="BJ53" s="935"/>
      <c r="BK53" s="935"/>
      <c r="BL53" s="935"/>
      <c r="BM53" s="935"/>
      <c r="BN53" s="935"/>
      <c r="BO53" s="935"/>
      <c r="BP53" s="935"/>
      <c r="BQ53" s="935"/>
      <c r="BR53" s="935"/>
      <c r="BS53" s="935"/>
      <c r="BT53" s="935"/>
    </row>
    <row r="54" spans="1:72" x14ac:dyDescent="0.25">
      <c r="A54" s="1643" t="s">
        <v>320</v>
      </c>
      <c r="B54" s="1644"/>
      <c r="C54" s="1644"/>
      <c r="D54" s="1644"/>
      <c r="E54" s="1644"/>
      <c r="F54" s="1644"/>
      <c r="G54" s="1644"/>
      <c r="H54" s="1644"/>
      <c r="I54" s="1644"/>
      <c r="J54" s="1644"/>
      <c r="K54" s="1645"/>
      <c r="L54" s="935"/>
      <c r="M54" s="935"/>
      <c r="N54" s="935"/>
      <c r="O54" s="935"/>
      <c r="P54" s="935"/>
      <c r="Q54" s="935"/>
      <c r="R54" s="935"/>
      <c r="S54" s="935"/>
      <c r="T54" s="935"/>
      <c r="U54" s="935"/>
      <c r="V54" s="935"/>
      <c r="W54" s="935"/>
      <c r="X54" s="935"/>
      <c r="Y54" s="935"/>
      <c r="Z54" s="935"/>
      <c r="AA54" s="935"/>
      <c r="AB54" s="935"/>
      <c r="AC54" s="935"/>
      <c r="AD54" s="935"/>
      <c r="AE54" s="935"/>
      <c r="AF54" s="935"/>
      <c r="AG54" s="935"/>
      <c r="AH54" s="935"/>
      <c r="AI54" s="935"/>
      <c r="AJ54" s="935"/>
      <c r="AK54" s="935"/>
      <c r="AL54" s="935"/>
      <c r="AM54" s="935"/>
      <c r="AN54" s="935"/>
      <c r="AO54" s="935"/>
      <c r="AP54" s="935"/>
      <c r="AQ54" s="935"/>
      <c r="AR54" s="935"/>
      <c r="AS54" s="935"/>
      <c r="AT54" s="935"/>
      <c r="AU54" s="935"/>
      <c r="AV54" s="935"/>
      <c r="AW54" s="935"/>
      <c r="AX54" s="935"/>
      <c r="AY54" s="935"/>
      <c r="AZ54" s="935"/>
      <c r="BA54" s="935"/>
      <c r="BB54" s="935"/>
      <c r="BC54" s="935"/>
      <c r="BD54" s="935"/>
      <c r="BE54" s="935"/>
      <c r="BF54" s="935"/>
      <c r="BG54" s="935"/>
      <c r="BH54" s="935"/>
      <c r="BI54" s="935"/>
      <c r="BJ54" s="935"/>
      <c r="BK54" s="935"/>
      <c r="BL54" s="935"/>
      <c r="BM54" s="935"/>
      <c r="BN54" s="935"/>
      <c r="BO54" s="935"/>
      <c r="BP54" s="935"/>
      <c r="BQ54" s="935"/>
      <c r="BR54" s="935"/>
      <c r="BS54" s="935"/>
      <c r="BT54" s="935"/>
    </row>
    <row r="55" spans="1:72" x14ac:dyDescent="0.25">
      <c r="A55" s="1643"/>
      <c r="B55" s="1644"/>
      <c r="C55" s="1644"/>
      <c r="D55" s="1644"/>
      <c r="E55" s="1644"/>
      <c r="F55" s="1644"/>
      <c r="G55" s="1644"/>
      <c r="H55" s="1644"/>
      <c r="I55" s="1644"/>
      <c r="J55" s="1644"/>
      <c r="K55" s="1645"/>
      <c r="L55" s="935"/>
      <c r="M55" s="935"/>
      <c r="N55" s="935"/>
      <c r="O55" s="935"/>
      <c r="P55" s="935"/>
      <c r="Q55" s="935"/>
      <c r="R55" s="935"/>
      <c r="S55" s="935"/>
      <c r="T55" s="935"/>
      <c r="U55" s="935"/>
      <c r="V55" s="935"/>
      <c r="W55" s="935"/>
      <c r="X55" s="935"/>
      <c r="Y55" s="935"/>
      <c r="Z55" s="935"/>
      <c r="AA55" s="935"/>
      <c r="AB55" s="935"/>
      <c r="AC55" s="935"/>
      <c r="AD55" s="935"/>
      <c r="AE55" s="935"/>
      <c r="AF55" s="935"/>
      <c r="AG55" s="935"/>
      <c r="AH55" s="935"/>
      <c r="AI55" s="935"/>
      <c r="AJ55" s="935"/>
      <c r="AK55" s="935"/>
      <c r="AL55" s="935"/>
      <c r="AM55" s="935"/>
      <c r="AN55" s="935"/>
      <c r="AO55" s="935"/>
      <c r="AP55" s="935"/>
      <c r="AQ55" s="935"/>
      <c r="AR55" s="935"/>
      <c r="AS55" s="935"/>
      <c r="AT55" s="935"/>
      <c r="AU55" s="935"/>
      <c r="AV55" s="935"/>
      <c r="AW55" s="935"/>
      <c r="AX55" s="935"/>
      <c r="AY55" s="935"/>
      <c r="AZ55" s="935"/>
      <c r="BA55" s="935"/>
      <c r="BB55" s="935"/>
      <c r="BC55" s="935"/>
      <c r="BD55" s="935"/>
      <c r="BE55" s="935"/>
      <c r="BF55" s="935"/>
      <c r="BG55" s="935"/>
      <c r="BH55" s="935"/>
      <c r="BI55" s="935"/>
      <c r="BJ55" s="935"/>
      <c r="BK55" s="935"/>
      <c r="BL55" s="935"/>
      <c r="BM55" s="935"/>
      <c r="BN55" s="935"/>
      <c r="BO55" s="935"/>
      <c r="BP55" s="935"/>
      <c r="BQ55" s="935"/>
      <c r="BR55" s="935"/>
      <c r="BS55" s="935"/>
      <c r="BT55" s="935"/>
    </row>
    <row r="56" spans="1:72" ht="13" thickBot="1" x14ac:dyDescent="0.3">
      <c r="A56" s="1633" t="s">
        <v>764</v>
      </c>
      <c r="B56" s="1634"/>
      <c r="C56" s="1634"/>
      <c r="D56" s="1634"/>
      <c r="E56" s="1634"/>
      <c r="F56" s="1634"/>
      <c r="G56" s="1634"/>
      <c r="H56" s="1634"/>
      <c r="I56" s="1634"/>
      <c r="J56" s="1634"/>
      <c r="K56" s="1635"/>
      <c r="L56" s="935"/>
      <c r="M56" s="935"/>
      <c r="N56" s="935"/>
      <c r="O56" s="935"/>
      <c r="P56" s="935"/>
      <c r="Q56" s="935"/>
      <c r="R56" s="935"/>
      <c r="S56" s="935"/>
      <c r="T56" s="935"/>
      <c r="U56" s="935"/>
      <c r="V56" s="935"/>
      <c r="W56" s="935"/>
      <c r="X56" s="935"/>
      <c r="Y56" s="935"/>
      <c r="Z56" s="935"/>
      <c r="AA56" s="935"/>
      <c r="AB56" s="935"/>
      <c r="AC56" s="935"/>
      <c r="AD56" s="935"/>
      <c r="AE56" s="935"/>
      <c r="AF56" s="935"/>
      <c r="AG56" s="935"/>
      <c r="AH56" s="935"/>
      <c r="AI56" s="935"/>
      <c r="AJ56" s="935"/>
      <c r="AK56" s="935"/>
      <c r="AL56" s="935"/>
      <c r="AM56" s="935"/>
      <c r="AN56" s="935"/>
      <c r="AO56" s="935"/>
      <c r="AP56" s="935"/>
      <c r="AQ56" s="935"/>
      <c r="AR56" s="935"/>
      <c r="AS56" s="935"/>
      <c r="AT56" s="935"/>
      <c r="AU56" s="935"/>
      <c r="AV56" s="935"/>
      <c r="AW56" s="935"/>
      <c r="AX56" s="935"/>
      <c r="AY56" s="935"/>
      <c r="AZ56" s="935"/>
      <c r="BA56" s="935"/>
      <c r="BB56" s="935"/>
      <c r="BC56" s="935"/>
      <c r="BD56" s="935"/>
      <c r="BE56" s="935"/>
      <c r="BF56" s="935"/>
      <c r="BG56" s="935"/>
      <c r="BH56" s="935"/>
      <c r="BI56" s="935"/>
      <c r="BJ56" s="935"/>
      <c r="BK56" s="935"/>
      <c r="BL56" s="935"/>
      <c r="BM56" s="935"/>
      <c r="BN56" s="935"/>
      <c r="BO56" s="935"/>
      <c r="BP56" s="935"/>
      <c r="BQ56" s="935"/>
      <c r="BR56" s="935"/>
      <c r="BS56" s="935"/>
      <c r="BT56" s="935"/>
    </row>
    <row r="57" spans="1:72" x14ac:dyDescent="0.25">
      <c r="A57" s="951"/>
      <c r="B57" s="951"/>
      <c r="C57" s="951"/>
      <c r="D57" s="951"/>
      <c r="E57" s="951"/>
      <c r="F57" s="951"/>
      <c r="G57" s="951"/>
      <c r="H57" s="951"/>
      <c r="I57" s="951"/>
      <c r="J57" s="951"/>
      <c r="K57" s="951"/>
      <c r="L57" s="935"/>
      <c r="M57" s="935"/>
      <c r="N57" s="935"/>
      <c r="O57" s="935"/>
      <c r="P57" s="935"/>
      <c r="Q57" s="935"/>
      <c r="R57" s="935"/>
      <c r="S57" s="935"/>
      <c r="T57" s="935"/>
      <c r="U57" s="935"/>
      <c r="V57" s="935"/>
      <c r="W57" s="935"/>
      <c r="X57" s="935"/>
      <c r="Y57" s="935"/>
      <c r="Z57" s="935"/>
      <c r="AA57" s="935"/>
      <c r="AB57" s="935"/>
      <c r="AC57" s="935"/>
      <c r="AD57" s="935"/>
      <c r="AE57" s="935"/>
      <c r="AF57" s="935"/>
      <c r="AG57" s="935"/>
      <c r="AH57" s="935"/>
      <c r="AI57" s="935"/>
      <c r="AJ57" s="935"/>
      <c r="AK57" s="935"/>
      <c r="AL57" s="935"/>
      <c r="AM57" s="935"/>
      <c r="AN57" s="935"/>
      <c r="AO57" s="935"/>
      <c r="AP57" s="935"/>
      <c r="AQ57" s="935"/>
      <c r="AR57" s="935"/>
      <c r="AS57" s="935"/>
      <c r="AT57" s="935"/>
      <c r="AU57" s="935"/>
      <c r="AV57" s="935"/>
      <c r="AW57" s="935"/>
      <c r="AX57" s="935"/>
      <c r="AY57" s="935"/>
      <c r="AZ57" s="935"/>
      <c r="BA57" s="935"/>
      <c r="BB57" s="935"/>
      <c r="BC57" s="935"/>
      <c r="BD57" s="935"/>
      <c r="BE57" s="935"/>
      <c r="BF57" s="935"/>
      <c r="BG57" s="935"/>
      <c r="BH57" s="935"/>
      <c r="BI57" s="935"/>
      <c r="BJ57" s="935"/>
      <c r="BK57" s="935"/>
      <c r="BL57" s="935"/>
      <c r="BM57" s="935"/>
      <c r="BN57" s="935"/>
      <c r="BO57" s="935"/>
      <c r="BP57" s="935"/>
      <c r="BQ57" s="935"/>
      <c r="BR57" s="935"/>
      <c r="BS57" s="935"/>
      <c r="BT57" s="935"/>
    </row>
    <row r="58" spans="1:72" x14ac:dyDescent="0.25">
      <c r="A58" s="935" t="s">
        <v>767</v>
      </c>
      <c r="B58" s="935"/>
      <c r="C58" s="935"/>
      <c r="D58" s="935"/>
      <c r="E58" s="935"/>
      <c r="F58" s="935"/>
      <c r="G58" s="935"/>
      <c r="H58" s="935"/>
      <c r="I58" s="935"/>
      <c r="J58" s="935"/>
      <c r="K58" s="935"/>
      <c r="L58" s="935"/>
      <c r="M58" s="935"/>
      <c r="N58" s="935"/>
      <c r="O58" s="935"/>
      <c r="P58" s="935"/>
      <c r="Q58" s="935"/>
      <c r="R58" s="935"/>
      <c r="S58" s="935"/>
      <c r="T58" s="935"/>
      <c r="U58" s="935"/>
      <c r="V58" s="935"/>
      <c r="W58" s="935"/>
      <c r="X58" s="935"/>
      <c r="Y58" s="935"/>
      <c r="Z58" s="935"/>
      <c r="AA58" s="935"/>
      <c r="AB58" s="935"/>
      <c r="AC58" s="935"/>
      <c r="AD58" s="935"/>
      <c r="AE58" s="935"/>
      <c r="AF58" s="935"/>
      <c r="AG58" s="935"/>
      <c r="AH58" s="935"/>
      <c r="AI58" s="935"/>
      <c r="AJ58" s="935"/>
      <c r="AK58" s="935"/>
      <c r="AL58" s="935"/>
      <c r="AM58" s="935"/>
      <c r="AN58" s="935"/>
      <c r="AO58" s="935"/>
      <c r="AP58" s="935"/>
      <c r="AQ58" s="935"/>
      <c r="AR58" s="935"/>
      <c r="AS58" s="935"/>
      <c r="AT58" s="935"/>
      <c r="AU58" s="935"/>
      <c r="AV58" s="935"/>
      <c r="AW58" s="935"/>
      <c r="AX58" s="935"/>
      <c r="AY58" s="935"/>
      <c r="AZ58" s="935"/>
      <c r="BA58" s="935"/>
      <c r="BB58" s="935"/>
      <c r="BC58" s="935"/>
      <c r="BD58" s="935"/>
      <c r="BE58" s="935"/>
      <c r="BF58" s="935"/>
      <c r="BG58" s="935"/>
      <c r="BH58" s="935"/>
      <c r="BI58" s="935"/>
      <c r="BJ58" s="935"/>
      <c r="BK58" s="935"/>
      <c r="BL58" s="935"/>
      <c r="BM58" s="935"/>
      <c r="BN58" s="935"/>
      <c r="BO58" s="935"/>
      <c r="BP58" s="935"/>
      <c r="BQ58" s="935"/>
      <c r="BR58" s="935"/>
      <c r="BS58" s="935"/>
      <c r="BT58" s="935"/>
    </row>
    <row r="59" spans="1:72" x14ac:dyDescent="0.25">
      <c r="A59" s="935" t="s">
        <v>766</v>
      </c>
      <c r="B59" s="935">
        <v>19022</v>
      </c>
      <c r="C59" s="935"/>
      <c r="D59" s="935"/>
      <c r="E59" s="935"/>
      <c r="F59" s="935"/>
      <c r="G59" s="935"/>
      <c r="H59" s="935"/>
      <c r="I59" s="935"/>
      <c r="J59" s="935"/>
      <c r="K59" s="935"/>
      <c r="L59" s="935"/>
      <c r="M59" s="935"/>
      <c r="N59" s="935"/>
      <c r="O59" s="935"/>
      <c r="P59" s="935"/>
      <c r="Q59" s="935"/>
      <c r="R59" s="935"/>
      <c r="S59" s="935"/>
      <c r="T59" s="935"/>
      <c r="U59" s="935"/>
      <c r="V59" s="935"/>
      <c r="W59" s="935"/>
      <c r="X59" s="935"/>
      <c r="Y59" s="935"/>
      <c r="Z59" s="935"/>
      <c r="AA59" s="935"/>
      <c r="AB59" s="935"/>
      <c r="AC59" s="935"/>
      <c r="AD59" s="935"/>
      <c r="AE59" s="935"/>
      <c r="AF59" s="935"/>
      <c r="AG59" s="935"/>
      <c r="AH59" s="935"/>
      <c r="AI59" s="935"/>
      <c r="AJ59" s="935"/>
      <c r="AK59" s="935"/>
      <c r="AL59" s="935"/>
      <c r="AM59" s="935"/>
      <c r="AN59" s="935"/>
      <c r="AO59" s="935"/>
      <c r="AP59" s="935"/>
      <c r="AQ59" s="935"/>
      <c r="AR59" s="935"/>
      <c r="AS59" s="935"/>
      <c r="AT59" s="935"/>
      <c r="AU59" s="935"/>
      <c r="AV59" s="935"/>
      <c r="AW59" s="935"/>
      <c r="AX59" s="935"/>
      <c r="AY59" s="935"/>
      <c r="AZ59" s="935"/>
      <c r="BA59" s="935"/>
      <c r="BB59" s="935"/>
      <c r="BC59" s="935"/>
      <c r="BD59" s="935"/>
      <c r="BE59" s="935"/>
      <c r="BF59" s="935"/>
      <c r="BG59" s="935"/>
      <c r="BH59" s="935"/>
      <c r="BI59" s="935"/>
      <c r="BJ59" s="935"/>
      <c r="BK59" s="935"/>
      <c r="BL59" s="935"/>
      <c r="BM59" s="935"/>
      <c r="BN59" s="935"/>
      <c r="BO59" s="935"/>
      <c r="BP59" s="935"/>
      <c r="BQ59" s="935"/>
      <c r="BR59" s="935"/>
      <c r="BS59" s="935"/>
      <c r="BT59" s="935"/>
    </row>
    <row r="60" spans="1:72" x14ac:dyDescent="0.25">
      <c r="A60" s="935" t="s">
        <v>765</v>
      </c>
      <c r="B60" s="935">
        <v>17700</v>
      </c>
      <c r="C60" s="935"/>
      <c r="D60" s="935"/>
      <c r="E60" s="935"/>
      <c r="F60" s="935"/>
      <c r="G60" s="935"/>
      <c r="H60" s="935"/>
      <c r="I60" s="935"/>
      <c r="J60" s="935"/>
      <c r="K60" s="935"/>
      <c r="L60" s="935"/>
      <c r="M60" s="935"/>
      <c r="N60" s="935"/>
      <c r="O60" s="935"/>
      <c r="P60" s="935"/>
      <c r="Q60" s="935"/>
      <c r="R60" s="935"/>
      <c r="S60" s="935"/>
      <c r="T60" s="935"/>
      <c r="U60" s="935"/>
      <c r="V60" s="935"/>
      <c r="W60" s="935"/>
      <c r="X60" s="935"/>
      <c r="Y60" s="935"/>
      <c r="Z60" s="935"/>
      <c r="AA60" s="935"/>
      <c r="AB60" s="935"/>
      <c r="AC60" s="935"/>
      <c r="AD60" s="935"/>
      <c r="AE60" s="935"/>
      <c r="AF60" s="935"/>
      <c r="AG60" s="935"/>
      <c r="AH60" s="935"/>
      <c r="AI60" s="935"/>
      <c r="AJ60" s="935"/>
      <c r="AK60" s="935"/>
      <c r="AL60" s="935"/>
      <c r="AM60" s="935"/>
      <c r="AN60" s="935"/>
      <c r="AO60" s="935"/>
      <c r="AP60" s="935"/>
      <c r="AQ60" s="935"/>
      <c r="AR60" s="935"/>
      <c r="AS60" s="935"/>
      <c r="AT60" s="935"/>
      <c r="AU60" s="935"/>
      <c r="AV60" s="935"/>
      <c r="AW60" s="935"/>
      <c r="AX60" s="935"/>
      <c r="AY60" s="935"/>
      <c r="AZ60" s="935"/>
      <c r="BA60" s="935"/>
      <c r="BB60" s="935"/>
      <c r="BC60" s="935"/>
      <c r="BD60" s="935"/>
      <c r="BE60" s="935"/>
      <c r="BF60" s="935"/>
      <c r="BG60" s="935"/>
      <c r="BH60" s="935"/>
      <c r="BI60" s="935"/>
      <c r="BJ60" s="935"/>
      <c r="BK60" s="935"/>
      <c r="BL60" s="935"/>
      <c r="BM60" s="935"/>
      <c r="BN60" s="935"/>
      <c r="BO60" s="935"/>
      <c r="BP60" s="935"/>
      <c r="BQ60" s="935"/>
      <c r="BR60" s="935"/>
      <c r="BS60" s="935"/>
      <c r="BT60" s="935"/>
    </row>
    <row r="61" spans="1:72" x14ac:dyDescent="0.25">
      <c r="A61" s="935" t="s">
        <v>768</v>
      </c>
      <c r="B61" s="935">
        <f>2.205/2000/B60*mmBTU_to_GJ*1000000</f>
        <v>6.5713983050847455E-2</v>
      </c>
      <c r="C61" s="935"/>
      <c r="D61" s="935"/>
      <c r="E61" s="935"/>
      <c r="F61" s="935"/>
      <c r="G61" s="935"/>
      <c r="H61" s="935"/>
      <c r="I61" s="935"/>
      <c r="J61" s="935"/>
      <c r="K61" s="935"/>
      <c r="L61" s="935"/>
      <c r="M61" s="935"/>
      <c r="N61" s="935"/>
      <c r="O61" s="935"/>
      <c r="P61" s="935"/>
      <c r="Q61" s="935"/>
      <c r="R61" s="935"/>
      <c r="S61" s="935"/>
      <c r="T61" s="935"/>
      <c r="U61" s="935"/>
      <c r="V61" s="935"/>
      <c r="W61" s="935"/>
      <c r="X61" s="935"/>
      <c r="Y61" s="935"/>
      <c r="Z61" s="935"/>
      <c r="AA61" s="935"/>
      <c r="AB61" s="935"/>
      <c r="AC61" s="935"/>
      <c r="AD61" s="935"/>
      <c r="AE61" s="935"/>
      <c r="AF61" s="935"/>
      <c r="AG61" s="935"/>
      <c r="AH61" s="935"/>
      <c r="AI61" s="935"/>
      <c r="AJ61" s="935"/>
      <c r="AK61" s="935"/>
      <c r="AL61" s="935"/>
      <c r="AM61" s="935"/>
      <c r="AN61" s="935"/>
      <c r="AO61" s="935"/>
      <c r="AP61" s="935"/>
      <c r="AQ61" s="935"/>
      <c r="AR61" s="935"/>
      <c r="AS61" s="935"/>
      <c r="AT61" s="935"/>
      <c r="AU61" s="935"/>
      <c r="AV61" s="935"/>
      <c r="AW61" s="935"/>
      <c r="AX61" s="935"/>
      <c r="AY61" s="935"/>
      <c r="AZ61" s="935"/>
      <c r="BA61" s="935"/>
      <c r="BB61" s="935"/>
      <c r="BC61" s="935"/>
      <c r="BD61" s="935"/>
      <c r="BE61" s="935"/>
      <c r="BF61" s="935"/>
      <c r="BG61" s="935"/>
      <c r="BH61" s="935"/>
      <c r="BI61" s="935"/>
      <c r="BJ61" s="935"/>
      <c r="BK61" s="935"/>
      <c r="BL61" s="935"/>
      <c r="BM61" s="935"/>
      <c r="BN61" s="935"/>
      <c r="BO61" s="935"/>
      <c r="BP61" s="935"/>
      <c r="BQ61" s="935"/>
      <c r="BR61" s="935"/>
      <c r="BS61" s="935"/>
      <c r="BT61" s="935"/>
    </row>
    <row r="62" spans="1:72" x14ac:dyDescent="0.25">
      <c r="A62" s="935"/>
      <c r="B62" s="935"/>
      <c r="C62" s="935"/>
      <c r="D62" s="935"/>
      <c r="E62" s="935"/>
      <c r="F62" s="935"/>
      <c r="G62" s="935"/>
      <c r="H62" s="935"/>
      <c r="I62" s="935"/>
      <c r="J62" s="935"/>
      <c r="K62" s="935"/>
      <c r="L62" s="935"/>
      <c r="M62" s="935"/>
      <c r="N62" s="935"/>
      <c r="O62" s="935"/>
      <c r="P62" s="935"/>
      <c r="Q62" s="935"/>
      <c r="R62" s="935"/>
      <c r="S62" s="935"/>
      <c r="T62" s="935"/>
      <c r="U62" s="935"/>
      <c r="V62" s="935"/>
      <c r="W62" s="935"/>
      <c r="X62" s="935"/>
      <c r="Y62" s="935"/>
      <c r="Z62" s="935"/>
      <c r="AA62" s="935"/>
      <c r="AB62" s="935"/>
      <c r="AC62" s="935"/>
      <c r="AD62" s="935"/>
      <c r="AE62" s="935"/>
      <c r="AF62" s="935"/>
      <c r="AG62" s="935"/>
      <c r="AH62" s="935"/>
      <c r="AI62" s="935"/>
      <c r="AJ62" s="935"/>
      <c r="AK62" s="935"/>
      <c r="AL62" s="935"/>
      <c r="AM62" s="935"/>
      <c r="AN62" s="935"/>
      <c r="AO62" s="935"/>
      <c r="AP62" s="935"/>
      <c r="AQ62" s="935"/>
      <c r="AR62" s="935"/>
      <c r="AS62" s="935"/>
      <c r="AT62" s="935"/>
      <c r="AU62" s="935"/>
      <c r="AV62" s="935"/>
      <c r="AW62" s="935"/>
      <c r="AX62" s="935"/>
      <c r="AY62" s="935"/>
      <c r="AZ62" s="935"/>
      <c r="BA62" s="935"/>
      <c r="BB62" s="935"/>
      <c r="BC62" s="935"/>
      <c r="BD62" s="935"/>
      <c r="BE62" s="935"/>
      <c r="BF62" s="935"/>
      <c r="BG62" s="935"/>
      <c r="BH62" s="935"/>
      <c r="BI62" s="935"/>
      <c r="BJ62" s="935"/>
      <c r="BK62" s="935"/>
      <c r="BL62" s="935"/>
      <c r="BM62" s="935"/>
      <c r="BN62" s="935"/>
      <c r="BO62" s="935"/>
      <c r="BP62" s="935"/>
      <c r="BQ62" s="935"/>
      <c r="BR62" s="935"/>
      <c r="BS62" s="935"/>
      <c r="BT62" s="935"/>
    </row>
    <row r="63" spans="1:72" x14ac:dyDescent="0.25">
      <c r="A63" s="935"/>
      <c r="B63" s="935"/>
      <c r="C63" s="935"/>
      <c r="D63" s="935"/>
      <c r="E63" s="935"/>
      <c r="F63" s="935"/>
      <c r="G63" s="935"/>
      <c r="H63" s="935"/>
      <c r="I63" s="935"/>
      <c r="J63" s="935"/>
      <c r="K63" s="935"/>
      <c r="L63" s="935"/>
      <c r="M63" s="935"/>
      <c r="N63" s="935"/>
      <c r="O63" s="935"/>
      <c r="P63" s="935"/>
      <c r="Q63" s="935"/>
      <c r="R63" s="935"/>
      <c r="S63" s="935"/>
      <c r="T63" s="935"/>
      <c r="U63" s="935"/>
      <c r="V63" s="935"/>
      <c r="W63" s="935"/>
      <c r="X63" s="935"/>
      <c r="Y63" s="935"/>
      <c r="Z63" s="935"/>
      <c r="AA63" s="935"/>
      <c r="AB63" s="935"/>
      <c r="AC63" s="935"/>
      <c r="AD63" s="935"/>
      <c r="AE63" s="935"/>
      <c r="AF63" s="935"/>
      <c r="AG63" s="935"/>
      <c r="AH63" s="935"/>
      <c r="AI63" s="935"/>
      <c r="AJ63" s="935"/>
      <c r="AK63" s="935"/>
      <c r="AL63" s="935"/>
      <c r="AM63" s="935"/>
      <c r="AN63" s="935"/>
      <c r="AO63" s="935"/>
      <c r="AP63" s="935"/>
      <c r="AQ63" s="935"/>
      <c r="AR63" s="935"/>
      <c r="AS63" s="935"/>
      <c r="AT63" s="935"/>
      <c r="AU63" s="935"/>
      <c r="AV63" s="935"/>
      <c r="AW63" s="935"/>
      <c r="AX63" s="935"/>
      <c r="AY63" s="935"/>
      <c r="AZ63" s="935"/>
      <c r="BA63" s="935"/>
      <c r="BB63" s="935"/>
      <c r="BC63" s="935"/>
      <c r="BD63" s="935"/>
      <c r="BE63" s="935"/>
      <c r="BF63" s="935"/>
      <c r="BG63" s="935"/>
      <c r="BH63" s="935"/>
      <c r="BI63" s="935"/>
      <c r="BJ63" s="935"/>
      <c r="BK63" s="935"/>
      <c r="BL63" s="935"/>
      <c r="BM63" s="935"/>
      <c r="BN63" s="935"/>
      <c r="BO63" s="935"/>
      <c r="BP63" s="935"/>
      <c r="BQ63" s="935"/>
      <c r="BR63" s="935"/>
      <c r="BS63" s="935"/>
      <c r="BT63" s="935"/>
    </row>
    <row r="64" spans="1:72" x14ac:dyDescent="0.25">
      <c r="A64" s="935"/>
      <c r="B64" s="935" t="s">
        <v>774</v>
      </c>
      <c r="C64" s="935" t="s">
        <v>775</v>
      </c>
      <c r="D64" s="935"/>
      <c r="E64" s="935"/>
      <c r="F64" s="935"/>
      <c r="G64" s="935"/>
      <c r="H64" s="935"/>
      <c r="I64" s="935"/>
      <c r="J64" s="935"/>
      <c r="K64" s="935"/>
      <c r="L64" s="935"/>
      <c r="M64" s="935"/>
      <c r="N64" s="935"/>
      <c r="O64" s="935"/>
      <c r="P64" s="935"/>
      <c r="Q64" s="935"/>
      <c r="R64" s="935"/>
      <c r="S64" s="935"/>
      <c r="T64" s="935"/>
      <c r="U64" s="935"/>
      <c r="V64" s="935"/>
      <c r="W64" s="935"/>
      <c r="X64" s="935"/>
      <c r="Y64" s="935"/>
      <c r="Z64" s="935"/>
      <c r="AA64" s="935"/>
      <c r="AB64" s="935"/>
      <c r="AC64" s="935"/>
      <c r="AD64" s="935"/>
      <c r="AE64" s="935"/>
      <c r="AF64" s="935"/>
      <c r="AG64" s="935"/>
      <c r="AH64" s="935"/>
      <c r="AI64" s="935"/>
      <c r="AJ64" s="935"/>
      <c r="AK64" s="935"/>
      <c r="AL64" s="935"/>
      <c r="AM64" s="935"/>
      <c r="AN64" s="935"/>
      <c r="AO64" s="935"/>
      <c r="AP64" s="935"/>
      <c r="AQ64" s="935"/>
      <c r="AR64" s="935"/>
      <c r="AS64" s="935"/>
      <c r="AT64" s="935"/>
      <c r="AU64" s="935"/>
      <c r="AV64" s="935"/>
      <c r="AW64" s="935"/>
      <c r="AX64" s="935"/>
      <c r="AY64" s="935"/>
      <c r="AZ64" s="935"/>
      <c r="BA64" s="935"/>
      <c r="BB64" s="935"/>
      <c r="BC64" s="935"/>
      <c r="BD64" s="935"/>
      <c r="BE64" s="935"/>
      <c r="BF64" s="935"/>
      <c r="BG64" s="935"/>
      <c r="BH64" s="935"/>
      <c r="BI64" s="935"/>
      <c r="BJ64" s="935"/>
      <c r="BK64" s="935"/>
      <c r="BL64" s="935"/>
      <c r="BM64" s="935"/>
      <c r="BN64" s="935"/>
      <c r="BO64" s="935"/>
      <c r="BP64" s="935"/>
      <c r="BQ64" s="935"/>
      <c r="BR64" s="935"/>
      <c r="BS64" s="935"/>
      <c r="BT64" s="935"/>
    </row>
    <row r="65" spans="1:72" x14ac:dyDescent="0.25">
      <c r="A65" s="935"/>
      <c r="B65" s="935" t="s">
        <v>776</v>
      </c>
      <c r="C65" s="935" t="s">
        <v>777</v>
      </c>
      <c r="D65" s="935"/>
      <c r="E65" s="935"/>
      <c r="F65" s="935" t="s">
        <v>778</v>
      </c>
      <c r="G65" s="935"/>
      <c r="H65" s="935"/>
      <c r="I65" s="935"/>
      <c r="J65" s="935"/>
      <c r="K65" s="935"/>
      <c r="L65" s="935"/>
      <c r="M65" s="935"/>
      <c r="N65" s="935"/>
      <c r="O65" s="935"/>
      <c r="P65" s="935"/>
      <c r="Q65" s="935"/>
      <c r="R65" s="935"/>
      <c r="S65" s="935"/>
      <c r="T65" s="935"/>
      <c r="U65" s="935"/>
      <c r="V65" s="935"/>
      <c r="W65" s="935"/>
      <c r="X65" s="935"/>
      <c r="Y65" s="935"/>
      <c r="Z65" s="935"/>
      <c r="AA65" s="935"/>
      <c r="AB65" s="935"/>
      <c r="AC65" s="935"/>
      <c r="AD65" s="935"/>
      <c r="AE65" s="935"/>
      <c r="AF65" s="935"/>
      <c r="AG65" s="935"/>
      <c r="AH65" s="935"/>
      <c r="AI65" s="935"/>
      <c r="AJ65" s="935"/>
      <c r="AK65" s="935"/>
      <c r="AL65" s="935"/>
      <c r="AM65" s="935"/>
      <c r="AN65" s="935"/>
      <c r="AO65" s="935"/>
      <c r="AP65" s="935"/>
      <c r="AQ65" s="935"/>
      <c r="AR65" s="935"/>
      <c r="AS65" s="935"/>
      <c r="AT65" s="935"/>
      <c r="AU65" s="935"/>
      <c r="AV65" s="935"/>
      <c r="AW65" s="935"/>
      <c r="AX65" s="935"/>
      <c r="AY65" s="935"/>
      <c r="AZ65" s="935"/>
      <c r="BA65" s="935"/>
      <c r="BB65" s="935"/>
      <c r="BC65" s="935"/>
      <c r="BD65" s="935"/>
      <c r="BE65" s="935"/>
      <c r="BF65" s="935"/>
      <c r="BG65" s="935"/>
      <c r="BH65" s="935"/>
      <c r="BI65" s="935"/>
      <c r="BJ65" s="935"/>
      <c r="BK65" s="935"/>
      <c r="BL65" s="935"/>
      <c r="BM65" s="935"/>
      <c r="BN65" s="935"/>
      <c r="BO65" s="935"/>
      <c r="BP65" s="935"/>
      <c r="BQ65" s="935"/>
      <c r="BR65" s="935"/>
      <c r="BS65" s="935"/>
      <c r="BT65" s="935"/>
    </row>
    <row r="66" spans="1:72" x14ac:dyDescent="0.25">
      <c r="A66" s="935"/>
      <c r="B66" s="935" t="s">
        <v>779</v>
      </c>
      <c r="C66" s="935" t="s">
        <v>780</v>
      </c>
      <c r="D66" s="935"/>
      <c r="E66" s="935"/>
      <c r="F66" s="935"/>
      <c r="G66" s="935"/>
      <c r="H66" s="935"/>
      <c r="I66" s="935"/>
      <c r="J66" s="935"/>
      <c r="K66" s="935"/>
      <c r="L66" s="935"/>
      <c r="M66" s="935"/>
      <c r="N66" s="935"/>
      <c r="O66" s="935"/>
      <c r="P66" s="935"/>
      <c r="Q66" s="935"/>
      <c r="R66" s="935"/>
      <c r="S66" s="935"/>
      <c r="T66" s="935"/>
      <c r="U66" s="935"/>
      <c r="V66" s="935"/>
      <c r="W66" s="935"/>
      <c r="X66" s="935"/>
      <c r="Y66" s="935"/>
      <c r="Z66" s="935"/>
      <c r="AA66" s="935"/>
      <c r="AB66" s="935"/>
      <c r="AC66" s="935"/>
      <c r="AD66" s="935"/>
      <c r="AE66" s="935"/>
      <c r="AF66" s="935"/>
      <c r="AG66" s="935"/>
      <c r="AH66" s="935"/>
      <c r="AI66" s="935"/>
      <c r="AJ66" s="935"/>
      <c r="AK66" s="935"/>
      <c r="AL66" s="935"/>
      <c r="AM66" s="935"/>
      <c r="AN66" s="935"/>
      <c r="AO66" s="935"/>
      <c r="AP66" s="935"/>
      <c r="AQ66" s="935"/>
      <c r="AR66" s="935"/>
      <c r="AS66" s="935"/>
      <c r="AT66" s="935"/>
      <c r="AU66" s="935"/>
      <c r="AV66" s="935"/>
      <c r="AW66" s="935"/>
      <c r="AX66" s="935"/>
      <c r="AY66" s="935"/>
      <c r="AZ66" s="935"/>
      <c r="BA66" s="935"/>
      <c r="BB66" s="935"/>
      <c r="BC66" s="935"/>
      <c r="BD66" s="935"/>
      <c r="BE66" s="935"/>
      <c r="BF66" s="935"/>
      <c r="BG66" s="935"/>
      <c r="BH66" s="935"/>
      <c r="BI66" s="935"/>
      <c r="BJ66" s="935"/>
      <c r="BK66" s="935"/>
      <c r="BL66" s="935"/>
      <c r="BM66" s="935"/>
      <c r="BN66" s="935"/>
      <c r="BO66" s="935"/>
      <c r="BP66" s="935"/>
      <c r="BQ66" s="935"/>
      <c r="BR66" s="935"/>
      <c r="BS66" s="935"/>
      <c r="BT66" s="935"/>
    </row>
    <row r="67" spans="1:72" x14ac:dyDescent="0.25">
      <c r="A67" s="935"/>
      <c r="B67" s="935" t="s">
        <v>781</v>
      </c>
      <c r="C67" s="935"/>
      <c r="D67" s="935" t="s">
        <v>782</v>
      </c>
      <c r="E67" s="935"/>
      <c r="F67" s="935"/>
      <c r="G67" s="935"/>
      <c r="H67" s="935"/>
      <c r="I67" s="935"/>
      <c r="J67" s="935"/>
      <c r="K67" s="935"/>
      <c r="L67" s="935"/>
      <c r="M67" s="935"/>
      <c r="N67" s="935"/>
      <c r="O67" s="935"/>
      <c r="P67" s="935"/>
      <c r="Q67" s="935"/>
      <c r="R67" s="935"/>
      <c r="S67" s="935"/>
      <c r="T67" s="935"/>
      <c r="U67" s="935"/>
      <c r="V67" s="935"/>
      <c r="W67" s="935"/>
      <c r="X67" s="935"/>
      <c r="Y67" s="935"/>
      <c r="Z67" s="935"/>
      <c r="AA67" s="935"/>
      <c r="AB67" s="935"/>
      <c r="AC67" s="935"/>
      <c r="AD67" s="935"/>
      <c r="AE67" s="935"/>
      <c r="AF67" s="935"/>
      <c r="AG67" s="935"/>
      <c r="AH67" s="935"/>
      <c r="AI67" s="935"/>
      <c r="AJ67" s="935"/>
      <c r="AK67" s="935"/>
      <c r="AL67" s="935"/>
      <c r="AM67" s="935"/>
      <c r="AN67" s="935"/>
      <c r="AO67" s="935"/>
      <c r="AP67" s="935"/>
      <c r="AQ67" s="935"/>
      <c r="AR67" s="935"/>
      <c r="AS67" s="935"/>
      <c r="AT67" s="935"/>
      <c r="AU67" s="935"/>
      <c r="AV67" s="935"/>
      <c r="AW67" s="935"/>
      <c r="AX67" s="935"/>
      <c r="AY67" s="935"/>
      <c r="AZ67" s="935"/>
      <c r="BA67" s="935"/>
      <c r="BB67" s="935"/>
      <c r="BC67" s="935"/>
      <c r="BD67" s="935"/>
      <c r="BE67" s="935"/>
      <c r="BF67" s="935"/>
      <c r="BG67" s="935"/>
      <c r="BH67" s="935"/>
      <c r="BI67" s="935"/>
      <c r="BJ67" s="935"/>
      <c r="BK67" s="935"/>
      <c r="BL67" s="935"/>
      <c r="BM67" s="935"/>
      <c r="BN67" s="935"/>
      <c r="BO67" s="935"/>
      <c r="BP67" s="935"/>
      <c r="BQ67" s="935"/>
      <c r="BR67" s="935"/>
      <c r="BS67" s="935"/>
      <c r="BT67" s="935"/>
    </row>
    <row r="68" spans="1:72" x14ac:dyDescent="0.25">
      <c r="A68" s="935"/>
      <c r="B68" s="935"/>
      <c r="C68" s="935"/>
      <c r="D68" s="935"/>
      <c r="E68" s="935"/>
      <c r="F68" s="935"/>
      <c r="G68" s="935"/>
      <c r="H68" s="935"/>
      <c r="I68" s="935"/>
      <c r="J68" s="935"/>
      <c r="K68" s="935"/>
      <c r="L68" s="935"/>
      <c r="M68" s="935"/>
      <c r="N68" s="935"/>
      <c r="O68" s="935"/>
      <c r="P68" s="935"/>
      <c r="Q68" s="935"/>
      <c r="R68" s="935"/>
      <c r="S68" s="935"/>
      <c r="T68" s="935"/>
      <c r="U68" s="935"/>
      <c r="V68" s="935"/>
      <c r="W68" s="935"/>
      <c r="X68" s="935"/>
      <c r="Y68" s="935"/>
      <c r="Z68" s="935"/>
      <c r="AA68" s="935"/>
      <c r="AB68" s="935"/>
      <c r="AC68" s="935"/>
      <c r="AD68" s="935"/>
      <c r="AE68" s="935"/>
      <c r="AF68" s="935"/>
      <c r="AG68" s="935"/>
      <c r="AH68" s="935"/>
      <c r="AI68" s="935"/>
      <c r="AJ68" s="935"/>
      <c r="AK68" s="935"/>
      <c r="AL68" s="935"/>
      <c r="AM68" s="935"/>
      <c r="AN68" s="935"/>
      <c r="AO68" s="935"/>
      <c r="AP68" s="935"/>
      <c r="AQ68" s="935"/>
      <c r="AR68" s="935"/>
      <c r="AS68" s="935"/>
      <c r="AT68" s="935"/>
      <c r="AU68" s="935"/>
      <c r="AV68" s="935"/>
      <c r="AW68" s="935"/>
      <c r="AX68" s="935"/>
      <c r="AY68" s="935"/>
      <c r="AZ68" s="935"/>
      <c r="BA68" s="935"/>
      <c r="BB68" s="935"/>
      <c r="BC68" s="935"/>
      <c r="BD68" s="935"/>
      <c r="BE68" s="935"/>
      <c r="BF68" s="935"/>
      <c r="BG68" s="935"/>
      <c r="BH68" s="935"/>
      <c r="BI68" s="935"/>
      <c r="BJ68" s="935"/>
      <c r="BK68" s="935"/>
      <c r="BL68" s="935"/>
      <c r="BM68" s="935"/>
      <c r="BN68" s="935"/>
      <c r="BO68" s="935"/>
      <c r="BP68" s="935"/>
      <c r="BQ68" s="935"/>
      <c r="BR68" s="935"/>
      <c r="BS68" s="935"/>
      <c r="BT68" s="935"/>
    </row>
    <row r="69" spans="1:72" x14ac:dyDescent="0.25">
      <c r="A69" s="935"/>
      <c r="B69" s="935"/>
      <c r="C69" s="935"/>
      <c r="D69" s="935"/>
      <c r="E69" s="935"/>
      <c r="F69" s="935"/>
      <c r="G69" s="935"/>
      <c r="H69" s="935"/>
      <c r="I69" s="935"/>
      <c r="J69" s="935"/>
      <c r="K69" s="935"/>
      <c r="L69" s="935"/>
      <c r="M69" s="935"/>
      <c r="N69" s="935"/>
      <c r="O69" s="935"/>
      <c r="P69" s="935"/>
      <c r="Q69" s="935"/>
      <c r="R69" s="935"/>
      <c r="S69" s="935"/>
      <c r="T69" s="935"/>
      <c r="U69" s="935"/>
      <c r="V69" s="935"/>
      <c r="W69" s="935"/>
      <c r="X69" s="935"/>
      <c r="Y69" s="935"/>
      <c r="Z69" s="935"/>
      <c r="AA69" s="935"/>
      <c r="AB69" s="935"/>
      <c r="AC69" s="935"/>
      <c r="AD69" s="935"/>
      <c r="AE69" s="935"/>
      <c r="AF69" s="935"/>
      <c r="AG69" s="935"/>
      <c r="AH69" s="935"/>
      <c r="AI69" s="935"/>
      <c r="AJ69" s="935"/>
      <c r="AK69" s="935"/>
      <c r="AL69" s="935"/>
      <c r="AM69" s="935"/>
      <c r="AN69" s="935"/>
      <c r="AO69" s="935"/>
      <c r="AP69" s="935"/>
      <c r="AQ69" s="935"/>
      <c r="AR69" s="935"/>
      <c r="AS69" s="935"/>
      <c r="AT69" s="935"/>
      <c r="AU69" s="935"/>
      <c r="AV69" s="935"/>
      <c r="AW69" s="935"/>
      <c r="AX69" s="935"/>
      <c r="AY69" s="935"/>
      <c r="AZ69" s="935"/>
      <c r="BA69" s="935"/>
      <c r="BB69" s="935"/>
      <c r="BC69" s="935"/>
      <c r="BD69" s="935"/>
      <c r="BE69" s="935"/>
      <c r="BF69" s="935"/>
      <c r="BG69" s="935"/>
      <c r="BH69" s="935"/>
      <c r="BI69" s="935"/>
      <c r="BJ69" s="935"/>
      <c r="BK69" s="935"/>
      <c r="BL69" s="935"/>
      <c r="BM69" s="935"/>
      <c r="BN69" s="935"/>
      <c r="BO69" s="935"/>
      <c r="BP69" s="935"/>
      <c r="BQ69" s="935"/>
      <c r="BR69" s="935"/>
      <c r="BS69" s="935"/>
      <c r="BT69" s="935"/>
    </row>
    <row r="70" spans="1:72" x14ac:dyDescent="0.25">
      <c r="A70" s="935"/>
      <c r="B70" s="935"/>
      <c r="C70" s="935"/>
      <c r="D70" s="935"/>
      <c r="E70" s="935"/>
      <c r="F70" s="935"/>
      <c r="G70" s="935"/>
      <c r="H70" s="935"/>
      <c r="I70" s="935"/>
      <c r="J70" s="935"/>
      <c r="K70" s="935"/>
      <c r="L70" s="935"/>
      <c r="M70" s="935"/>
      <c r="N70" s="935"/>
      <c r="O70" s="935"/>
      <c r="P70" s="935"/>
      <c r="Q70" s="935"/>
      <c r="R70" s="935"/>
      <c r="S70" s="935"/>
      <c r="T70" s="935"/>
      <c r="U70" s="935"/>
      <c r="V70" s="935"/>
      <c r="W70" s="935"/>
      <c r="X70" s="935"/>
      <c r="Y70" s="935"/>
      <c r="Z70" s="935"/>
      <c r="AA70" s="935"/>
      <c r="AB70" s="935"/>
      <c r="AC70" s="935"/>
      <c r="AD70" s="935"/>
      <c r="AE70" s="935"/>
      <c r="AF70" s="935"/>
      <c r="AG70" s="935"/>
      <c r="AH70" s="935"/>
      <c r="AI70" s="935"/>
      <c r="AJ70" s="935"/>
      <c r="AK70" s="935"/>
      <c r="AL70" s="935"/>
      <c r="AM70" s="935"/>
      <c r="AN70" s="935"/>
      <c r="AO70" s="935"/>
      <c r="AP70" s="935"/>
      <c r="AQ70" s="935"/>
      <c r="AR70" s="935"/>
      <c r="AS70" s="935"/>
      <c r="AT70" s="935"/>
      <c r="AU70" s="935"/>
      <c r="AV70" s="935"/>
      <c r="AW70" s="935"/>
      <c r="AX70" s="935"/>
      <c r="AY70" s="935"/>
      <c r="AZ70" s="935"/>
      <c r="BA70" s="935"/>
      <c r="BB70" s="935"/>
      <c r="BC70" s="935"/>
      <c r="BD70" s="935"/>
      <c r="BE70" s="935"/>
      <c r="BF70" s="935"/>
      <c r="BG70" s="935"/>
      <c r="BH70" s="935"/>
      <c r="BI70" s="935"/>
      <c r="BJ70" s="935"/>
      <c r="BK70" s="935"/>
      <c r="BL70" s="935"/>
      <c r="BM70" s="935"/>
      <c r="BN70" s="935"/>
      <c r="BO70" s="935"/>
      <c r="BP70" s="935"/>
      <c r="BQ70" s="935"/>
      <c r="BR70" s="935"/>
      <c r="BS70" s="935"/>
      <c r="BT70" s="935"/>
    </row>
    <row r="71" spans="1:72" x14ac:dyDescent="0.25">
      <c r="A71" s="935"/>
      <c r="B71" s="935"/>
      <c r="C71" s="935"/>
      <c r="D71" s="935"/>
      <c r="E71" s="935"/>
      <c r="F71" s="935"/>
      <c r="G71" s="935"/>
      <c r="H71" s="935"/>
      <c r="I71" s="935"/>
      <c r="J71" s="935"/>
      <c r="K71" s="935"/>
      <c r="L71" s="935"/>
      <c r="M71" s="935"/>
      <c r="N71" s="935"/>
      <c r="O71" s="935"/>
      <c r="P71" s="935"/>
      <c r="Q71" s="935"/>
      <c r="R71" s="935"/>
      <c r="S71" s="935"/>
      <c r="T71" s="935"/>
      <c r="U71" s="935"/>
      <c r="V71" s="935"/>
      <c r="W71" s="935"/>
      <c r="X71" s="935"/>
      <c r="Y71" s="935"/>
      <c r="Z71" s="935"/>
      <c r="AA71" s="935"/>
      <c r="AB71" s="935"/>
      <c r="AC71" s="935"/>
      <c r="AD71" s="935"/>
      <c r="AE71" s="935"/>
      <c r="AF71" s="935"/>
      <c r="AG71" s="935"/>
      <c r="AH71" s="935"/>
      <c r="AI71" s="935"/>
      <c r="AJ71" s="935"/>
      <c r="AK71" s="935"/>
      <c r="AL71" s="935"/>
      <c r="AM71" s="935"/>
      <c r="AN71" s="935"/>
      <c r="AO71" s="935"/>
      <c r="AP71" s="935"/>
      <c r="AQ71" s="935"/>
      <c r="AR71" s="935"/>
      <c r="AS71" s="935"/>
      <c r="AT71" s="935"/>
      <c r="AU71" s="935"/>
      <c r="AV71" s="935"/>
      <c r="AW71" s="935"/>
      <c r="AX71" s="935"/>
      <c r="AY71" s="935"/>
      <c r="AZ71" s="935"/>
      <c r="BA71" s="935"/>
      <c r="BB71" s="935"/>
      <c r="BC71" s="935"/>
      <c r="BD71" s="935"/>
      <c r="BE71" s="935"/>
      <c r="BF71" s="935"/>
      <c r="BG71" s="935"/>
      <c r="BH71" s="935"/>
      <c r="BI71" s="935"/>
      <c r="BJ71" s="935"/>
      <c r="BK71" s="935"/>
      <c r="BL71" s="935"/>
      <c r="BM71" s="935"/>
      <c r="BN71" s="935"/>
      <c r="BO71" s="935"/>
      <c r="BP71" s="935"/>
      <c r="BQ71" s="935"/>
      <c r="BR71" s="935"/>
      <c r="BS71" s="935"/>
      <c r="BT71" s="935"/>
    </row>
    <row r="72" spans="1:72" x14ac:dyDescent="0.25">
      <c r="A72" s="935" t="s">
        <v>783</v>
      </c>
      <c r="B72" s="935"/>
      <c r="C72" s="935"/>
      <c r="D72" s="935"/>
      <c r="E72" s="935"/>
      <c r="F72" s="935"/>
      <c r="G72" s="935"/>
      <c r="H72" s="935"/>
      <c r="I72" s="935"/>
      <c r="J72" s="935"/>
      <c r="K72" s="935"/>
      <c r="L72" s="935"/>
      <c r="M72" s="935"/>
      <c r="N72" s="935"/>
      <c r="O72" s="935"/>
      <c r="P72" s="935"/>
      <c r="Q72" s="935"/>
      <c r="R72" s="935"/>
      <c r="S72" s="935"/>
      <c r="T72" s="935"/>
      <c r="U72" s="935"/>
      <c r="V72" s="935"/>
      <c r="W72" s="935"/>
      <c r="X72" s="935"/>
      <c r="Y72" s="935"/>
      <c r="Z72" s="935"/>
      <c r="AA72" s="935"/>
      <c r="AB72" s="935"/>
      <c r="AC72" s="935"/>
      <c r="AD72" s="935"/>
      <c r="AE72" s="935"/>
      <c r="AF72" s="935"/>
      <c r="AG72" s="935"/>
      <c r="AH72" s="935"/>
      <c r="AI72" s="935"/>
      <c r="AJ72" s="935"/>
      <c r="AK72" s="935"/>
      <c r="AL72" s="935"/>
      <c r="AM72" s="935"/>
      <c r="AN72" s="935"/>
      <c r="AO72" s="935"/>
      <c r="AP72" s="935"/>
      <c r="AQ72" s="935"/>
      <c r="AR72" s="935"/>
      <c r="AS72" s="935"/>
      <c r="AT72" s="935"/>
      <c r="AU72" s="935"/>
      <c r="AV72" s="935"/>
      <c r="AW72" s="935"/>
      <c r="AX72" s="935"/>
      <c r="AY72" s="935"/>
      <c r="AZ72" s="935"/>
      <c r="BA72" s="935"/>
      <c r="BB72" s="935"/>
      <c r="BC72" s="935"/>
      <c r="BD72" s="935"/>
      <c r="BE72" s="935"/>
      <c r="BF72" s="935"/>
      <c r="BG72" s="935"/>
      <c r="BH72" s="935"/>
      <c r="BI72" s="935"/>
      <c r="BJ72" s="935"/>
      <c r="BK72" s="935"/>
      <c r="BL72" s="935"/>
      <c r="BM72" s="935"/>
      <c r="BN72" s="935"/>
      <c r="BO72" s="935"/>
      <c r="BP72" s="935"/>
      <c r="BQ72" s="935"/>
      <c r="BR72" s="935"/>
      <c r="BS72" s="935"/>
      <c r="BT72" s="935"/>
    </row>
    <row r="73" spans="1:72" x14ac:dyDescent="0.25">
      <c r="A73" s="935"/>
      <c r="B73" s="935"/>
      <c r="C73" s="935"/>
      <c r="D73" s="935"/>
      <c r="E73" s="935"/>
      <c r="F73" s="935"/>
      <c r="G73" s="935"/>
      <c r="H73" s="935"/>
      <c r="I73" s="935"/>
      <c r="J73" s="935"/>
      <c r="K73" s="935"/>
      <c r="L73" s="935"/>
      <c r="M73" s="935"/>
      <c r="N73" s="935"/>
      <c r="O73" s="935"/>
      <c r="P73" s="935"/>
      <c r="Q73" s="935"/>
      <c r="R73" s="935"/>
      <c r="S73" s="935"/>
      <c r="T73" s="935"/>
      <c r="U73" s="935"/>
      <c r="V73" s="935"/>
      <c r="W73" s="935"/>
      <c r="X73" s="935"/>
      <c r="Y73" s="935"/>
      <c r="Z73" s="935"/>
      <c r="AA73" s="935"/>
      <c r="AB73" s="935"/>
      <c r="AC73" s="935"/>
      <c r="AD73" s="935"/>
      <c r="AE73" s="935"/>
      <c r="AF73" s="935"/>
      <c r="AG73" s="935"/>
      <c r="AH73" s="935"/>
      <c r="AI73" s="935"/>
      <c r="AJ73" s="935"/>
      <c r="AK73" s="935"/>
      <c r="AL73" s="935"/>
      <c r="AM73" s="935"/>
      <c r="AN73" s="935"/>
      <c r="AO73" s="935"/>
      <c r="AP73" s="935"/>
      <c r="AQ73" s="935"/>
      <c r="AR73" s="935"/>
      <c r="AS73" s="935"/>
      <c r="AT73" s="935"/>
      <c r="AU73" s="935"/>
      <c r="AV73" s="935"/>
      <c r="AW73" s="935"/>
      <c r="AX73" s="935"/>
      <c r="AY73" s="935"/>
      <c r="AZ73" s="935"/>
      <c r="BA73" s="935"/>
      <c r="BB73" s="935"/>
      <c r="BC73" s="935"/>
      <c r="BD73" s="935"/>
      <c r="BE73" s="935"/>
      <c r="BF73" s="935"/>
      <c r="BG73" s="935"/>
      <c r="BH73" s="935"/>
      <c r="BI73" s="935"/>
      <c r="BJ73" s="935"/>
      <c r="BK73" s="935"/>
      <c r="BL73" s="935"/>
      <c r="BM73" s="935"/>
      <c r="BN73" s="935"/>
      <c r="BO73" s="935"/>
      <c r="BP73" s="935"/>
      <c r="BQ73" s="935"/>
      <c r="BR73" s="935"/>
      <c r="BS73" s="935"/>
      <c r="BT73" s="935"/>
    </row>
    <row r="74" spans="1:72" x14ac:dyDescent="0.25">
      <c r="A74" s="935" t="s">
        <v>784</v>
      </c>
      <c r="B74" s="935"/>
      <c r="C74" s="935"/>
      <c r="D74" s="935"/>
      <c r="E74" s="935"/>
      <c r="F74" s="935"/>
      <c r="G74" s="935"/>
      <c r="H74" s="935"/>
      <c r="I74" s="935"/>
      <c r="J74" s="935"/>
      <c r="K74" s="935"/>
      <c r="L74" s="935"/>
      <c r="M74" s="935"/>
      <c r="N74" s="935"/>
      <c r="O74" s="935"/>
      <c r="P74" s="935"/>
      <c r="Q74" s="935"/>
      <c r="R74" s="935"/>
      <c r="S74" s="935"/>
      <c r="T74" s="935"/>
      <c r="U74" s="935"/>
      <c r="V74" s="935"/>
      <c r="W74" s="935"/>
      <c r="X74" s="935"/>
      <c r="Y74" s="935"/>
      <c r="Z74" s="935"/>
      <c r="AA74" s="935"/>
      <c r="AB74" s="935"/>
      <c r="AC74" s="935"/>
      <c r="AD74" s="935"/>
      <c r="AE74" s="935"/>
      <c r="AF74" s="935"/>
      <c r="AG74" s="935"/>
      <c r="AH74" s="935"/>
      <c r="AI74" s="935"/>
      <c r="AJ74" s="935"/>
      <c r="AK74" s="935"/>
      <c r="AL74" s="935"/>
      <c r="AM74" s="935"/>
      <c r="AN74" s="935"/>
      <c r="AO74" s="935"/>
      <c r="AP74" s="935"/>
      <c r="AQ74" s="935"/>
      <c r="AR74" s="935"/>
      <c r="AS74" s="935"/>
      <c r="AT74" s="935"/>
      <c r="AU74" s="935"/>
      <c r="AV74" s="935"/>
      <c r="AW74" s="935"/>
      <c r="AX74" s="935"/>
      <c r="AY74" s="935"/>
      <c r="AZ74" s="935"/>
      <c r="BA74" s="935"/>
      <c r="BB74" s="935"/>
      <c r="BC74" s="935"/>
      <c r="BD74" s="935"/>
      <c r="BE74" s="935"/>
      <c r="BF74" s="935"/>
      <c r="BG74" s="935"/>
      <c r="BH74" s="935"/>
      <c r="BI74" s="935"/>
      <c r="BJ74" s="935"/>
      <c r="BK74" s="935"/>
      <c r="BL74" s="935"/>
      <c r="BM74" s="935"/>
      <c r="BN74" s="935"/>
      <c r="BO74" s="935"/>
      <c r="BP74" s="935"/>
      <c r="BQ74" s="935"/>
      <c r="BR74" s="935"/>
      <c r="BS74" s="935"/>
      <c r="BT74" s="935"/>
    </row>
    <row r="75" spans="1:72" x14ac:dyDescent="0.25">
      <c r="A75" s="935" t="s">
        <v>785</v>
      </c>
      <c r="B75" s="935"/>
      <c r="C75" s="935"/>
      <c r="D75" s="935"/>
      <c r="E75" s="935"/>
      <c r="F75" s="935"/>
      <c r="G75" s="935"/>
      <c r="H75" s="935"/>
      <c r="I75" s="935"/>
      <c r="J75" s="935"/>
      <c r="K75" s="935"/>
      <c r="L75" s="935"/>
      <c r="M75" s="935"/>
      <c r="N75" s="935"/>
      <c r="O75" s="935"/>
      <c r="P75" s="935"/>
      <c r="Q75" s="935"/>
      <c r="R75" s="935"/>
      <c r="S75" s="935"/>
      <c r="T75" s="935"/>
      <c r="U75" s="935"/>
      <c r="V75" s="935"/>
      <c r="W75" s="935"/>
      <c r="X75" s="935"/>
      <c r="Y75" s="935"/>
      <c r="Z75" s="935"/>
      <c r="AA75" s="935"/>
      <c r="AB75" s="935"/>
      <c r="AC75" s="935"/>
      <c r="AD75" s="935"/>
      <c r="AE75" s="935"/>
      <c r="AF75" s="935"/>
      <c r="AG75" s="935"/>
      <c r="AH75" s="935"/>
      <c r="AI75" s="935"/>
      <c r="AJ75" s="935"/>
      <c r="AK75" s="935"/>
      <c r="AL75" s="935"/>
      <c r="AM75" s="935"/>
      <c r="AN75" s="935"/>
      <c r="AO75" s="935"/>
      <c r="AP75" s="935"/>
      <c r="AQ75" s="935"/>
      <c r="AR75" s="935"/>
      <c r="AS75" s="935"/>
      <c r="AT75" s="935"/>
      <c r="AU75" s="935"/>
      <c r="AV75" s="935"/>
      <c r="AW75" s="935"/>
      <c r="AX75" s="935"/>
      <c r="AY75" s="935"/>
      <c r="AZ75" s="935"/>
      <c r="BA75" s="935"/>
      <c r="BB75" s="935"/>
      <c r="BC75" s="935"/>
      <c r="BD75" s="935"/>
      <c r="BE75" s="935"/>
      <c r="BF75" s="935"/>
      <c r="BG75" s="935"/>
      <c r="BH75" s="935"/>
      <c r="BI75" s="935"/>
      <c r="BJ75" s="935"/>
      <c r="BK75" s="935"/>
      <c r="BL75" s="935"/>
      <c r="BM75" s="935"/>
      <c r="BN75" s="935"/>
      <c r="BO75" s="935"/>
      <c r="BP75" s="935"/>
      <c r="BQ75" s="935"/>
      <c r="BR75" s="935"/>
      <c r="BS75" s="935"/>
      <c r="BT75" s="935"/>
    </row>
    <row r="76" spans="1:72" x14ac:dyDescent="0.25">
      <c r="A76" s="935"/>
      <c r="B76" s="935"/>
      <c r="C76" s="935"/>
      <c r="D76" s="935"/>
      <c r="E76" s="935"/>
      <c r="F76" s="935"/>
      <c r="G76" s="935"/>
      <c r="H76" s="935"/>
      <c r="I76" s="935"/>
      <c r="J76" s="935"/>
      <c r="K76" s="935"/>
      <c r="L76" s="935"/>
      <c r="M76" s="935"/>
      <c r="N76" s="935"/>
      <c r="O76" s="935"/>
      <c r="P76" s="935"/>
      <c r="Q76" s="935"/>
      <c r="R76" s="935"/>
      <c r="S76" s="935"/>
      <c r="T76" s="935"/>
      <c r="U76" s="935"/>
      <c r="V76" s="935"/>
      <c r="W76" s="935"/>
      <c r="X76" s="935"/>
      <c r="Y76" s="935"/>
      <c r="Z76" s="935"/>
      <c r="AA76" s="935"/>
      <c r="AB76" s="935"/>
      <c r="AC76" s="935"/>
      <c r="AD76" s="935"/>
      <c r="AE76" s="935" t="s">
        <v>786</v>
      </c>
      <c r="AF76" s="935"/>
      <c r="AG76" s="935"/>
      <c r="AH76" s="935"/>
      <c r="AI76" s="935"/>
      <c r="AJ76" s="935"/>
      <c r="AK76" s="935"/>
      <c r="AL76" s="935"/>
      <c r="AM76" s="935"/>
      <c r="AN76" s="935"/>
      <c r="AO76" s="935"/>
      <c r="AP76" s="935"/>
      <c r="AQ76" s="935"/>
      <c r="AR76" s="935"/>
      <c r="AS76" s="935"/>
      <c r="AT76" s="935"/>
      <c r="AU76" s="935"/>
      <c r="AV76" s="935"/>
      <c r="AW76" s="935"/>
      <c r="AX76" s="935"/>
      <c r="AY76" s="935"/>
      <c r="AZ76" s="935"/>
      <c r="BA76" s="935"/>
      <c r="BB76" s="935"/>
      <c r="BC76" s="935"/>
      <c r="BD76" s="935"/>
      <c r="BE76" s="935"/>
      <c r="BF76" s="935"/>
      <c r="BG76" s="935"/>
      <c r="BH76" s="935"/>
      <c r="BI76" s="935"/>
      <c r="BJ76" s="935"/>
      <c r="BK76" s="935"/>
      <c r="BL76" s="935"/>
      <c r="BM76" s="935"/>
      <c r="BN76" s="935"/>
      <c r="BO76" s="935"/>
      <c r="BP76" s="935"/>
      <c r="BQ76" s="935"/>
      <c r="BR76" s="935"/>
      <c r="BS76" s="935"/>
      <c r="BT76" s="935"/>
    </row>
    <row r="77" spans="1:72" x14ac:dyDescent="0.25">
      <c r="A77" s="935" t="s">
        <v>787</v>
      </c>
      <c r="B77" s="935">
        <v>2007</v>
      </c>
      <c r="C77" s="935">
        <v>2008</v>
      </c>
      <c r="D77" s="935">
        <v>2009</v>
      </c>
      <c r="E77" s="935">
        <v>2010</v>
      </c>
      <c r="F77" s="935">
        <v>2011</v>
      </c>
      <c r="G77" s="935">
        <v>2012</v>
      </c>
      <c r="H77" s="935">
        <v>2013</v>
      </c>
      <c r="I77" s="935">
        <v>2014</v>
      </c>
      <c r="J77" s="935">
        <v>2015</v>
      </c>
      <c r="K77" s="935">
        <v>2016</v>
      </c>
      <c r="L77" s="935">
        <v>2017</v>
      </c>
      <c r="M77" s="935">
        <v>2018</v>
      </c>
      <c r="N77" s="935">
        <v>2019</v>
      </c>
      <c r="O77" s="935">
        <v>2020</v>
      </c>
      <c r="P77" s="935">
        <v>2021</v>
      </c>
      <c r="Q77" s="935">
        <v>2022</v>
      </c>
      <c r="R77" s="935">
        <v>2023</v>
      </c>
      <c r="S77" s="935">
        <v>2024</v>
      </c>
      <c r="T77" s="935">
        <v>2025</v>
      </c>
      <c r="U77" s="935">
        <v>2026</v>
      </c>
      <c r="V77" s="935">
        <v>2027</v>
      </c>
      <c r="W77" s="935">
        <v>2028</v>
      </c>
      <c r="X77" s="935">
        <v>2029</v>
      </c>
      <c r="Y77" s="935">
        <v>2030</v>
      </c>
      <c r="Z77" s="935">
        <v>2031</v>
      </c>
      <c r="AA77" s="935">
        <v>2032</v>
      </c>
      <c r="AB77" s="935">
        <v>2033</v>
      </c>
      <c r="AC77" s="935">
        <v>2034</v>
      </c>
      <c r="AD77" s="935">
        <v>2035</v>
      </c>
      <c r="AE77" s="935">
        <v>2035</v>
      </c>
      <c r="AF77" s="935"/>
      <c r="AG77" s="935"/>
      <c r="AH77" s="935"/>
      <c r="AI77" s="935"/>
      <c r="AJ77" s="935"/>
      <c r="AK77" s="935"/>
      <c r="AL77" s="935"/>
      <c r="AM77" s="935"/>
      <c r="AN77" s="935"/>
      <c r="AO77" s="935"/>
      <c r="AP77" s="935"/>
      <c r="AQ77" s="935"/>
      <c r="AR77" s="935"/>
      <c r="AS77" s="935"/>
      <c r="AT77" s="935"/>
      <c r="AU77" s="935"/>
      <c r="AV77" s="935"/>
      <c r="AW77" s="935"/>
      <c r="AX77" s="935"/>
      <c r="AY77" s="935"/>
      <c r="AZ77" s="935"/>
      <c r="BA77" s="935"/>
      <c r="BB77" s="935"/>
      <c r="BC77" s="935"/>
      <c r="BD77" s="935"/>
      <c r="BE77" s="935"/>
      <c r="BF77" s="935"/>
      <c r="BG77" s="935"/>
      <c r="BH77" s="935"/>
      <c r="BI77" s="935"/>
      <c r="BJ77" s="935"/>
      <c r="BK77" s="935"/>
      <c r="BL77" s="935"/>
      <c r="BM77" s="935"/>
      <c r="BN77" s="935"/>
      <c r="BO77" s="935"/>
      <c r="BP77" s="935"/>
      <c r="BQ77" s="935"/>
      <c r="BR77" s="935"/>
      <c r="BS77" s="935"/>
      <c r="BT77" s="935"/>
    </row>
    <row r="78" spans="1:72" x14ac:dyDescent="0.25">
      <c r="A78" s="935"/>
      <c r="B78" s="935"/>
      <c r="C78" s="935"/>
      <c r="D78" s="935"/>
      <c r="E78" s="935"/>
      <c r="F78" s="935"/>
      <c r="G78" s="935"/>
      <c r="H78" s="935"/>
      <c r="I78" s="935"/>
      <c r="J78" s="935"/>
      <c r="K78" s="935"/>
      <c r="L78" s="935"/>
      <c r="M78" s="935"/>
      <c r="N78" s="935"/>
      <c r="O78" s="935"/>
      <c r="P78" s="935"/>
      <c r="Q78" s="935"/>
      <c r="R78" s="935"/>
      <c r="S78" s="935"/>
      <c r="T78" s="935"/>
      <c r="U78" s="935"/>
      <c r="V78" s="935"/>
      <c r="W78" s="935"/>
      <c r="X78" s="935"/>
      <c r="Y78" s="935"/>
      <c r="Z78" s="935"/>
      <c r="AA78" s="935"/>
      <c r="AB78" s="935"/>
      <c r="AC78" s="935"/>
      <c r="AD78" s="935"/>
      <c r="AE78" s="935"/>
      <c r="AF78" s="935"/>
      <c r="AG78" s="935"/>
      <c r="AH78" s="935"/>
      <c r="AI78" s="935"/>
      <c r="AJ78" s="935"/>
      <c r="AK78" s="935"/>
      <c r="AL78" s="935"/>
      <c r="AM78" s="935"/>
      <c r="AN78" s="935"/>
      <c r="AO78" s="935"/>
      <c r="AP78" s="935"/>
      <c r="AQ78" s="935"/>
      <c r="AR78" s="935"/>
      <c r="AS78" s="935"/>
      <c r="AT78" s="935"/>
      <c r="AU78" s="935"/>
      <c r="AV78" s="935"/>
      <c r="AW78" s="935"/>
      <c r="AX78" s="935"/>
      <c r="AY78" s="935"/>
      <c r="AZ78" s="935"/>
      <c r="BA78" s="935"/>
      <c r="BB78" s="935"/>
      <c r="BC78" s="935"/>
      <c r="BD78" s="935"/>
      <c r="BE78" s="935"/>
      <c r="BF78" s="935"/>
      <c r="BG78" s="935"/>
      <c r="BH78" s="935"/>
      <c r="BI78" s="935"/>
      <c r="BJ78" s="935"/>
      <c r="BK78" s="935"/>
      <c r="BL78" s="935"/>
      <c r="BM78" s="935"/>
      <c r="BN78" s="935"/>
      <c r="BO78" s="935"/>
      <c r="BP78" s="935"/>
      <c r="BQ78" s="935"/>
      <c r="BR78" s="935"/>
      <c r="BS78" s="935"/>
      <c r="BT78" s="935"/>
    </row>
    <row r="79" spans="1:72" x14ac:dyDescent="0.25">
      <c r="A79" s="935" t="s">
        <v>473</v>
      </c>
      <c r="B79" s="935"/>
      <c r="C79" s="935"/>
      <c r="D79" s="935"/>
      <c r="E79" s="935"/>
      <c r="F79" s="935"/>
      <c r="G79" s="935"/>
      <c r="H79" s="935"/>
      <c r="I79" s="935"/>
      <c r="J79" s="935"/>
      <c r="K79" s="935"/>
      <c r="L79" s="935"/>
      <c r="M79" s="935"/>
      <c r="N79" s="935"/>
      <c r="O79" s="935"/>
      <c r="P79" s="935"/>
      <c r="Q79" s="935"/>
      <c r="R79" s="935"/>
      <c r="S79" s="935"/>
      <c r="T79" s="935"/>
      <c r="U79" s="935"/>
      <c r="V79" s="935"/>
      <c r="W79" s="935"/>
      <c r="X79" s="935"/>
      <c r="Y79" s="935"/>
      <c r="Z79" s="935"/>
      <c r="AA79" s="935"/>
      <c r="AB79" s="935"/>
      <c r="AC79" s="935"/>
      <c r="AD79" s="935"/>
      <c r="AE79" s="935"/>
      <c r="AF79" s="935"/>
      <c r="AG79" s="935"/>
      <c r="AH79" s="935"/>
      <c r="AI79" s="935"/>
      <c r="AJ79" s="935"/>
      <c r="AK79" s="935"/>
      <c r="AL79" s="935"/>
      <c r="AM79" s="935"/>
      <c r="AN79" s="935"/>
      <c r="AO79" s="935"/>
      <c r="AP79" s="935"/>
      <c r="AQ79" s="935"/>
      <c r="AR79" s="935"/>
      <c r="AS79" s="935"/>
      <c r="AT79" s="935"/>
      <c r="AU79" s="935"/>
      <c r="AV79" s="935"/>
      <c r="AW79" s="935"/>
      <c r="AX79" s="935"/>
      <c r="AY79" s="935"/>
      <c r="AZ79" s="935"/>
      <c r="BA79" s="935"/>
      <c r="BB79" s="935"/>
      <c r="BC79" s="935"/>
      <c r="BD79" s="935"/>
      <c r="BE79" s="935"/>
      <c r="BF79" s="935"/>
      <c r="BG79" s="935"/>
      <c r="BH79" s="935"/>
      <c r="BI79" s="935"/>
      <c r="BJ79" s="935"/>
      <c r="BK79" s="935"/>
      <c r="BL79" s="935"/>
      <c r="BM79" s="935"/>
      <c r="BN79" s="935"/>
      <c r="BO79" s="935"/>
      <c r="BP79" s="935"/>
      <c r="BQ79" s="935"/>
      <c r="BR79" s="935"/>
      <c r="BS79" s="935"/>
      <c r="BT79" s="935"/>
    </row>
    <row r="80" spans="1:72" x14ac:dyDescent="0.25">
      <c r="A80" s="935" t="s">
        <v>609</v>
      </c>
      <c r="B80" s="935">
        <v>26.25</v>
      </c>
      <c r="C80" s="935">
        <v>29.35</v>
      </c>
      <c r="D80" s="935">
        <v>24.9</v>
      </c>
      <c r="E80" s="935">
        <v>24.01</v>
      </c>
      <c r="F80" s="935">
        <v>24.09</v>
      </c>
      <c r="G80" s="935">
        <v>25.25</v>
      </c>
      <c r="H80" s="935">
        <v>26.47</v>
      </c>
      <c r="I80" s="935">
        <v>27.44</v>
      </c>
      <c r="J80" s="935">
        <v>28.03</v>
      </c>
      <c r="K80" s="935">
        <v>28.67</v>
      </c>
      <c r="L80" s="935">
        <v>29.21</v>
      </c>
      <c r="M80" s="935">
        <v>29.8</v>
      </c>
      <c r="N80" s="935">
        <v>30.06</v>
      </c>
      <c r="O80" s="935">
        <v>30.29</v>
      </c>
      <c r="P80" s="935">
        <v>30.53</v>
      </c>
      <c r="Q80" s="935">
        <v>30.73</v>
      </c>
      <c r="R80" s="935">
        <v>31.01</v>
      </c>
      <c r="S80" s="935">
        <v>31.28</v>
      </c>
      <c r="T80" s="935">
        <v>31.55</v>
      </c>
      <c r="U80" s="935">
        <v>31.7</v>
      </c>
      <c r="V80" s="935">
        <v>31.98</v>
      </c>
      <c r="W80" s="935">
        <v>32.229999999999997</v>
      </c>
      <c r="X80" s="935">
        <v>32.590000000000003</v>
      </c>
      <c r="Y80" s="935">
        <v>32.81</v>
      </c>
      <c r="Z80" s="935">
        <v>33.17</v>
      </c>
      <c r="AA80" s="935">
        <v>33.51</v>
      </c>
      <c r="AB80" s="935">
        <v>33.9</v>
      </c>
      <c r="AC80" s="935">
        <v>34.26</v>
      </c>
      <c r="AD80" s="935">
        <v>34.65</v>
      </c>
      <c r="AE80" s="974">
        <v>6.0000000000000001E-3</v>
      </c>
      <c r="AF80" s="935"/>
      <c r="AG80" s="935"/>
      <c r="AH80" s="935"/>
      <c r="AI80" s="935"/>
      <c r="AJ80" s="935"/>
      <c r="AK80" s="935"/>
      <c r="AL80" s="935"/>
      <c r="AM80" s="935"/>
      <c r="AN80" s="935"/>
      <c r="AO80" s="935"/>
      <c r="AP80" s="935"/>
      <c r="AQ80" s="935"/>
      <c r="AR80" s="935"/>
      <c r="AS80" s="935"/>
      <c r="AT80" s="935"/>
      <c r="AU80" s="935"/>
      <c r="AV80" s="935"/>
      <c r="AW80" s="935"/>
      <c r="AX80" s="935"/>
      <c r="AY80" s="935"/>
      <c r="AZ80" s="935"/>
      <c r="BA80" s="935"/>
      <c r="BB80" s="935"/>
      <c r="BC80" s="935"/>
      <c r="BD80" s="935"/>
      <c r="BE80" s="935"/>
      <c r="BF80" s="935"/>
      <c r="BG80" s="935"/>
      <c r="BH80" s="935"/>
      <c r="BI80" s="935"/>
      <c r="BJ80" s="935"/>
      <c r="BK80" s="935"/>
      <c r="BL80" s="935"/>
      <c r="BM80" s="935"/>
      <c r="BN80" s="935"/>
      <c r="BO80" s="935"/>
      <c r="BP80" s="935"/>
      <c r="BQ80" s="935"/>
      <c r="BR80" s="935"/>
      <c r="BS80" s="935"/>
      <c r="BT80" s="935"/>
    </row>
    <row r="81" spans="1:72" x14ac:dyDescent="0.25">
      <c r="A81" s="935" t="s">
        <v>610</v>
      </c>
      <c r="B81" s="935">
        <v>20.3</v>
      </c>
      <c r="C81" s="935">
        <v>24.47</v>
      </c>
      <c r="D81" s="935">
        <v>17.98</v>
      </c>
      <c r="E81" s="935">
        <v>17.57</v>
      </c>
      <c r="F81" s="935">
        <v>17.72</v>
      </c>
      <c r="G81" s="935">
        <v>18.84</v>
      </c>
      <c r="H81" s="935">
        <v>19.86</v>
      </c>
      <c r="I81" s="935">
        <v>20.58</v>
      </c>
      <c r="J81" s="935">
        <v>21.08</v>
      </c>
      <c r="K81" s="935">
        <v>22</v>
      </c>
      <c r="L81" s="935">
        <v>22.66</v>
      </c>
      <c r="M81" s="935">
        <v>23.32</v>
      </c>
      <c r="N81" s="935">
        <v>23.74</v>
      </c>
      <c r="O81" s="935">
        <v>24.1</v>
      </c>
      <c r="P81" s="935">
        <v>24.24</v>
      </c>
      <c r="Q81" s="935">
        <v>24.44</v>
      </c>
      <c r="R81" s="935">
        <v>24.76</v>
      </c>
      <c r="S81" s="935">
        <v>24.94</v>
      </c>
      <c r="T81" s="935">
        <v>25.23</v>
      </c>
      <c r="U81" s="935">
        <v>25.5</v>
      </c>
      <c r="V81" s="935">
        <v>25.72</v>
      </c>
      <c r="W81" s="935">
        <v>26.04</v>
      </c>
      <c r="X81" s="935">
        <v>26.44</v>
      </c>
      <c r="Y81" s="935">
        <v>26.61</v>
      </c>
      <c r="Z81" s="935">
        <v>27.05</v>
      </c>
      <c r="AA81" s="935">
        <v>27.45</v>
      </c>
      <c r="AB81" s="935">
        <v>27.82</v>
      </c>
      <c r="AC81" s="935">
        <v>28.24</v>
      </c>
      <c r="AD81" s="935">
        <v>28.66</v>
      </c>
      <c r="AE81" s="974">
        <v>6.0000000000000001E-3</v>
      </c>
      <c r="AF81" s="935"/>
      <c r="AG81" s="935"/>
      <c r="AH81" s="935"/>
      <c r="AI81" s="935"/>
      <c r="AJ81" s="935"/>
      <c r="AK81" s="935"/>
      <c r="AL81" s="935"/>
      <c r="AM81" s="935"/>
      <c r="AN81" s="935"/>
      <c r="AO81" s="935"/>
      <c r="AP81" s="935"/>
      <c r="AQ81" s="935"/>
      <c r="AR81" s="935"/>
      <c r="AS81" s="935"/>
      <c r="AT81" s="935"/>
      <c r="AU81" s="935"/>
      <c r="AV81" s="935"/>
      <c r="AW81" s="935"/>
      <c r="AX81" s="935"/>
      <c r="AY81" s="935"/>
      <c r="AZ81" s="935"/>
      <c r="BA81" s="935"/>
      <c r="BB81" s="935"/>
      <c r="BC81" s="935"/>
      <c r="BD81" s="935"/>
      <c r="BE81" s="935"/>
      <c r="BF81" s="935"/>
      <c r="BG81" s="935"/>
      <c r="BH81" s="935"/>
      <c r="BI81" s="935"/>
      <c r="BJ81" s="935"/>
      <c r="BK81" s="935"/>
      <c r="BL81" s="935"/>
      <c r="BM81" s="935"/>
      <c r="BN81" s="935"/>
      <c r="BO81" s="935"/>
      <c r="BP81" s="935"/>
      <c r="BQ81" s="935"/>
      <c r="BR81" s="935"/>
      <c r="BS81" s="935"/>
      <c r="BT81" s="935"/>
    </row>
    <row r="82" spans="1:72" x14ac:dyDescent="0.25">
      <c r="A82" s="935" t="s">
        <v>510</v>
      </c>
      <c r="B82" s="935">
        <v>12.94</v>
      </c>
      <c r="C82" s="935">
        <v>13.48</v>
      </c>
      <c r="D82" s="935">
        <v>11.39</v>
      </c>
      <c r="E82" s="935">
        <v>10.89</v>
      </c>
      <c r="F82" s="935">
        <v>11.78</v>
      </c>
      <c r="G82" s="935">
        <v>11.87</v>
      </c>
      <c r="H82" s="935">
        <v>11.48</v>
      </c>
      <c r="I82" s="935">
        <v>11.41</v>
      </c>
      <c r="J82" s="935">
        <v>11.56</v>
      </c>
      <c r="K82" s="935">
        <v>11.65</v>
      </c>
      <c r="L82" s="935">
        <v>11.69</v>
      </c>
      <c r="M82" s="935">
        <v>11.76</v>
      </c>
      <c r="N82" s="935">
        <v>11.83</v>
      </c>
      <c r="O82" s="935">
        <v>11.95</v>
      </c>
      <c r="P82" s="935">
        <v>12.07</v>
      </c>
      <c r="Q82" s="935">
        <v>12.26</v>
      </c>
      <c r="R82" s="935">
        <v>12.29</v>
      </c>
      <c r="S82" s="935">
        <v>12.2</v>
      </c>
      <c r="T82" s="935">
        <v>12.29</v>
      </c>
      <c r="U82" s="935">
        <v>12.46</v>
      </c>
      <c r="V82" s="935">
        <v>12.66</v>
      </c>
      <c r="W82" s="935">
        <v>12.9</v>
      </c>
      <c r="X82" s="935">
        <v>13.16</v>
      </c>
      <c r="Y82" s="935">
        <v>13.44</v>
      </c>
      <c r="Z82" s="935">
        <v>13.78</v>
      </c>
      <c r="AA82" s="935">
        <v>13.93</v>
      </c>
      <c r="AB82" s="935">
        <v>14.03</v>
      </c>
      <c r="AC82" s="935">
        <v>14.25</v>
      </c>
      <c r="AD82" s="935">
        <v>14.4</v>
      </c>
      <c r="AE82" s="974">
        <v>2E-3</v>
      </c>
      <c r="AF82" s="935"/>
      <c r="AG82" s="935"/>
      <c r="AH82" s="935"/>
      <c r="AI82" s="935"/>
      <c r="AJ82" s="935"/>
      <c r="AK82" s="935"/>
      <c r="AL82" s="935"/>
      <c r="AM82" s="935"/>
      <c r="AN82" s="935"/>
      <c r="AO82" s="935"/>
      <c r="AP82" s="935"/>
      <c r="AQ82" s="935"/>
      <c r="AR82" s="935"/>
      <c r="AS82" s="935"/>
      <c r="AT82" s="935"/>
      <c r="AU82" s="935"/>
      <c r="AV82" s="935"/>
      <c r="AW82" s="935"/>
      <c r="AX82" s="935"/>
      <c r="AY82" s="935"/>
      <c r="AZ82" s="935"/>
      <c r="BA82" s="935"/>
      <c r="BB82" s="935"/>
      <c r="BC82" s="935"/>
      <c r="BD82" s="935"/>
      <c r="BE82" s="935"/>
      <c r="BF82" s="935"/>
      <c r="BG82" s="935"/>
      <c r="BH82" s="935"/>
      <c r="BI82" s="935"/>
      <c r="BJ82" s="935"/>
      <c r="BK82" s="935"/>
      <c r="BL82" s="935"/>
      <c r="BM82" s="935"/>
      <c r="BN82" s="935"/>
      <c r="BO82" s="935"/>
      <c r="BP82" s="935"/>
      <c r="BQ82" s="935"/>
      <c r="BR82" s="935"/>
      <c r="BS82" s="935"/>
      <c r="BT82" s="935"/>
    </row>
    <row r="83" spans="1:72" x14ac:dyDescent="0.25">
      <c r="A83" s="935" t="s">
        <v>479</v>
      </c>
      <c r="B83" s="935">
        <v>31.82</v>
      </c>
      <c r="C83" s="935">
        <v>33.29</v>
      </c>
      <c r="D83" s="935">
        <v>32.33</v>
      </c>
      <c r="E83" s="935">
        <v>30.94</v>
      </c>
      <c r="F83" s="935">
        <v>29.9</v>
      </c>
      <c r="G83" s="935">
        <v>31.08</v>
      </c>
      <c r="H83" s="935">
        <v>31.47</v>
      </c>
      <c r="I83" s="935">
        <v>31.49</v>
      </c>
      <c r="J83" s="935">
        <v>31.43</v>
      </c>
      <c r="K83" s="935">
        <v>31.64</v>
      </c>
      <c r="L83" s="935">
        <v>31.8</v>
      </c>
      <c r="M83" s="935">
        <v>31.78</v>
      </c>
      <c r="N83" s="935">
        <v>31.68</v>
      </c>
      <c r="O83" s="935">
        <v>31.84</v>
      </c>
      <c r="P83" s="935">
        <v>32.01</v>
      </c>
      <c r="Q83" s="935">
        <v>32.08</v>
      </c>
      <c r="R83" s="935">
        <v>32.200000000000003</v>
      </c>
      <c r="S83" s="935">
        <v>32.28</v>
      </c>
      <c r="T83" s="935">
        <v>32.26</v>
      </c>
      <c r="U83" s="935">
        <v>32.4</v>
      </c>
      <c r="V83" s="935">
        <v>32.57</v>
      </c>
      <c r="W83" s="935">
        <v>32.729999999999997</v>
      </c>
      <c r="X83" s="935">
        <v>33.130000000000003</v>
      </c>
      <c r="Y83" s="935">
        <v>33.46</v>
      </c>
      <c r="Z83" s="935">
        <v>33.81</v>
      </c>
      <c r="AA83" s="935">
        <v>34.11</v>
      </c>
      <c r="AB83" s="935">
        <v>34.26</v>
      </c>
      <c r="AC83" s="935">
        <v>34.49</v>
      </c>
      <c r="AD83" s="935">
        <v>34.71</v>
      </c>
      <c r="AE83" s="974">
        <v>2E-3</v>
      </c>
      <c r="AF83" s="935"/>
      <c r="AG83" s="935"/>
      <c r="AH83" s="935"/>
      <c r="AI83" s="935"/>
      <c r="AJ83" s="935"/>
      <c r="AK83" s="935"/>
      <c r="AL83" s="935"/>
      <c r="AM83" s="935"/>
      <c r="AN83" s="935"/>
      <c r="AO83" s="935"/>
      <c r="AP83" s="935"/>
      <c r="AQ83" s="935"/>
      <c r="AR83" s="935"/>
      <c r="AS83" s="935"/>
      <c r="AT83" s="935"/>
      <c r="AU83" s="935"/>
      <c r="AV83" s="935"/>
      <c r="AW83" s="935"/>
      <c r="AX83" s="935"/>
      <c r="AY83" s="935"/>
      <c r="AZ83" s="935"/>
      <c r="BA83" s="935"/>
      <c r="BB83" s="935"/>
      <c r="BC83" s="935"/>
      <c r="BD83" s="935"/>
      <c r="BE83" s="935"/>
      <c r="BF83" s="935"/>
      <c r="BG83" s="935"/>
      <c r="BH83" s="935"/>
      <c r="BI83" s="935"/>
      <c r="BJ83" s="935"/>
      <c r="BK83" s="935"/>
      <c r="BL83" s="935"/>
      <c r="BM83" s="935"/>
      <c r="BN83" s="935"/>
      <c r="BO83" s="935"/>
      <c r="BP83" s="935"/>
      <c r="BQ83" s="935"/>
      <c r="BR83" s="935"/>
      <c r="BS83" s="935"/>
      <c r="BT83" s="935"/>
    </row>
    <row r="84" spans="1:72" x14ac:dyDescent="0.25">
      <c r="A84" s="935"/>
      <c r="B84" s="935"/>
      <c r="C84" s="935"/>
      <c r="D84" s="935"/>
      <c r="E84" s="935"/>
      <c r="F84" s="935"/>
      <c r="G84" s="935"/>
      <c r="H84" s="935"/>
      <c r="I84" s="935"/>
      <c r="J84" s="935"/>
      <c r="K84" s="935"/>
      <c r="L84" s="935"/>
      <c r="M84" s="935"/>
      <c r="N84" s="935"/>
      <c r="O84" s="935"/>
      <c r="P84" s="935"/>
      <c r="Q84" s="935"/>
      <c r="R84" s="935"/>
      <c r="S84" s="935"/>
      <c r="T84" s="935"/>
      <c r="U84" s="935"/>
      <c r="V84" s="935"/>
      <c r="W84" s="935"/>
      <c r="X84" s="935"/>
      <c r="Y84" s="935"/>
      <c r="Z84" s="935"/>
      <c r="AA84" s="935"/>
      <c r="AB84" s="935"/>
      <c r="AC84" s="935"/>
      <c r="AD84" s="935"/>
      <c r="AE84" s="935"/>
      <c r="AF84" s="935"/>
      <c r="AG84" s="935"/>
      <c r="AH84" s="935"/>
      <c r="AI84" s="935"/>
      <c r="AJ84" s="935"/>
      <c r="AK84" s="935"/>
      <c r="AL84" s="935"/>
      <c r="AM84" s="935"/>
      <c r="AN84" s="935"/>
      <c r="AO84" s="935"/>
      <c r="AP84" s="935"/>
      <c r="AQ84" s="935"/>
      <c r="AR84" s="935"/>
      <c r="AS84" s="935"/>
      <c r="AT84" s="935"/>
      <c r="AU84" s="935"/>
      <c r="AV84" s="935"/>
      <c r="AW84" s="935"/>
      <c r="AX84" s="935"/>
      <c r="AY84" s="935"/>
      <c r="AZ84" s="935"/>
      <c r="BA84" s="935"/>
      <c r="BB84" s="935"/>
      <c r="BC84" s="935"/>
      <c r="BD84" s="935"/>
      <c r="BE84" s="935"/>
      <c r="BF84" s="935"/>
      <c r="BG84" s="935"/>
      <c r="BH84" s="935"/>
      <c r="BI84" s="935"/>
      <c r="BJ84" s="935"/>
      <c r="BK84" s="935"/>
      <c r="BL84" s="935"/>
      <c r="BM84" s="935"/>
      <c r="BN84" s="935"/>
      <c r="BO84" s="935"/>
      <c r="BP84" s="935"/>
      <c r="BQ84" s="935"/>
      <c r="BR84" s="935"/>
      <c r="BS84" s="935"/>
      <c r="BT84" s="935"/>
    </row>
    <row r="85" spans="1:72" x14ac:dyDescent="0.25">
      <c r="A85" s="935" t="s">
        <v>480</v>
      </c>
      <c r="B85" s="935"/>
      <c r="C85" s="935"/>
      <c r="D85" s="935"/>
      <c r="E85" s="935"/>
      <c r="F85" s="935"/>
      <c r="G85" s="935"/>
      <c r="H85" s="935"/>
      <c r="I85" s="935"/>
      <c r="J85" s="935"/>
      <c r="K85" s="935"/>
      <c r="L85" s="935"/>
      <c r="M85" s="935"/>
      <c r="N85" s="935"/>
      <c r="O85" s="935"/>
      <c r="P85" s="935"/>
      <c r="Q85" s="935"/>
      <c r="R85" s="935"/>
      <c r="S85" s="935"/>
      <c r="T85" s="935"/>
      <c r="U85" s="935"/>
      <c r="V85" s="935"/>
      <c r="W85" s="935"/>
      <c r="X85" s="935"/>
      <c r="Y85" s="935"/>
      <c r="Z85" s="935"/>
      <c r="AA85" s="935"/>
      <c r="AB85" s="935"/>
      <c r="AC85" s="935"/>
      <c r="AD85" s="935"/>
      <c r="AE85" s="935"/>
      <c r="AF85" s="935"/>
      <c r="AG85" s="935"/>
      <c r="AH85" s="935"/>
      <c r="AI85" s="935"/>
      <c r="AJ85" s="935"/>
      <c r="AK85" s="935"/>
      <c r="AL85" s="935"/>
      <c r="AM85" s="935"/>
      <c r="AN85" s="935"/>
      <c r="AO85" s="935"/>
      <c r="AP85" s="935"/>
      <c r="AQ85" s="935"/>
      <c r="AR85" s="935"/>
      <c r="AS85" s="935"/>
      <c r="AT85" s="935"/>
      <c r="AU85" s="935"/>
      <c r="AV85" s="935"/>
      <c r="AW85" s="935"/>
      <c r="AX85" s="935"/>
      <c r="AY85" s="935"/>
      <c r="AZ85" s="935"/>
      <c r="BA85" s="935"/>
      <c r="BB85" s="935"/>
      <c r="BC85" s="935"/>
      <c r="BD85" s="935"/>
      <c r="BE85" s="935"/>
      <c r="BF85" s="935"/>
      <c r="BG85" s="935"/>
      <c r="BH85" s="935"/>
      <c r="BI85" s="935"/>
      <c r="BJ85" s="935"/>
      <c r="BK85" s="935"/>
      <c r="BL85" s="935"/>
      <c r="BM85" s="935"/>
      <c r="BN85" s="935"/>
      <c r="BO85" s="935"/>
      <c r="BP85" s="935"/>
      <c r="BQ85" s="935"/>
      <c r="BR85" s="935"/>
      <c r="BS85" s="935"/>
      <c r="BT85" s="935"/>
    </row>
    <row r="86" spans="1:72" x14ac:dyDescent="0.25">
      <c r="A86" s="935" t="s">
        <v>609</v>
      </c>
      <c r="B86" s="935">
        <v>20.65</v>
      </c>
      <c r="C86" s="935">
        <v>26.15</v>
      </c>
      <c r="D86" s="935">
        <v>19.82</v>
      </c>
      <c r="E86" s="935">
        <v>20.78</v>
      </c>
      <c r="F86" s="935">
        <v>20.86</v>
      </c>
      <c r="G86" s="935">
        <v>22.02</v>
      </c>
      <c r="H86" s="935">
        <v>23.23</v>
      </c>
      <c r="I86" s="935">
        <v>24.19</v>
      </c>
      <c r="J86" s="935">
        <v>24.77</v>
      </c>
      <c r="K86" s="935">
        <v>25.41</v>
      </c>
      <c r="L86" s="935">
        <v>25.95</v>
      </c>
      <c r="M86" s="935">
        <v>26.53</v>
      </c>
      <c r="N86" s="935">
        <v>26.79</v>
      </c>
      <c r="O86" s="935">
        <v>27.02</v>
      </c>
      <c r="P86" s="935">
        <v>27.25</v>
      </c>
      <c r="Q86" s="935">
        <v>27.46</v>
      </c>
      <c r="R86" s="935">
        <v>27.73</v>
      </c>
      <c r="S86" s="935">
        <v>28</v>
      </c>
      <c r="T86" s="935">
        <v>28.26</v>
      </c>
      <c r="U86" s="935">
        <v>28.41</v>
      </c>
      <c r="V86" s="935">
        <v>28.68</v>
      </c>
      <c r="W86" s="935">
        <v>28.93</v>
      </c>
      <c r="X86" s="935">
        <v>29.28</v>
      </c>
      <c r="Y86" s="935">
        <v>29.5</v>
      </c>
      <c r="Z86" s="935">
        <v>29.86</v>
      </c>
      <c r="AA86" s="935">
        <v>30.19</v>
      </c>
      <c r="AB86" s="935">
        <v>30.58</v>
      </c>
      <c r="AC86" s="935">
        <v>30.94</v>
      </c>
      <c r="AD86" s="935">
        <v>31.32</v>
      </c>
      <c r="AE86" s="974">
        <v>7.0000000000000001E-3</v>
      </c>
      <c r="AF86" s="935"/>
      <c r="AG86" s="935"/>
      <c r="AH86" s="935"/>
      <c r="AI86" s="935"/>
      <c r="AJ86" s="935"/>
      <c r="AK86" s="935"/>
      <c r="AL86" s="935"/>
      <c r="AM86" s="935"/>
      <c r="AN86" s="935"/>
      <c r="AO86" s="935"/>
      <c r="AP86" s="935"/>
      <c r="AQ86" s="935"/>
      <c r="AR86" s="935"/>
      <c r="AS86" s="935"/>
      <c r="AT86" s="935"/>
      <c r="AU86" s="935"/>
      <c r="AV86" s="935"/>
      <c r="AW86" s="935"/>
      <c r="AX86" s="935"/>
      <c r="AY86" s="935"/>
      <c r="AZ86" s="935"/>
      <c r="BA86" s="935"/>
      <c r="BB86" s="935"/>
      <c r="BC86" s="935"/>
      <c r="BD86" s="935"/>
      <c r="BE86" s="935"/>
      <c r="BF86" s="935"/>
      <c r="BG86" s="935"/>
      <c r="BH86" s="935"/>
      <c r="BI86" s="935"/>
      <c r="BJ86" s="935"/>
      <c r="BK86" s="935"/>
      <c r="BL86" s="935"/>
      <c r="BM86" s="935"/>
      <c r="BN86" s="935"/>
      <c r="BO86" s="935"/>
      <c r="BP86" s="935"/>
      <c r="BQ86" s="935"/>
      <c r="BR86" s="935"/>
      <c r="BS86" s="935"/>
      <c r="BT86" s="935"/>
    </row>
    <row r="87" spans="1:72" x14ac:dyDescent="0.25">
      <c r="A87" s="935" t="s">
        <v>610</v>
      </c>
      <c r="B87" s="935">
        <v>17.48</v>
      </c>
      <c r="C87" s="935">
        <v>21.5</v>
      </c>
      <c r="D87" s="935">
        <v>15.8</v>
      </c>
      <c r="E87" s="935">
        <v>14.82</v>
      </c>
      <c r="F87" s="935">
        <v>15.24</v>
      </c>
      <c r="G87" s="935">
        <v>16.38</v>
      </c>
      <c r="H87" s="935">
        <v>17.399999999999999</v>
      </c>
      <c r="I87" s="935">
        <v>18.11</v>
      </c>
      <c r="J87" s="935">
        <v>18.72</v>
      </c>
      <c r="K87" s="935">
        <v>19.559999999999999</v>
      </c>
      <c r="L87" s="935">
        <v>20.2</v>
      </c>
      <c r="M87" s="935">
        <v>20.84</v>
      </c>
      <c r="N87" s="935">
        <v>21.26</v>
      </c>
      <c r="O87" s="935">
        <v>21.6</v>
      </c>
      <c r="P87" s="935">
        <v>21.78</v>
      </c>
      <c r="Q87" s="935">
        <v>22.04</v>
      </c>
      <c r="R87" s="935">
        <v>22.29</v>
      </c>
      <c r="S87" s="935">
        <v>22.43</v>
      </c>
      <c r="T87" s="935">
        <v>22.72</v>
      </c>
      <c r="U87" s="935">
        <v>22.97</v>
      </c>
      <c r="V87" s="935">
        <v>23.21</v>
      </c>
      <c r="W87" s="935">
        <v>23.53</v>
      </c>
      <c r="X87" s="935">
        <v>23.93</v>
      </c>
      <c r="Y87" s="935">
        <v>24.11</v>
      </c>
      <c r="Z87" s="935">
        <v>24.54</v>
      </c>
      <c r="AA87" s="935">
        <v>24.94</v>
      </c>
      <c r="AB87" s="935">
        <v>25.28</v>
      </c>
      <c r="AC87" s="935">
        <v>25.69</v>
      </c>
      <c r="AD87" s="935">
        <v>26.13</v>
      </c>
      <c r="AE87" s="974">
        <v>7.0000000000000001E-3</v>
      </c>
      <c r="AF87" s="935"/>
      <c r="AG87" s="935"/>
      <c r="AH87" s="935"/>
      <c r="AI87" s="935"/>
      <c r="AJ87" s="935"/>
      <c r="AK87" s="935"/>
      <c r="AL87" s="935"/>
      <c r="AM87" s="935"/>
      <c r="AN87" s="935"/>
      <c r="AO87" s="935"/>
      <c r="AP87" s="935"/>
      <c r="AQ87" s="935"/>
      <c r="AR87" s="935"/>
      <c r="AS87" s="935"/>
      <c r="AT87" s="935"/>
      <c r="AU87" s="935"/>
      <c r="AV87" s="935"/>
      <c r="AW87" s="935"/>
      <c r="AX87" s="935"/>
      <c r="AY87" s="935"/>
      <c r="AZ87" s="935"/>
      <c r="BA87" s="935"/>
      <c r="BB87" s="935"/>
      <c r="BC87" s="935"/>
      <c r="BD87" s="935"/>
      <c r="BE87" s="935"/>
      <c r="BF87" s="935"/>
      <c r="BG87" s="935"/>
      <c r="BH87" s="935"/>
      <c r="BI87" s="935"/>
      <c r="BJ87" s="935"/>
      <c r="BK87" s="935"/>
      <c r="BL87" s="935"/>
      <c r="BM87" s="935"/>
      <c r="BN87" s="935"/>
      <c r="BO87" s="935"/>
      <c r="BP87" s="935"/>
      <c r="BQ87" s="935"/>
      <c r="BR87" s="935"/>
      <c r="BS87" s="935"/>
      <c r="BT87" s="935"/>
    </row>
    <row r="88" spans="1:72" x14ac:dyDescent="0.25">
      <c r="A88" s="935" t="s">
        <v>723</v>
      </c>
      <c r="B88" s="935">
        <v>8.39</v>
      </c>
      <c r="C88" s="935">
        <v>15.52</v>
      </c>
      <c r="D88" s="935">
        <v>9.27</v>
      </c>
      <c r="E88" s="935">
        <v>9.4499999999999993</v>
      </c>
      <c r="F88" s="935">
        <v>9.6300000000000008</v>
      </c>
      <c r="G88" s="935">
        <v>10.85</v>
      </c>
      <c r="H88" s="935">
        <v>11.98</v>
      </c>
      <c r="I88" s="935">
        <v>12.76</v>
      </c>
      <c r="J88" s="935">
        <v>13.13</v>
      </c>
      <c r="K88" s="935">
        <v>13.68</v>
      </c>
      <c r="L88" s="935">
        <v>14.17</v>
      </c>
      <c r="M88" s="935">
        <v>14.69</v>
      </c>
      <c r="N88" s="935">
        <v>15.26</v>
      </c>
      <c r="O88" s="935">
        <v>15.46</v>
      </c>
      <c r="P88" s="935">
        <v>15.68</v>
      </c>
      <c r="Q88" s="935">
        <v>15.89</v>
      </c>
      <c r="R88" s="935">
        <v>16.12</v>
      </c>
      <c r="S88" s="935">
        <v>16.34</v>
      </c>
      <c r="T88" s="935">
        <v>16.54</v>
      </c>
      <c r="U88" s="935">
        <v>16.63</v>
      </c>
      <c r="V88" s="935">
        <v>16.82</v>
      </c>
      <c r="W88" s="935">
        <v>17.059999999999999</v>
      </c>
      <c r="X88" s="935">
        <v>17.28</v>
      </c>
      <c r="Y88" s="935">
        <v>17.54</v>
      </c>
      <c r="Z88" s="935">
        <v>17.89</v>
      </c>
      <c r="AA88" s="935">
        <v>18.12</v>
      </c>
      <c r="AB88" s="935">
        <v>18.25</v>
      </c>
      <c r="AC88" s="935">
        <v>18.68</v>
      </c>
      <c r="AD88" s="935">
        <v>18.84</v>
      </c>
      <c r="AE88" s="974">
        <v>7.0000000000000001E-3</v>
      </c>
      <c r="AF88" s="935"/>
      <c r="AG88" s="935"/>
      <c r="AH88" s="935"/>
      <c r="AI88" s="935"/>
      <c r="AJ88" s="935"/>
      <c r="AK88" s="935"/>
      <c r="AL88" s="935"/>
      <c r="AM88" s="935"/>
      <c r="AN88" s="935"/>
      <c r="AO88" s="935"/>
      <c r="AP88" s="935"/>
      <c r="AQ88" s="935"/>
      <c r="AR88" s="935"/>
      <c r="AS88" s="935"/>
      <c r="AT88" s="935"/>
      <c r="AU88" s="935"/>
      <c r="AV88" s="935"/>
      <c r="AW88" s="935"/>
      <c r="AX88" s="935"/>
      <c r="AY88" s="935"/>
      <c r="AZ88" s="935"/>
      <c r="BA88" s="935"/>
      <c r="BB88" s="935"/>
      <c r="BC88" s="935"/>
      <c r="BD88" s="935"/>
      <c r="BE88" s="935"/>
      <c r="BF88" s="935"/>
      <c r="BG88" s="935"/>
      <c r="BH88" s="935"/>
      <c r="BI88" s="935"/>
      <c r="BJ88" s="935"/>
      <c r="BK88" s="935"/>
      <c r="BL88" s="935"/>
      <c r="BM88" s="935"/>
      <c r="BN88" s="935"/>
      <c r="BO88" s="935"/>
      <c r="BP88" s="935"/>
      <c r="BQ88" s="935"/>
      <c r="BR88" s="935"/>
      <c r="BS88" s="935"/>
      <c r="BT88" s="935"/>
    </row>
    <row r="89" spans="1:72" x14ac:dyDescent="0.25">
      <c r="A89" s="935" t="s">
        <v>510</v>
      </c>
      <c r="B89" s="935">
        <v>11.2</v>
      </c>
      <c r="C89" s="935">
        <v>11.94</v>
      </c>
      <c r="D89" s="935">
        <v>9.0500000000000007</v>
      </c>
      <c r="E89" s="935">
        <v>8.67</v>
      </c>
      <c r="F89" s="935">
        <v>9.7200000000000006</v>
      </c>
      <c r="G89" s="935">
        <v>10.07</v>
      </c>
      <c r="H89" s="935">
        <v>9.92</v>
      </c>
      <c r="I89" s="935">
        <v>9.85</v>
      </c>
      <c r="J89" s="935">
        <v>9.99</v>
      </c>
      <c r="K89" s="935">
        <v>10.08</v>
      </c>
      <c r="L89" s="935">
        <v>10.11</v>
      </c>
      <c r="M89" s="935">
        <v>10.16</v>
      </c>
      <c r="N89" s="935">
        <v>10.23</v>
      </c>
      <c r="O89" s="935">
        <v>10.35</v>
      </c>
      <c r="P89" s="935">
        <v>10.46</v>
      </c>
      <c r="Q89" s="935">
        <v>10.65</v>
      </c>
      <c r="R89" s="935">
        <v>10.69</v>
      </c>
      <c r="S89" s="935">
        <v>10.62</v>
      </c>
      <c r="T89" s="935">
        <v>10.7</v>
      </c>
      <c r="U89" s="935">
        <v>10.86</v>
      </c>
      <c r="V89" s="935">
        <v>11.04</v>
      </c>
      <c r="W89" s="935">
        <v>11.28</v>
      </c>
      <c r="X89" s="935">
        <v>11.52</v>
      </c>
      <c r="Y89" s="935">
        <v>11.78</v>
      </c>
      <c r="Z89" s="935">
        <v>12.11</v>
      </c>
      <c r="AA89" s="935">
        <v>12.26</v>
      </c>
      <c r="AB89" s="935">
        <v>12.32</v>
      </c>
      <c r="AC89" s="935">
        <v>12.52</v>
      </c>
      <c r="AD89" s="935">
        <v>12.66</v>
      </c>
      <c r="AE89" s="974">
        <v>2E-3</v>
      </c>
      <c r="AF89" s="935"/>
      <c r="AG89" s="935"/>
      <c r="AH89" s="935"/>
      <c r="AI89" s="935"/>
      <c r="AJ89" s="935"/>
      <c r="AK89" s="935"/>
      <c r="AL89" s="935"/>
      <c r="AM89" s="935"/>
      <c r="AN89" s="935"/>
      <c r="AO89" s="935"/>
      <c r="AP89" s="935"/>
      <c r="AQ89" s="935"/>
      <c r="AR89" s="935"/>
      <c r="AS89" s="935"/>
      <c r="AT89" s="935"/>
      <c r="AU89" s="935"/>
      <c r="AV89" s="935"/>
      <c r="AW89" s="935"/>
      <c r="AX89" s="935"/>
      <c r="AY89" s="935"/>
      <c r="AZ89" s="935"/>
      <c r="BA89" s="935"/>
      <c r="BB89" s="935"/>
      <c r="BC89" s="935"/>
      <c r="BD89" s="935"/>
      <c r="BE89" s="935"/>
      <c r="BF89" s="935"/>
      <c r="BG89" s="935"/>
      <c r="BH89" s="935"/>
      <c r="BI89" s="935"/>
      <c r="BJ89" s="935"/>
      <c r="BK89" s="935"/>
      <c r="BL89" s="935"/>
      <c r="BM89" s="935"/>
      <c r="BN89" s="935"/>
      <c r="BO89" s="935"/>
      <c r="BP89" s="935"/>
      <c r="BQ89" s="935"/>
      <c r="BR89" s="935"/>
      <c r="BS89" s="935"/>
      <c r="BT89" s="935"/>
    </row>
    <row r="90" spans="1:72" x14ac:dyDescent="0.25">
      <c r="A90" s="935" t="s">
        <v>479</v>
      </c>
      <c r="B90" s="935">
        <v>28.81</v>
      </c>
      <c r="C90" s="935">
        <v>30.47</v>
      </c>
      <c r="D90" s="935">
        <v>28.94</v>
      </c>
      <c r="E90" s="935">
        <v>27.37</v>
      </c>
      <c r="F90" s="935">
        <v>25.72</v>
      </c>
      <c r="G90" s="935">
        <v>26.72</v>
      </c>
      <c r="H90" s="935">
        <v>26.81</v>
      </c>
      <c r="I90" s="935">
        <v>26.55</v>
      </c>
      <c r="J90" s="935">
        <v>26.55</v>
      </c>
      <c r="K90" s="935">
        <v>26.81</v>
      </c>
      <c r="L90" s="935">
        <v>26.97</v>
      </c>
      <c r="M90" s="935">
        <v>26.98</v>
      </c>
      <c r="N90" s="935">
        <v>26.93</v>
      </c>
      <c r="O90" s="935">
        <v>27.12</v>
      </c>
      <c r="P90" s="935">
        <v>27.31</v>
      </c>
      <c r="Q90" s="935">
        <v>27.42</v>
      </c>
      <c r="R90" s="935">
        <v>27.62</v>
      </c>
      <c r="S90" s="935">
        <v>27.77</v>
      </c>
      <c r="T90" s="935">
        <v>27.72</v>
      </c>
      <c r="U90" s="935">
        <v>27.87</v>
      </c>
      <c r="V90" s="935">
        <v>28.05</v>
      </c>
      <c r="W90" s="935">
        <v>28.25</v>
      </c>
      <c r="X90" s="935">
        <v>28.67</v>
      </c>
      <c r="Y90" s="935">
        <v>28.99</v>
      </c>
      <c r="Z90" s="935">
        <v>29.37</v>
      </c>
      <c r="AA90" s="935">
        <v>29.73</v>
      </c>
      <c r="AB90" s="935">
        <v>29.9</v>
      </c>
      <c r="AC90" s="935">
        <v>30.15</v>
      </c>
      <c r="AD90" s="935">
        <v>30.37</v>
      </c>
      <c r="AE90" s="974">
        <v>0</v>
      </c>
      <c r="AF90" s="935"/>
      <c r="AG90" s="935"/>
      <c r="AH90" s="935"/>
      <c r="AI90" s="935"/>
      <c r="AJ90" s="935"/>
      <c r="AK90" s="935"/>
      <c r="AL90" s="935"/>
      <c r="AM90" s="935"/>
      <c r="AN90" s="935"/>
      <c r="AO90" s="935"/>
      <c r="AP90" s="935"/>
      <c r="AQ90" s="935"/>
      <c r="AR90" s="935"/>
      <c r="AS90" s="935"/>
      <c r="AT90" s="935"/>
      <c r="AU90" s="935"/>
      <c r="AV90" s="935"/>
      <c r="AW90" s="935"/>
      <c r="AX90" s="935"/>
      <c r="AY90" s="935"/>
      <c r="AZ90" s="935"/>
      <c r="BA90" s="935"/>
      <c r="BB90" s="935"/>
      <c r="BC90" s="935"/>
      <c r="BD90" s="935"/>
      <c r="BE90" s="935"/>
      <c r="BF90" s="935"/>
      <c r="BG90" s="935"/>
      <c r="BH90" s="935"/>
      <c r="BI90" s="935"/>
      <c r="BJ90" s="935"/>
      <c r="BK90" s="935"/>
      <c r="BL90" s="935"/>
      <c r="BM90" s="935"/>
      <c r="BN90" s="935"/>
      <c r="BO90" s="935"/>
      <c r="BP90" s="935"/>
      <c r="BQ90" s="935"/>
      <c r="BR90" s="935"/>
      <c r="BS90" s="935"/>
      <c r="BT90" s="935"/>
    </row>
    <row r="91" spans="1:72" x14ac:dyDescent="0.25">
      <c r="A91" s="935"/>
      <c r="B91" s="935"/>
      <c r="C91" s="935"/>
      <c r="D91" s="935"/>
      <c r="E91" s="935"/>
      <c r="F91" s="935"/>
      <c r="G91" s="935"/>
      <c r="H91" s="935"/>
      <c r="I91" s="935"/>
      <c r="J91" s="935"/>
      <c r="K91" s="935"/>
      <c r="L91" s="935"/>
      <c r="M91" s="935"/>
      <c r="N91" s="935"/>
      <c r="O91" s="935"/>
      <c r="P91" s="935"/>
      <c r="Q91" s="935"/>
      <c r="R91" s="935"/>
      <c r="S91" s="935"/>
      <c r="T91" s="935"/>
      <c r="U91" s="935"/>
      <c r="V91" s="935"/>
      <c r="W91" s="935"/>
      <c r="X91" s="935"/>
      <c r="Y91" s="935"/>
      <c r="Z91" s="935"/>
      <c r="AA91" s="935"/>
      <c r="AB91" s="935"/>
      <c r="AC91" s="935"/>
      <c r="AD91" s="935"/>
      <c r="AE91" s="935"/>
      <c r="AF91" s="935"/>
      <c r="AG91" s="935"/>
      <c r="AH91" s="935"/>
      <c r="AI91" s="935"/>
      <c r="AJ91" s="935"/>
      <c r="AK91" s="935"/>
      <c r="AL91" s="935"/>
      <c r="AM91" s="935"/>
      <c r="AN91" s="935"/>
      <c r="AO91" s="935"/>
      <c r="AP91" s="935"/>
      <c r="AQ91" s="935"/>
      <c r="AR91" s="935"/>
      <c r="AS91" s="935"/>
      <c r="AT91" s="935"/>
      <c r="AU91" s="935"/>
      <c r="AV91" s="935"/>
      <c r="AW91" s="935"/>
      <c r="AX91" s="935"/>
      <c r="AY91" s="935"/>
      <c r="AZ91" s="935"/>
      <c r="BA91" s="935"/>
      <c r="BB91" s="935"/>
      <c r="BC91" s="935"/>
      <c r="BD91" s="935"/>
      <c r="BE91" s="935"/>
      <c r="BF91" s="935"/>
      <c r="BG91" s="935"/>
      <c r="BH91" s="935"/>
      <c r="BI91" s="935"/>
      <c r="BJ91" s="935"/>
      <c r="BK91" s="935"/>
      <c r="BL91" s="935"/>
      <c r="BM91" s="935"/>
      <c r="BN91" s="935"/>
      <c r="BO91" s="935"/>
      <c r="BP91" s="935"/>
      <c r="BQ91" s="935"/>
      <c r="BR91" s="935"/>
      <c r="BS91" s="935"/>
      <c r="BT91" s="935"/>
    </row>
    <row r="92" spans="1:72" x14ac:dyDescent="0.25">
      <c r="A92" s="935" t="s">
        <v>612</v>
      </c>
      <c r="B92" s="935"/>
      <c r="C92" s="935"/>
      <c r="D92" s="935"/>
      <c r="E92" s="935"/>
      <c r="F92" s="935"/>
      <c r="G92" s="935"/>
      <c r="H92" s="935"/>
      <c r="I92" s="935"/>
      <c r="J92" s="935"/>
      <c r="K92" s="935"/>
      <c r="L92" s="935"/>
      <c r="M92" s="935"/>
      <c r="N92" s="935"/>
      <c r="O92" s="935"/>
      <c r="P92" s="935"/>
      <c r="Q92" s="935"/>
      <c r="R92" s="935"/>
      <c r="S92" s="935"/>
      <c r="T92" s="935"/>
      <c r="U92" s="935"/>
      <c r="V92" s="935"/>
      <c r="W92" s="935"/>
      <c r="X92" s="935"/>
      <c r="Y92" s="935"/>
      <c r="Z92" s="935"/>
      <c r="AA92" s="935"/>
      <c r="AB92" s="935"/>
      <c r="AC92" s="935"/>
      <c r="AD92" s="935"/>
      <c r="AE92" s="935"/>
      <c r="AF92" s="935"/>
      <c r="AG92" s="935"/>
      <c r="AH92" s="935"/>
      <c r="AI92" s="935"/>
      <c r="AJ92" s="935"/>
      <c r="AK92" s="935"/>
      <c r="AL92" s="935"/>
      <c r="AM92" s="935"/>
      <c r="AN92" s="935"/>
      <c r="AO92" s="935"/>
      <c r="AP92" s="935"/>
      <c r="AQ92" s="935"/>
      <c r="AR92" s="935"/>
      <c r="AS92" s="935"/>
      <c r="AT92" s="935"/>
      <c r="AU92" s="935"/>
      <c r="AV92" s="935"/>
      <c r="AW92" s="935"/>
      <c r="AX92" s="935"/>
      <c r="AY92" s="935"/>
      <c r="AZ92" s="935"/>
      <c r="BA92" s="935"/>
      <c r="BB92" s="935"/>
      <c r="BC92" s="935"/>
      <c r="BD92" s="935"/>
      <c r="BE92" s="935"/>
      <c r="BF92" s="935"/>
      <c r="BG92" s="935"/>
      <c r="BH92" s="935"/>
      <c r="BI92" s="935"/>
      <c r="BJ92" s="935"/>
      <c r="BK92" s="935"/>
      <c r="BL92" s="935"/>
      <c r="BM92" s="935"/>
      <c r="BN92" s="935"/>
      <c r="BO92" s="935"/>
      <c r="BP92" s="935"/>
      <c r="BQ92" s="935"/>
      <c r="BR92" s="935"/>
      <c r="BS92" s="935"/>
      <c r="BT92" s="935"/>
    </row>
    <row r="93" spans="1:72" x14ac:dyDescent="0.25">
      <c r="A93" s="935" t="s">
        <v>609</v>
      </c>
      <c r="B93" s="935">
        <v>22.01</v>
      </c>
      <c r="C93" s="935">
        <v>24.2</v>
      </c>
      <c r="D93" s="935">
        <v>18.64</v>
      </c>
      <c r="E93" s="935">
        <v>18.36</v>
      </c>
      <c r="F93" s="935">
        <v>18.46</v>
      </c>
      <c r="G93" s="935">
        <v>19.61</v>
      </c>
      <c r="H93" s="935">
        <v>20.9</v>
      </c>
      <c r="I93" s="935">
        <v>21.9</v>
      </c>
      <c r="J93" s="935">
        <v>22.49</v>
      </c>
      <c r="K93" s="935">
        <v>23.25</v>
      </c>
      <c r="L93" s="935">
        <v>23.76</v>
      </c>
      <c r="M93" s="935">
        <v>24.31</v>
      </c>
      <c r="N93" s="935">
        <v>24.62</v>
      </c>
      <c r="O93" s="935">
        <v>24.86</v>
      </c>
      <c r="P93" s="935">
        <v>25.09</v>
      </c>
      <c r="Q93" s="935">
        <v>25.3</v>
      </c>
      <c r="R93" s="935">
        <v>25.59</v>
      </c>
      <c r="S93" s="935">
        <v>25.86</v>
      </c>
      <c r="T93" s="935">
        <v>26.12</v>
      </c>
      <c r="U93" s="935">
        <v>26.27</v>
      </c>
      <c r="V93" s="935">
        <v>26.55</v>
      </c>
      <c r="W93" s="935">
        <v>26.8</v>
      </c>
      <c r="X93" s="935">
        <v>27.15</v>
      </c>
      <c r="Y93" s="935">
        <v>27.38</v>
      </c>
      <c r="Z93" s="935">
        <v>27.74</v>
      </c>
      <c r="AA93" s="935">
        <v>28.08</v>
      </c>
      <c r="AB93" s="935">
        <v>28.48</v>
      </c>
      <c r="AC93" s="935">
        <v>28.86</v>
      </c>
      <c r="AD93" s="935">
        <v>29.25</v>
      </c>
      <c r="AE93" s="974">
        <v>7.0000000000000001E-3</v>
      </c>
      <c r="AF93" s="935"/>
      <c r="AG93" s="935"/>
      <c r="AH93" s="935"/>
      <c r="AI93" s="935"/>
      <c r="AJ93" s="935"/>
      <c r="AK93" s="935"/>
      <c r="AL93" s="935"/>
      <c r="AM93" s="935"/>
      <c r="AN93" s="935"/>
      <c r="AO93" s="935"/>
      <c r="AP93" s="935"/>
      <c r="AQ93" s="935"/>
      <c r="AR93" s="935"/>
      <c r="AS93" s="935"/>
      <c r="AT93" s="935"/>
      <c r="AU93" s="935"/>
      <c r="AV93" s="935"/>
      <c r="AW93" s="935"/>
      <c r="AX93" s="935"/>
      <c r="AY93" s="935"/>
      <c r="AZ93" s="935"/>
      <c r="BA93" s="935"/>
      <c r="BB93" s="935"/>
      <c r="BC93" s="935"/>
      <c r="BD93" s="935"/>
      <c r="BE93" s="935"/>
      <c r="BF93" s="935"/>
      <c r="BG93" s="935"/>
      <c r="BH93" s="935"/>
      <c r="BI93" s="935"/>
      <c r="BJ93" s="935"/>
      <c r="BK93" s="935"/>
      <c r="BL93" s="935"/>
      <c r="BM93" s="935"/>
      <c r="BN93" s="935"/>
      <c r="BO93" s="935"/>
      <c r="BP93" s="935"/>
      <c r="BQ93" s="935"/>
      <c r="BR93" s="935"/>
      <c r="BS93" s="935"/>
      <c r="BT93" s="935"/>
    </row>
    <row r="94" spans="1:72" x14ac:dyDescent="0.25">
      <c r="A94" s="935" t="s">
        <v>610</v>
      </c>
      <c r="B94" s="935">
        <v>18.07</v>
      </c>
      <c r="C94" s="935">
        <v>22.31</v>
      </c>
      <c r="D94" s="935">
        <v>16.399999999999999</v>
      </c>
      <c r="E94" s="935">
        <v>14.38</v>
      </c>
      <c r="F94" s="935">
        <v>15.38</v>
      </c>
      <c r="G94" s="935">
        <v>16.55</v>
      </c>
      <c r="H94" s="935">
        <v>17.59</v>
      </c>
      <c r="I94" s="935">
        <v>18.32</v>
      </c>
      <c r="J94" s="935">
        <v>19</v>
      </c>
      <c r="K94" s="935">
        <v>19.8</v>
      </c>
      <c r="L94" s="935">
        <v>20.440000000000001</v>
      </c>
      <c r="M94" s="935">
        <v>21.08</v>
      </c>
      <c r="N94" s="935">
        <v>21.49</v>
      </c>
      <c r="O94" s="935">
        <v>21.83</v>
      </c>
      <c r="P94" s="935">
        <v>22.03</v>
      </c>
      <c r="Q94" s="935">
        <v>22.36</v>
      </c>
      <c r="R94" s="935">
        <v>22.56</v>
      </c>
      <c r="S94" s="935">
        <v>22.67</v>
      </c>
      <c r="T94" s="935">
        <v>22.97</v>
      </c>
      <c r="U94" s="935">
        <v>23.22</v>
      </c>
      <c r="V94" s="935">
        <v>23.48</v>
      </c>
      <c r="W94" s="935">
        <v>23.81</v>
      </c>
      <c r="X94" s="935">
        <v>24.22</v>
      </c>
      <c r="Y94" s="935">
        <v>24.4</v>
      </c>
      <c r="Z94" s="935">
        <v>24.84</v>
      </c>
      <c r="AA94" s="935">
        <v>25.25</v>
      </c>
      <c r="AB94" s="935">
        <v>25.6</v>
      </c>
      <c r="AC94" s="935">
        <v>26.02</v>
      </c>
      <c r="AD94" s="935">
        <v>26.48</v>
      </c>
      <c r="AE94" s="974">
        <v>6.0000000000000001E-3</v>
      </c>
      <c r="AF94" s="935"/>
      <c r="AG94" s="935"/>
      <c r="AH94" s="935"/>
      <c r="AI94" s="935"/>
      <c r="AJ94" s="935"/>
      <c r="AK94" s="935"/>
      <c r="AL94" s="935"/>
      <c r="AM94" s="935"/>
      <c r="AN94" s="935"/>
      <c r="AO94" s="935"/>
      <c r="AP94" s="935"/>
      <c r="AQ94" s="935"/>
      <c r="AR94" s="935"/>
      <c r="AS94" s="935"/>
      <c r="AT94" s="935"/>
      <c r="AU94" s="935"/>
      <c r="AV94" s="935"/>
      <c r="AW94" s="935"/>
      <c r="AX94" s="935"/>
      <c r="AY94" s="935"/>
      <c r="AZ94" s="935"/>
      <c r="BA94" s="935"/>
      <c r="BB94" s="935"/>
      <c r="BC94" s="935"/>
      <c r="BD94" s="935"/>
      <c r="BE94" s="935"/>
      <c r="BF94" s="935"/>
      <c r="BG94" s="935"/>
      <c r="BH94" s="935"/>
      <c r="BI94" s="935"/>
      <c r="BJ94" s="935"/>
      <c r="BK94" s="935"/>
      <c r="BL94" s="935"/>
      <c r="BM94" s="935"/>
      <c r="BN94" s="935"/>
      <c r="BO94" s="935"/>
      <c r="BP94" s="935"/>
      <c r="BQ94" s="935"/>
      <c r="BR94" s="935"/>
      <c r="BS94" s="935"/>
      <c r="BT94" s="935"/>
    </row>
    <row r="95" spans="1:72" x14ac:dyDescent="0.25">
      <c r="A95" s="935" t="s">
        <v>611</v>
      </c>
      <c r="B95" s="935">
        <v>8.84</v>
      </c>
      <c r="C95" s="935">
        <v>16.309999999999999</v>
      </c>
      <c r="D95" s="935">
        <v>9.75</v>
      </c>
      <c r="E95" s="935">
        <v>13.12</v>
      </c>
      <c r="F95" s="935">
        <v>13.24</v>
      </c>
      <c r="G95" s="935">
        <v>14.32</v>
      </c>
      <c r="H95" s="935">
        <v>15.31</v>
      </c>
      <c r="I95" s="935">
        <v>16.079999999999998</v>
      </c>
      <c r="J95" s="935">
        <v>16.47</v>
      </c>
      <c r="K95" s="935">
        <v>16.96</v>
      </c>
      <c r="L95" s="935">
        <v>17.37</v>
      </c>
      <c r="M95" s="935">
        <v>17.82</v>
      </c>
      <c r="N95" s="935">
        <v>18.09</v>
      </c>
      <c r="O95" s="935">
        <v>18.2</v>
      </c>
      <c r="P95" s="935">
        <v>18.43</v>
      </c>
      <c r="Q95" s="935">
        <v>18.61</v>
      </c>
      <c r="R95" s="935">
        <v>18.82</v>
      </c>
      <c r="S95" s="935">
        <v>19.03</v>
      </c>
      <c r="T95" s="935">
        <v>19.23</v>
      </c>
      <c r="U95" s="935">
        <v>19.3</v>
      </c>
      <c r="V95" s="935">
        <v>19.489999999999998</v>
      </c>
      <c r="W95" s="935">
        <v>19.73</v>
      </c>
      <c r="X95" s="935">
        <v>19.98</v>
      </c>
      <c r="Y95" s="935">
        <v>20.27</v>
      </c>
      <c r="Z95" s="935">
        <v>20.61</v>
      </c>
      <c r="AA95" s="935">
        <v>20.87</v>
      </c>
      <c r="AB95" s="935">
        <v>21.12</v>
      </c>
      <c r="AC95" s="935">
        <v>21.44</v>
      </c>
      <c r="AD95" s="935">
        <v>21.72</v>
      </c>
      <c r="AE95" s="974">
        <v>1.0999999999999999E-2</v>
      </c>
      <c r="AF95" s="935"/>
      <c r="AG95" s="935"/>
      <c r="AH95" s="935"/>
      <c r="AI95" s="935"/>
      <c r="AJ95" s="935"/>
      <c r="AK95" s="935"/>
      <c r="AL95" s="935"/>
      <c r="AM95" s="935"/>
      <c r="AN95" s="935"/>
      <c r="AO95" s="935"/>
      <c r="AP95" s="935"/>
      <c r="AQ95" s="935"/>
      <c r="AR95" s="935"/>
      <c r="AS95" s="935"/>
      <c r="AT95" s="935"/>
      <c r="AU95" s="935"/>
      <c r="AV95" s="935"/>
      <c r="AW95" s="935"/>
      <c r="AX95" s="935"/>
      <c r="AY95" s="935"/>
      <c r="AZ95" s="935"/>
      <c r="BA95" s="935"/>
      <c r="BB95" s="935"/>
      <c r="BC95" s="935"/>
      <c r="BD95" s="935"/>
      <c r="BE95" s="935"/>
      <c r="BF95" s="935"/>
      <c r="BG95" s="935"/>
      <c r="BH95" s="935"/>
      <c r="BI95" s="935"/>
      <c r="BJ95" s="935"/>
      <c r="BK95" s="935"/>
      <c r="BL95" s="935"/>
      <c r="BM95" s="935"/>
      <c r="BN95" s="935"/>
      <c r="BO95" s="935"/>
      <c r="BP95" s="935"/>
      <c r="BQ95" s="935"/>
      <c r="BR95" s="935"/>
      <c r="BS95" s="935"/>
      <c r="BT95" s="935"/>
    </row>
    <row r="96" spans="1:72" x14ac:dyDescent="0.25">
      <c r="A96" s="935" t="s">
        <v>613</v>
      </c>
      <c r="B96" s="935">
        <v>7.58</v>
      </c>
      <c r="C96" s="935">
        <v>9.11</v>
      </c>
      <c r="D96" s="935">
        <v>4.2</v>
      </c>
      <c r="E96" s="935">
        <v>4.87</v>
      </c>
      <c r="F96" s="935">
        <v>5.97</v>
      </c>
      <c r="G96" s="935">
        <v>6.39</v>
      </c>
      <c r="H96" s="935">
        <v>6.33</v>
      </c>
      <c r="I96" s="935">
        <v>6.28</v>
      </c>
      <c r="J96" s="935">
        <v>6.45</v>
      </c>
      <c r="K96" s="935">
        <v>6.52</v>
      </c>
      <c r="L96" s="935">
        <v>6.51</v>
      </c>
      <c r="M96" s="935">
        <v>6.55</v>
      </c>
      <c r="N96" s="935">
        <v>6.6</v>
      </c>
      <c r="O96" s="935">
        <v>6.7</v>
      </c>
      <c r="P96" s="935">
        <v>6.78</v>
      </c>
      <c r="Q96" s="935">
        <v>6.96</v>
      </c>
      <c r="R96" s="935">
        <v>7.01</v>
      </c>
      <c r="S96" s="935">
        <v>6.96</v>
      </c>
      <c r="T96" s="935">
        <v>7.02</v>
      </c>
      <c r="U96" s="935">
        <v>7.15</v>
      </c>
      <c r="V96" s="935">
        <v>7.29</v>
      </c>
      <c r="W96" s="935">
        <v>7.51</v>
      </c>
      <c r="X96" s="935">
        <v>7.73</v>
      </c>
      <c r="Y96" s="935">
        <v>7.98</v>
      </c>
      <c r="Z96" s="935">
        <v>8.2899999999999991</v>
      </c>
      <c r="AA96" s="935">
        <v>8.4</v>
      </c>
      <c r="AB96" s="935">
        <v>8.42</v>
      </c>
      <c r="AC96" s="935">
        <v>8.61</v>
      </c>
      <c r="AD96" s="935">
        <v>8.73</v>
      </c>
      <c r="AE96" s="974">
        <v>-2E-3</v>
      </c>
      <c r="AF96" s="935"/>
      <c r="AG96" s="935"/>
      <c r="AH96" s="935"/>
      <c r="AI96" s="935"/>
      <c r="AJ96" s="935"/>
      <c r="AK96" s="935"/>
      <c r="AL96" s="935"/>
      <c r="AM96" s="935"/>
      <c r="AN96" s="935"/>
      <c r="AO96" s="935"/>
      <c r="AP96" s="935"/>
      <c r="AQ96" s="935"/>
      <c r="AR96" s="935"/>
      <c r="AS96" s="935"/>
      <c r="AT96" s="935"/>
      <c r="AU96" s="935"/>
      <c r="AV96" s="935"/>
      <c r="AW96" s="935"/>
      <c r="AX96" s="935"/>
      <c r="AY96" s="935"/>
      <c r="AZ96" s="935"/>
      <c r="BA96" s="935"/>
      <c r="BB96" s="935"/>
      <c r="BC96" s="935"/>
      <c r="BD96" s="935"/>
      <c r="BE96" s="935"/>
      <c r="BF96" s="935"/>
      <c r="BG96" s="935"/>
      <c r="BH96" s="935"/>
      <c r="BI96" s="935"/>
      <c r="BJ96" s="935"/>
      <c r="BK96" s="935"/>
      <c r="BL96" s="935"/>
      <c r="BM96" s="935"/>
      <c r="BN96" s="935"/>
      <c r="BO96" s="935"/>
      <c r="BP96" s="935"/>
      <c r="BQ96" s="935"/>
      <c r="BR96" s="935"/>
      <c r="BS96" s="935"/>
      <c r="BT96" s="935"/>
    </row>
    <row r="97" spans="1:72" x14ac:dyDescent="0.25">
      <c r="A97" s="935" t="s">
        <v>614</v>
      </c>
      <c r="B97" s="935">
        <v>3.69</v>
      </c>
      <c r="C97" s="935">
        <v>4.49</v>
      </c>
      <c r="D97" s="935">
        <v>4.72</v>
      </c>
      <c r="E97" s="935">
        <v>4.8</v>
      </c>
      <c r="F97" s="935">
        <v>4.8600000000000003</v>
      </c>
      <c r="G97" s="935">
        <v>5.0199999999999996</v>
      </c>
      <c r="H97" s="935">
        <v>5.05</v>
      </c>
      <c r="I97" s="935">
        <v>5.08</v>
      </c>
      <c r="J97" s="935">
        <v>5.08</v>
      </c>
      <c r="K97" s="935">
        <v>5.09</v>
      </c>
      <c r="L97" s="935">
        <v>5.16</v>
      </c>
      <c r="M97" s="935">
        <v>5.22</v>
      </c>
      <c r="N97" s="935">
        <v>5.29</v>
      </c>
      <c r="O97" s="935">
        <v>5.32</v>
      </c>
      <c r="P97" s="935">
        <v>5.35</v>
      </c>
      <c r="Q97" s="935">
        <v>5.36</v>
      </c>
      <c r="R97" s="935">
        <v>5.35</v>
      </c>
      <c r="S97" s="935">
        <v>5.32</v>
      </c>
      <c r="T97" s="935">
        <v>5.24</v>
      </c>
      <c r="U97" s="935">
        <v>5.16</v>
      </c>
      <c r="V97" s="935">
        <v>5.14</v>
      </c>
      <c r="W97" s="935">
        <v>5.14</v>
      </c>
      <c r="X97" s="935">
        <v>5.1100000000000003</v>
      </c>
      <c r="Y97" s="935">
        <v>5.1100000000000003</v>
      </c>
      <c r="Z97" s="935">
        <v>5.09</v>
      </c>
      <c r="AA97" s="935">
        <v>5.08</v>
      </c>
      <c r="AB97" s="935">
        <v>5.08</v>
      </c>
      <c r="AC97" s="935">
        <v>5.0599999999999996</v>
      </c>
      <c r="AD97" s="935">
        <v>5.0599999999999996</v>
      </c>
      <c r="AE97" s="974">
        <v>4.0000000000000001E-3</v>
      </c>
      <c r="AF97" s="935"/>
      <c r="AG97" s="935"/>
      <c r="AH97" s="935"/>
      <c r="AI97" s="935"/>
      <c r="AJ97" s="935"/>
      <c r="AK97" s="935"/>
      <c r="AL97" s="935"/>
      <c r="AM97" s="935"/>
      <c r="AN97" s="935"/>
      <c r="AO97" s="935"/>
      <c r="AP97" s="935"/>
      <c r="AQ97" s="935"/>
      <c r="AR97" s="935"/>
      <c r="AS97" s="935"/>
      <c r="AT97" s="935"/>
      <c r="AU97" s="935"/>
      <c r="AV97" s="935"/>
      <c r="AW97" s="935"/>
      <c r="AX97" s="935"/>
      <c r="AY97" s="935"/>
      <c r="AZ97" s="935"/>
      <c r="BA97" s="935"/>
      <c r="BB97" s="935"/>
      <c r="BC97" s="935"/>
      <c r="BD97" s="935"/>
      <c r="BE97" s="935"/>
      <c r="BF97" s="935"/>
      <c r="BG97" s="935"/>
      <c r="BH97" s="935"/>
      <c r="BI97" s="935"/>
      <c r="BJ97" s="935"/>
      <c r="BK97" s="935"/>
      <c r="BL97" s="935"/>
      <c r="BM97" s="935"/>
      <c r="BN97" s="935"/>
      <c r="BO97" s="935"/>
      <c r="BP97" s="935"/>
      <c r="BQ97" s="935"/>
      <c r="BR97" s="935"/>
      <c r="BS97" s="935"/>
      <c r="BT97" s="935"/>
    </row>
    <row r="98" spans="1:72" x14ac:dyDescent="0.25">
      <c r="A98" s="935" t="s">
        <v>615</v>
      </c>
      <c r="B98" s="935">
        <v>2.48</v>
      </c>
      <c r="C98" s="935">
        <v>2.84</v>
      </c>
      <c r="D98" s="935">
        <v>2.79</v>
      </c>
      <c r="E98" s="935">
        <v>2.69</v>
      </c>
      <c r="F98" s="935">
        <v>2.69</v>
      </c>
      <c r="G98" s="935">
        <v>2.69</v>
      </c>
      <c r="H98" s="935">
        <v>2.66</v>
      </c>
      <c r="I98" s="935">
        <v>2.68</v>
      </c>
      <c r="J98" s="935">
        <v>2.69</v>
      </c>
      <c r="K98" s="935">
        <v>2.68</v>
      </c>
      <c r="L98" s="935">
        <v>2.69</v>
      </c>
      <c r="M98" s="935">
        <v>2.68</v>
      </c>
      <c r="N98" s="935">
        <v>2.67</v>
      </c>
      <c r="O98" s="935">
        <v>2.66</v>
      </c>
      <c r="P98" s="935">
        <v>2.65</v>
      </c>
      <c r="Q98" s="935">
        <v>2.65</v>
      </c>
      <c r="R98" s="935">
        <v>2.63</v>
      </c>
      <c r="S98" s="935">
        <v>2.63</v>
      </c>
      <c r="T98" s="935">
        <v>2.63</v>
      </c>
      <c r="U98" s="935">
        <v>2.64</v>
      </c>
      <c r="V98" s="935">
        <v>2.63</v>
      </c>
      <c r="W98" s="935">
        <v>2.64</v>
      </c>
      <c r="X98" s="935">
        <v>2.65</v>
      </c>
      <c r="Y98" s="935">
        <v>2.66</v>
      </c>
      <c r="Z98" s="935">
        <v>2.67</v>
      </c>
      <c r="AA98" s="935">
        <v>2.67</v>
      </c>
      <c r="AB98" s="935">
        <v>2.69</v>
      </c>
      <c r="AC98" s="935">
        <v>2.7</v>
      </c>
      <c r="AD98" s="935">
        <v>2.71</v>
      </c>
      <c r="AE98" s="974">
        <v>-2E-3</v>
      </c>
      <c r="AF98" s="935"/>
      <c r="AG98" s="935"/>
      <c r="AH98" s="935"/>
      <c r="AI98" s="935"/>
      <c r="AJ98" s="935"/>
      <c r="AK98" s="935"/>
      <c r="AL98" s="935"/>
      <c r="AM98" s="935"/>
      <c r="AN98" s="935"/>
      <c r="AO98" s="935"/>
      <c r="AP98" s="935"/>
      <c r="AQ98" s="935"/>
      <c r="AR98" s="935"/>
      <c r="AS98" s="935"/>
      <c r="AT98" s="935"/>
      <c r="AU98" s="935"/>
      <c r="AV98" s="935"/>
      <c r="AW98" s="935"/>
      <c r="AX98" s="935"/>
      <c r="AY98" s="935"/>
      <c r="AZ98" s="935"/>
      <c r="BA98" s="935"/>
      <c r="BB98" s="935"/>
      <c r="BC98" s="935"/>
      <c r="BD98" s="935"/>
      <c r="BE98" s="935"/>
      <c r="BF98" s="935"/>
      <c r="BG98" s="935"/>
      <c r="BH98" s="935"/>
      <c r="BI98" s="935"/>
      <c r="BJ98" s="935"/>
      <c r="BK98" s="935"/>
      <c r="BL98" s="935"/>
      <c r="BM98" s="935"/>
      <c r="BN98" s="935"/>
      <c r="BO98" s="935"/>
      <c r="BP98" s="935"/>
      <c r="BQ98" s="935"/>
      <c r="BR98" s="935"/>
      <c r="BS98" s="935"/>
      <c r="BT98" s="935"/>
    </row>
    <row r="99" spans="1:72" x14ac:dyDescent="0.25">
      <c r="A99" s="935" t="s">
        <v>616</v>
      </c>
      <c r="B99" s="935" t="s">
        <v>788</v>
      </c>
      <c r="C99" s="935" t="s">
        <v>788</v>
      </c>
      <c r="D99" s="935" t="s">
        <v>788</v>
      </c>
      <c r="E99" s="935" t="s">
        <v>788</v>
      </c>
      <c r="F99" s="935">
        <v>1.26</v>
      </c>
      <c r="G99" s="935">
        <v>1.04</v>
      </c>
      <c r="H99" s="935">
        <v>1.04</v>
      </c>
      <c r="I99" s="935">
        <v>1.41</v>
      </c>
      <c r="J99" s="935">
        <v>1.42</v>
      </c>
      <c r="K99" s="935">
        <v>1.46</v>
      </c>
      <c r="L99" s="935">
        <v>1.48</v>
      </c>
      <c r="M99" s="935">
        <v>1.48</v>
      </c>
      <c r="N99" s="935">
        <v>1.47</v>
      </c>
      <c r="O99" s="935">
        <v>1.46</v>
      </c>
      <c r="P99" s="935">
        <v>1.49</v>
      </c>
      <c r="Q99" s="935">
        <v>1.5</v>
      </c>
      <c r="R99" s="935">
        <v>1.52</v>
      </c>
      <c r="S99" s="935">
        <v>1.49</v>
      </c>
      <c r="T99" s="935">
        <v>1.49</v>
      </c>
      <c r="U99" s="935">
        <v>1.47</v>
      </c>
      <c r="V99" s="935">
        <v>1.46</v>
      </c>
      <c r="W99" s="935">
        <v>1.45</v>
      </c>
      <c r="X99" s="935">
        <v>1.44</v>
      </c>
      <c r="Y99" s="935">
        <v>1.44</v>
      </c>
      <c r="Z99" s="935">
        <v>1.44</v>
      </c>
      <c r="AA99" s="935">
        <v>1.44</v>
      </c>
      <c r="AB99" s="935">
        <v>1.46</v>
      </c>
      <c r="AC99" s="935">
        <v>1.48</v>
      </c>
      <c r="AD99" s="935">
        <v>1.51</v>
      </c>
      <c r="AE99" s="935" t="s">
        <v>788</v>
      </c>
      <c r="AF99" s="935"/>
      <c r="AG99" s="935"/>
      <c r="AH99" s="935"/>
      <c r="AI99" s="935"/>
      <c r="AJ99" s="935"/>
      <c r="AK99" s="935"/>
      <c r="AL99" s="935"/>
      <c r="AM99" s="935"/>
      <c r="AN99" s="935"/>
      <c r="AO99" s="935"/>
      <c r="AP99" s="935"/>
      <c r="AQ99" s="935"/>
      <c r="AR99" s="935"/>
      <c r="AS99" s="935"/>
      <c r="AT99" s="935"/>
      <c r="AU99" s="935"/>
      <c r="AV99" s="935"/>
      <c r="AW99" s="935"/>
      <c r="AX99" s="935"/>
      <c r="AY99" s="935"/>
      <c r="AZ99" s="935"/>
      <c r="BA99" s="935"/>
      <c r="BB99" s="935"/>
      <c r="BC99" s="935"/>
      <c r="BD99" s="935"/>
      <c r="BE99" s="935"/>
      <c r="BF99" s="935"/>
      <c r="BG99" s="935"/>
      <c r="BH99" s="935"/>
      <c r="BI99" s="935"/>
      <c r="BJ99" s="935"/>
      <c r="BK99" s="935"/>
      <c r="BL99" s="935"/>
      <c r="BM99" s="935"/>
      <c r="BN99" s="935"/>
      <c r="BO99" s="935"/>
      <c r="BP99" s="935"/>
      <c r="BQ99" s="935"/>
      <c r="BR99" s="935"/>
      <c r="BS99" s="935"/>
      <c r="BT99" s="935"/>
    </row>
    <row r="100" spans="1:72" x14ac:dyDescent="0.25">
      <c r="A100" s="935" t="s">
        <v>479</v>
      </c>
      <c r="B100" s="935">
        <v>19.02</v>
      </c>
      <c r="C100" s="935">
        <v>20.21</v>
      </c>
      <c r="D100" s="935">
        <v>20.04</v>
      </c>
      <c r="E100" s="935">
        <v>19.149999999999999</v>
      </c>
      <c r="F100" s="935">
        <v>17.11</v>
      </c>
      <c r="G100" s="935">
        <v>17.73</v>
      </c>
      <c r="H100" s="935">
        <v>17.62</v>
      </c>
      <c r="I100" s="935">
        <v>17.350000000000001</v>
      </c>
      <c r="J100" s="935">
        <v>17.37</v>
      </c>
      <c r="K100" s="935">
        <v>17.62</v>
      </c>
      <c r="L100" s="935">
        <v>17.75</v>
      </c>
      <c r="M100" s="935">
        <v>17.77</v>
      </c>
      <c r="N100" s="935">
        <v>17.75</v>
      </c>
      <c r="O100" s="935">
        <v>17.920000000000002</v>
      </c>
      <c r="P100" s="935">
        <v>18.07</v>
      </c>
      <c r="Q100" s="935">
        <v>18.190000000000001</v>
      </c>
      <c r="R100" s="935">
        <v>18.38</v>
      </c>
      <c r="S100" s="935">
        <v>18.53</v>
      </c>
      <c r="T100" s="935">
        <v>18.5</v>
      </c>
      <c r="U100" s="935">
        <v>18.61</v>
      </c>
      <c r="V100" s="935">
        <v>18.78</v>
      </c>
      <c r="W100" s="935">
        <v>18.97</v>
      </c>
      <c r="X100" s="935">
        <v>19.3</v>
      </c>
      <c r="Y100" s="935">
        <v>19.579999999999998</v>
      </c>
      <c r="Z100" s="935">
        <v>19.88</v>
      </c>
      <c r="AA100" s="935">
        <v>20.16</v>
      </c>
      <c r="AB100" s="935">
        <v>20.3</v>
      </c>
      <c r="AC100" s="935">
        <v>20.52</v>
      </c>
      <c r="AD100" s="935">
        <v>20.71</v>
      </c>
      <c r="AE100" s="974">
        <v>1E-3</v>
      </c>
      <c r="AF100" s="935"/>
      <c r="AG100" s="935"/>
      <c r="AH100" s="935"/>
      <c r="AI100" s="935"/>
      <c r="AJ100" s="935"/>
      <c r="AK100" s="935"/>
      <c r="AL100" s="935"/>
      <c r="AM100" s="935"/>
      <c r="AN100" s="935"/>
      <c r="AO100" s="935"/>
      <c r="AP100" s="935"/>
      <c r="AQ100" s="935"/>
      <c r="AR100" s="935"/>
      <c r="AS100" s="935"/>
      <c r="AT100" s="935"/>
      <c r="AU100" s="935"/>
      <c r="AV100" s="935"/>
      <c r="AW100" s="935"/>
      <c r="AX100" s="935"/>
      <c r="AY100" s="935"/>
      <c r="AZ100" s="935"/>
      <c r="BA100" s="935"/>
      <c r="BB100" s="935"/>
      <c r="BC100" s="935"/>
      <c r="BD100" s="935"/>
      <c r="BE100" s="935"/>
      <c r="BF100" s="935"/>
      <c r="BG100" s="935"/>
      <c r="BH100" s="935"/>
      <c r="BI100" s="935"/>
      <c r="BJ100" s="935"/>
      <c r="BK100" s="935"/>
      <c r="BL100" s="935"/>
      <c r="BM100" s="935"/>
      <c r="BN100" s="935"/>
      <c r="BO100" s="935"/>
      <c r="BP100" s="935"/>
      <c r="BQ100" s="935"/>
      <c r="BR100" s="935"/>
      <c r="BS100" s="935"/>
      <c r="BT100" s="935"/>
    </row>
    <row r="101" spans="1:72" x14ac:dyDescent="0.25">
      <c r="A101" s="935"/>
      <c r="B101" s="935"/>
      <c r="C101" s="935"/>
      <c r="D101" s="935"/>
      <c r="E101" s="935"/>
      <c r="F101" s="935"/>
      <c r="G101" s="935"/>
      <c r="H101" s="935"/>
      <c r="I101" s="935"/>
      <c r="J101" s="935"/>
      <c r="K101" s="935"/>
      <c r="L101" s="935"/>
      <c r="M101" s="935"/>
      <c r="N101" s="935"/>
      <c r="O101" s="935"/>
      <c r="P101" s="935"/>
      <c r="Q101" s="935"/>
      <c r="R101" s="935"/>
      <c r="S101" s="935"/>
      <c r="T101" s="935"/>
      <c r="U101" s="935"/>
      <c r="V101" s="935"/>
      <c r="W101" s="935"/>
      <c r="X101" s="935"/>
      <c r="Y101" s="935"/>
      <c r="Z101" s="935"/>
      <c r="AA101" s="935"/>
      <c r="AB101" s="935"/>
      <c r="AC101" s="935"/>
      <c r="AD101" s="935"/>
      <c r="AE101" s="935"/>
      <c r="AF101" s="935"/>
      <c r="AG101" s="935"/>
      <c r="AH101" s="935"/>
      <c r="AI101" s="935"/>
      <c r="AJ101" s="935"/>
      <c r="AK101" s="935"/>
      <c r="AL101" s="935"/>
      <c r="AM101" s="935"/>
      <c r="AN101" s="935"/>
      <c r="AO101" s="935"/>
      <c r="AP101" s="935"/>
      <c r="AQ101" s="935"/>
      <c r="AR101" s="935"/>
      <c r="AS101" s="935"/>
      <c r="AT101" s="935"/>
      <c r="AU101" s="935"/>
      <c r="AV101" s="935"/>
      <c r="AW101" s="935"/>
      <c r="AX101" s="935"/>
      <c r="AY101" s="935"/>
      <c r="AZ101" s="935"/>
      <c r="BA101" s="935"/>
      <c r="BB101" s="935"/>
      <c r="BC101" s="935"/>
      <c r="BD101" s="935"/>
      <c r="BE101" s="935"/>
      <c r="BF101" s="935"/>
      <c r="BG101" s="935"/>
      <c r="BH101" s="935"/>
      <c r="BI101" s="935"/>
      <c r="BJ101" s="935"/>
      <c r="BK101" s="935"/>
      <c r="BL101" s="935"/>
      <c r="BM101" s="935"/>
      <c r="BN101" s="935"/>
      <c r="BO101" s="935"/>
      <c r="BP101" s="935"/>
      <c r="BQ101" s="935"/>
      <c r="BR101" s="935"/>
      <c r="BS101" s="935"/>
      <c r="BT101" s="935"/>
    </row>
    <row r="102" spans="1:72" x14ac:dyDescent="0.25">
      <c r="A102" s="935" t="s">
        <v>487</v>
      </c>
      <c r="B102" s="935"/>
      <c r="C102" s="935"/>
      <c r="D102" s="935"/>
      <c r="E102" s="935"/>
      <c r="F102" s="935"/>
      <c r="G102" s="935"/>
      <c r="H102" s="935"/>
      <c r="I102" s="935"/>
      <c r="J102" s="935"/>
      <c r="K102" s="935"/>
      <c r="L102" s="935"/>
      <c r="M102" s="935"/>
      <c r="N102" s="935"/>
      <c r="O102" s="935"/>
      <c r="P102" s="935"/>
      <c r="Q102" s="935"/>
      <c r="R102" s="935"/>
      <c r="S102" s="935"/>
      <c r="T102" s="935"/>
      <c r="U102" s="935"/>
      <c r="V102" s="935"/>
      <c r="W102" s="935"/>
      <c r="X102" s="935"/>
      <c r="Y102" s="935"/>
      <c r="Z102" s="935"/>
      <c r="AA102" s="935"/>
      <c r="AB102" s="935"/>
      <c r="AC102" s="935"/>
      <c r="AD102" s="935"/>
      <c r="AE102" s="935"/>
      <c r="AF102" s="935"/>
      <c r="AG102" s="935"/>
      <c r="AH102" s="935"/>
      <c r="AI102" s="935"/>
      <c r="AJ102" s="935"/>
      <c r="AK102" s="935"/>
      <c r="AL102" s="935"/>
      <c r="AM102" s="935"/>
      <c r="AN102" s="935"/>
      <c r="AO102" s="935"/>
      <c r="AP102" s="935"/>
      <c r="AQ102" s="935"/>
      <c r="AR102" s="935"/>
      <c r="AS102" s="935"/>
      <c r="AT102" s="935"/>
      <c r="AU102" s="935"/>
      <c r="AV102" s="935"/>
      <c r="AW102" s="935"/>
      <c r="AX102" s="935"/>
      <c r="AY102" s="935"/>
      <c r="AZ102" s="935"/>
      <c r="BA102" s="935"/>
      <c r="BB102" s="935"/>
      <c r="BC102" s="935"/>
      <c r="BD102" s="935"/>
      <c r="BE102" s="935"/>
      <c r="BF102" s="935"/>
      <c r="BG102" s="935"/>
      <c r="BH102" s="935"/>
      <c r="BI102" s="935"/>
      <c r="BJ102" s="935"/>
      <c r="BK102" s="935"/>
      <c r="BL102" s="935"/>
      <c r="BM102" s="935"/>
      <c r="BN102" s="935"/>
      <c r="BO102" s="935"/>
      <c r="BP102" s="935"/>
      <c r="BQ102" s="935"/>
      <c r="BR102" s="935"/>
      <c r="BS102" s="935"/>
      <c r="BT102" s="935"/>
    </row>
    <row r="103" spans="1:72" x14ac:dyDescent="0.25">
      <c r="A103" s="935" t="s">
        <v>617</v>
      </c>
      <c r="B103" s="935">
        <v>23.83</v>
      </c>
      <c r="C103" s="935">
        <v>29.93</v>
      </c>
      <c r="D103" s="935">
        <v>25.2</v>
      </c>
      <c r="E103" s="935">
        <v>23.89</v>
      </c>
      <c r="F103" s="935">
        <v>23.98</v>
      </c>
      <c r="G103" s="935">
        <v>25.13</v>
      </c>
      <c r="H103" s="935">
        <v>26.33</v>
      </c>
      <c r="I103" s="935">
        <v>27.29</v>
      </c>
      <c r="J103" s="935">
        <v>27.88</v>
      </c>
      <c r="K103" s="935">
        <v>28.53</v>
      </c>
      <c r="L103" s="935">
        <v>29.07</v>
      </c>
      <c r="M103" s="935">
        <v>29.65</v>
      </c>
      <c r="N103" s="935">
        <v>29.91</v>
      </c>
      <c r="O103" s="935">
        <v>30.13</v>
      </c>
      <c r="P103" s="935">
        <v>30.36</v>
      </c>
      <c r="Q103" s="935">
        <v>30.56</v>
      </c>
      <c r="R103" s="935">
        <v>30.83</v>
      </c>
      <c r="S103" s="935">
        <v>31.1</v>
      </c>
      <c r="T103" s="935">
        <v>31.36</v>
      </c>
      <c r="U103" s="935">
        <v>31.5</v>
      </c>
      <c r="V103" s="935">
        <v>31.77</v>
      </c>
      <c r="W103" s="935">
        <v>32.01</v>
      </c>
      <c r="X103" s="935">
        <v>32.36</v>
      </c>
      <c r="Y103" s="935">
        <v>32.58</v>
      </c>
      <c r="Z103" s="935">
        <v>32.93</v>
      </c>
      <c r="AA103" s="935">
        <v>33.26</v>
      </c>
      <c r="AB103" s="935">
        <v>33.64</v>
      </c>
      <c r="AC103" s="935">
        <v>34</v>
      </c>
      <c r="AD103" s="935">
        <v>34.380000000000003</v>
      </c>
      <c r="AE103" s="974">
        <v>5.0000000000000001E-3</v>
      </c>
      <c r="AF103" s="935"/>
      <c r="AG103" s="935"/>
      <c r="AH103" s="935"/>
      <c r="AI103" s="935"/>
      <c r="AJ103" s="935"/>
      <c r="AK103" s="935"/>
      <c r="AL103" s="935"/>
      <c r="AM103" s="935"/>
      <c r="AN103" s="935"/>
      <c r="AO103" s="935"/>
      <c r="AP103" s="935"/>
      <c r="AQ103" s="935"/>
      <c r="AR103" s="935"/>
      <c r="AS103" s="935"/>
      <c r="AT103" s="935"/>
      <c r="AU103" s="935"/>
      <c r="AV103" s="935"/>
      <c r="AW103" s="935"/>
      <c r="AX103" s="935"/>
      <c r="AY103" s="935"/>
      <c r="AZ103" s="935"/>
      <c r="BA103" s="935"/>
      <c r="BB103" s="935"/>
      <c r="BC103" s="935"/>
      <c r="BD103" s="935"/>
      <c r="BE103" s="935"/>
      <c r="BF103" s="935"/>
      <c r="BG103" s="935"/>
      <c r="BH103" s="935"/>
      <c r="BI103" s="935"/>
      <c r="BJ103" s="935"/>
      <c r="BK103" s="935"/>
      <c r="BL103" s="935"/>
      <c r="BM103" s="935"/>
      <c r="BN103" s="935"/>
      <c r="BO103" s="935"/>
      <c r="BP103" s="935"/>
      <c r="BQ103" s="935"/>
      <c r="BR103" s="935"/>
      <c r="BS103" s="935"/>
      <c r="BT103" s="935"/>
    </row>
    <row r="104" spans="1:72" x14ac:dyDescent="0.25">
      <c r="A104" s="935" t="s">
        <v>618</v>
      </c>
      <c r="B104" s="935">
        <v>27.43</v>
      </c>
      <c r="C104" s="935">
        <v>26.93</v>
      </c>
      <c r="D104" s="935">
        <v>23.29</v>
      </c>
      <c r="E104" s="935">
        <v>20.64</v>
      </c>
      <c r="F104" s="935">
        <v>20.97</v>
      </c>
      <c r="G104" s="935">
        <v>22.13</v>
      </c>
      <c r="H104" s="935">
        <v>24.21</v>
      </c>
      <c r="I104" s="935">
        <v>25.23</v>
      </c>
      <c r="J104" s="935">
        <v>25.55</v>
      </c>
      <c r="K104" s="935">
        <v>25.08</v>
      </c>
      <c r="L104" s="935">
        <v>25.9</v>
      </c>
      <c r="M104" s="935">
        <v>26.54</v>
      </c>
      <c r="N104" s="935">
        <v>26.68</v>
      </c>
      <c r="O104" s="935">
        <v>26.95</v>
      </c>
      <c r="P104" s="935">
        <v>27.32</v>
      </c>
      <c r="Q104" s="935">
        <v>27.82</v>
      </c>
      <c r="R104" s="935">
        <v>28.31</v>
      </c>
      <c r="S104" s="935">
        <v>28.55</v>
      </c>
      <c r="T104" s="935">
        <v>28.86</v>
      </c>
      <c r="U104" s="935">
        <v>29.22</v>
      </c>
      <c r="V104" s="935">
        <v>29.49</v>
      </c>
      <c r="W104" s="935">
        <v>30.03</v>
      </c>
      <c r="X104" s="935">
        <v>30.44</v>
      </c>
      <c r="Y104" s="935">
        <v>30.64</v>
      </c>
      <c r="Z104" s="935">
        <v>30.86</v>
      </c>
      <c r="AA104" s="935">
        <v>31.29</v>
      </c>
      <c r="AB104" s="935">
        <v>31.49</v>
      </c>
      <c r="AC104" s="935">
        <v>31.77</v>
      </c>
      <c r="AD104" s="935">
        <v>32.229999999999997</v>
      </c>
      <c r="AE104" s="974">
        <v>7.0000000000000001E-3</v>
      </c>
      <c r="AF104" s="935"/>
      <c r="AG104" s="935"/>
      <c r="AH104" s="935"/>
      <c r="AI104" s="935"/>
      <c r="AJ104" s="935"/>
      <c r="AK104" s="935"/>
      <c r="AL104" s="935"/>
      <c r="AM104" s="935"/>
      <c r="AN104" s="935"/>
      <c r="AO104" s="935"/>
      <c r="AP104" s="935"/>
      <c r="AQ104" s="935"/>
      <c r="AR104" s="935"/>
      <c r="AS104" s="935"/>
      <c r="AT104" s="935"/>
      <c r="AU104" s="935"/>
      <c r="AV104" s="935"/>
      <c r="AW104" s="935"/>
      <c r="AX104" s="935"/>
      <c r="AY104" s="935"/>
      <c r="AZ104" s="935"/>
      <c r="BA104" s="935"/>
      <c r="BB104" s="935"/>
      <c r="BC104" s="935"/>
      <c r="BD104" s="935"/>
      <c r="BE104" s="935"/>
      <c r="BF104" s="935"/>
      <c r="BG104" s="935"/>
      <c r="BH104" s="935"/>
      <c r="BI104" s="935"/>
      <c r="BJ104" s="935"/>
      <c r="BK104" s="935"/>
      <c r="BL104" s="935"/>
      <c r="BM104" s="935"/>
      <c r="BN104" s="935"/>
      <c r="BO104" s="935"/>
      <c r="BP104" s="935"/>
      <c r="BQ104" s="935"/>
      <c r="BR104" s="935"/>
      <c r="BS104" s="935"/>
      <c r="BT104" s="935"/>
    </row>
    <row r="105" spans="1:72" x14ac:dyDescent="0.25">
      <c r="A105" s="935" t="s">
        <v>619</v>
      </c>
      <c r="B105" s="935">
        <v>23.66</v>
      </c>
      <c r="C105" s="935">
        <v>26.76</v>
      </c>
      <c r="D105" s="935">
        <v>19.14</v>
      </c>
      <c r="E105" s="935">
        <v>20.55</v>
      </c>
      <c r="F105" s="935">
        <v>20.88</v>
      </c>
      <c r="G105" s="935">
        <v>22.03</v>
      </c>
      <c r="H105" s="935">
        <v>24.02</v>
      </c>
      <c r="I105" s="935">
        <v>24.94</v>
      </c>
      <c r="J105" s="935">
        <v>25.37</v>
      </c>
      <c r="K105" s="935">
        <v>25.94</v>
      </c>
      <c r="L105" s="935">
        <v>26.47</v>
      </c>
      <c r="M105" s="935">
        <v>26.89</v>
      </c>
      <c r="N105" s="935">
        <v>27.2</v>
      </c>
      <c r="O105" s="935">
        <v>27.59</v>
      </c>
      <c r="P105" s="935">
        <v>27.82</v>
      </c>
      <c r="Q105" s="935">
        <v>28.18</v>
      </c>
      <c r="R105" s="935">
        <v>28.42</v>
      </c>
      <c r="S105" s="935">
        <v>28.54</v>
      </c>
      <c r="T105" s="935">
        <v>28.87</v>
      </c>
      <c r="U105" s="935">
        <v>29.19</v>
      </c>
      <c r="V105" s="935">
        <v>29.47</v>
      </c>
      <c r="W105" s="935">
        <v>29.9</v>
      </c>
      <c r="X105" s="935">
        <v>30.27</v>
      </c>
      <c r="Y105" s="935">
        <v>30.42</v>
      </c>
      <c r="Z105" s="935">
        <v>30.77</v>
      </c>
      <c r="AA105" s="935">
        <v>31.16</v>
      </c>
      <c r="AB105" s="935">
        <v>31.44</v>
      </c>
      <c r="AC105" s="935">
        <v>31.81</v>
      </c>
      <c r="AD105" s="935">
        <v>32.33</v>
      </c>
      <c r="AE105" s="974">
        <v>7.0000000000000001E-3</v>
      </c>
      <c r="AF105" s="935"/>
      <c r="AG105" s="935"/>
      <c r="AH105" s="935"/>
      <c r="AI105" s="935"/>
      <c r="AJ105" s="935"/>
      <c r="AK105" s="935"/>
      <c r="AL105" s="935"/>
      <c r="AM105" s="935"/>
      <c r="AN105" s="935"/>
      <c r="AO105" s="935"/>
      <c r="AP105" s="935"/>
      <c r="AQ105" s="935"/>
      <c r="AR105" s="935"/>
      <c r="AS105" s="935"/>
      <c r="AT105" s="935"/>
      <c r="AU105" s="935"/>
      <c r="AV105" s="935"/>
      <c r="AW105" s="935"/>
      <c r="AX105" s="935"/>
      <c r="AY105" s="935"/>
      <c r="AZ105" s="935"/>
      <c r="BA105" s="935"/>
      <c r="BB105" s="935"/>
      <c r="BC105" s="935"/>
      <c r="BD105" s="935"/>
      <c r="BE105" s="935"/>
      <c r="BF105" s="935"/>
      <c r="BG105" s="935"/>
      <c r="BH105" s="935"/>
      <c r="BI105" s="935"/>
      <c r="BJ105" s="935"/>
      <c r="BK105" s="935"/>
      <c r="BL105" s="935"/>
      <c r="BM105" s="935"/>
      <c r="BN105" s="935"/>
      <c r="BO105" s="935"/>
      <c r="BP105" s="935"/>
      <c r="BQ105" s="935"/>
      <c r="BR105" s="935"/>
      <c r="BS105" s="935"/>
      <c r="BT105" s="935"/>
    </row>
    <row r="106" spans="1:72" x14ac:dyDescent="0.25">
      <c r="A106" s="935" t="s">
        <v>620</v>
      </c>
      <c r="B106" s="935">
        <v>15.77</v>
      </c>
      <c r="C106" s="935">
        <v>22.71</v>
      </c>
      <c r="D106" s="935">
        <v>12.73</v>
      </c>
      <c r="E106" s="935">
        <v>14.79</v>
      </c>
      <c r="F106" s="935">
        <v>15.16</v>
      </c>
      <c r="G106" s="935">
        <v>16.54</v>
      </c>
      <c r="H106" s="935">
        <v>17.690000000000001</v>
      </c>
      <c r="I106" s="935">
        <v>18.46</v>
      </c>
      <c r="J106" s="935">
        <v>19.04</v>
      </c>
      <c r="K106" s="935">
        <v>19.760000000000002</v>
      </c>
      <c r="L106" s="935">
        <v>20.41</v>
      </c>
      <c r="M106" s="935">
        <v>20.97</v>
      </c>
      <c r="N106" s="935">
        <v>21.35</v>
      </c>
      <c r="O106" s="935">
        <v>21.69</v>
      </c>
      <c r="P106" s="935">
        <v>21.85</v>
      </c>
      <c r="Q106" s="935">
        <v>22.09</v>
      </c>
      <c r="R106" s="935">
        <v>22.41</v>
      </c>
      <c r="S106" s="935">
        <v>22.61</v>
      </c>
      <c r="T106" s="935">
        <v>22.92</v>
      </c>
      <c r="U106" s="935">
        <v>23.19</v>
      </c>
      <c r="V106" s="935">
        <v>23.48</v>
      </c>
      <c r="W106" s="935">
        <v>23.9</v>
      </c>
      <c r="X106" s="935">
        <v>24.26</v>
      </c>
      <c r="Y106" s="935">
        <v>24.51</v>
      </c>
      <c r="Z106" s="935">
        <v>24.9</v>
      </c>
      <c r="AA106" s="935">
        <v>25.3</v>
      </c>
      <c r="AB106" s="935">
        <v>25.64</v>
      </c>
      <c r="AC106" s="935">
        <v>26.05</v>
      </c>
      <c r="AD106" s="935">
        <v>26.48</v>
      </c>
      <c r="AE106" s="974">
        <v>6.0000000000000001E-3</v>
      </c>
      <c r="AF106" s="935"/>
      <c r="AG106" s="935"/>
      <c r="AH106" s="935"/>
      <c r="AI106" s="935"/>
      <c r="AJ106" s="935"/>
      <c r="AK106" s="935"/>
      <c r="AL106" s="935"/>
      <c r="AM106" s="935"/>
      <c r="AN106" s="935"/>
      <c r="AO106" s="935"/>
      <c r="AP106" s="935"/>
      <c r="AQ106" s="935"/>
      <c r="AR106" s="935"/>
      <c r="AS106" s="935"/>
      <c r="AT106" s="935"/>
      <c r="AU106" s="935"/>
      <c r="AV106" s="935"/>
      <c r="AW106" s="935"/>
      <c r="AX106" s="935"/>
      <c r="AY106" s="935"/>
      <c r="AZ106" s="935"/>
      <c r="BA106" s="935"/>
      <c r="BB106" s="935"/>
      <c r="BC106" s="935"/>
      <c r="BD106" s="935"/>
      <c r="BE106" s="935"/>
      <c r="BF106" s="935"/>
      <c r="BG106" s="935"/>
      <c r="BH106" s="935"/>
      <c r="BI106" s="935"/>
      <c r="BJ106" s="935"/>
      <c r="BK106" s="935"/>
      <c r="BL106" s="935"/>
      <c r="BM106" s="935"/>
      <c r="BN106" s="935"/>
      <c r="BO106" s="935"/>
      <c r="BP106" s="935"/>
      <c r="BQ106" s="935"/>
      <c r="BR106" s="935"/>
      <c r="BS106" s="935"/>
      <c r="BT106" s="935"/>
    </row>
    <row r="107" spans="1:72" x14ac:dyDescent="0.25">
      <c r="A107" s="935" t="s">
        <v>724</v>
      </c>
      <c r="B107" s="935">
        <v>21.55</v>
      </c>
      <c r="C107" s="935">
        <v>27.65</v>
      </c>
      <c r="D107" s="935">
        <v>17.77</v>
      </c>
      <c r="E107" s="935">
        <v>19.12</v>
      </c>
      <c r="F107" s="935">
        <v>19.309999999999999</v>
      </c>
      <c r="G107" s="935">
        <v>20.51</v>
      </c>
      <c r="H107" s="935">
        <v>21.54</v>
      </c>
      <c r="I107" s="935">
        <v>22.25</v>
      </c>
      <c r="J107" s="935">
        <v>22.93</v>
      </c>
      <c r="K107" s="935">
        <v>23.68</v>
      </c>
      <c r="L107" s="935">
        <v>24.26</v>
      </c>
      <c r="M107" s="935">
        <v>24.91</v>
      </c>
      <c r="N107" s="935">
        <v>25.29</v>
      </c>
      <c r="O107" s="935">
        <v>25.6</v>
      </c>
      <c r="P107" s="935">
        <v>25.79</v>
      </c>
      <c r="Q107" s="935">
        <v>26.12</v>
      </c>
      <c r="R107" s="935">
        <v>26.26</v>
      </c>
      <c r="S107" s="935">
        <v>26.34</v>
      </c>
      <c r="T107" s="935">
        <v>26.63</v>
      </c>
      <c r="U107" s="935">
        <v>26.83</v>
      </c>
      <c r="V107" s="935">
        <v>27.09</v>
      </c>
      <c r="W107" s="935">
        <v>27.4</v>
      </c>
      <c r="X107" s="935">
        <v>27.8</v>
      </c>
      <c r="Y107" s="935">
        <v>27.96</v>
      </c>
      <c r="Z107" s="935">
        <v>28.38</v>
      </c>
      <c r="AA107" s="935">
        <v>28.78</v>
      </c>
      <c r="AB107" s="935">
        <v>29.09</v>
      </c>
      <c r="AC107" s="935">
        <v>29.49</v>
      </c>
      <c r="AD107" s="935">
        <v>29.96</v>
      </c>
      <c r="AE107" s="974">
        <v>3.0000000000000001E-3</v>
      </c>
      <c r="AF107" s="935"/>
      <c r="AG107" s="935"/>
      <c r="AH107" s="935"/>
      <c r="AI107" s="935"/>
      <c r="AJ107" s="935"/>
      <c r="AK107" s="935"/>
      <c r="AL107" s="935"/>
      <c r="AM107" s="935"/>
      <c r="AN107" s="935"/>
      <c r="AO107" s="935"/>
      <c r="AP107" s="935"/>
      <c r="AQ107" s="935"/>
      <c r="AR107" s="935"/>
      <c r="AS107" s="935"/>
      <c r="AT107" s="935"/>
      <c r="AU107" s="935"/>
      <c r="AV107" s="935"/>
      <c r="AW107" s="935"/>
      <c r="AX107" s="935"/>
      <c r="AY107" s="935"/>
      <c r="AZ107" s="935"/>
      <c r="BA107" s="935"/>
      <c r="BB107" s="935"/>
      <c r="BC107" s="935"/>
      <c r="BD107" s="935"/>
      <c r="BE107" s="935"/>
      <c r="BF107" s="935"/>
      <c r="BG107" s="935"/>
      <c r="BH107" s="935"/>
      <c r="BI107" s="935"/>
      <c r="BJ107" s="935"/>
      <c r="BK107" s="935"/>
      <c r="BL107" s="935"/>
      <c r="BM107" s="935"/>
      <c r="BN107" s="935"/>
      <c r="BO107" s="935"/>
      <c r="BP107" s="935"/>
      <c r="BQ107" s="935"/>
      <c r="BR107" s="935"/>
      <c r="BS107" s="935"/>
      <c r="BT107" s="935"/>
    </row>
    <row r="108" spans="1:72" x14ac:dyDescent="0.25">
      <c r="A108" s="935" t="s">
        <v>611</v>
      </c>
      <c r="B108" s="935">
        <v>9.19</v>
      </c>
      <c r="C108" s="935">
        <v>14.49</v>
      </c>
      <c r="D108" s="935">
        <v>8.86</v>
      </c>
      <c r="E108" s="935">
        <v>10.210000000000001</v>
      </c>
      <c r="F108" s="935">
        <v>10.32</v>
      </c>
      <c r="G108" s="935">
        <v>11.5</v>
      </c>
      <c r="H108" s="935">
        <v>12.44</v>
      </c>
      <c r="I108" s="935">
        <v>13.18</v>
      </c>
      <c r="J108" s="935">
        <v>13.58</v>
      </c>
      <c r="K108" s="935">
        <v>13.9</v>
      </c>
      <c r="L108" s="935">
        <v>14.43</v>
      </c>
      <c r="M108" s="935">
        <v>14.81</v>
      </c>
      <c r="N108" s="935">
        <v>14.97</v>
      </c>
      <c r="O108" s="935">
        <v>14.99</v>
      </c>
      <c r="P108" s="935">
        <v>15.23</v>
      </c>
      <c r="Q108" s="935">
        <v>15.34</v>
      </c>
      <c r="R108" s="935">
        <v>15.55</v>
      </c>
      <c r="S108" s="935">
        <v>15.75</v>
      </c>
      <c r="T108" s="935">
        <v>15.93</v>
      </c>
      <c r="U108" s="935">
        <v>15.98</v>
      </c>
      <c r="V108" s="935">
        <v>16.27</v>
      </c>
      <c r="W108" s="935">
        <v>16.5</v>
      </c>
      <c r="X108" s="935">
        <v>16.8</v>
      </c>
      <c r="Y108" s="935">
        <v>17.100000000000001</v>
      </c>
      <c r="Z108" s="935">
        <v>17.420000000000002</v>
      </c>
      <c r="AA108" s="935">
        <v>17.690000000000001</v>
      </c>
      <c r="AB108" s="935">
        <v>17.93</v>
      </c>
      <c r="AC108" s="935">
        <v>18.239999999999998</v>
      </c>
      <c r="AD108" s="935">
        <v>18.600000000000001</v>
      </c>
      <c r="AE108" s="974">
        <v>8.9999999999999993E-3</v>
      </c>
      <c r="AF108" s="935"/>
      <c r="AG108" s="935"/>
      <c r="AH108" s="935"/>
      <c r="AI108" s="935"/>
      <c r="AJ108" s="935"/>
      <c r="AK108" s="935"/>
      <c r="AL108" s="935"/>
      <c r="AM108" s="935"/>
      <c r="AN108" s="935"/>
      <c r="AO108" s="935"/>
      <c r="AP108" s="935"/>
      <c r="AQ108" s="935"/>
      <c r="AR108" s="935"/>
      <c r="AS108" s="935"/>
      <c r="AT108" s="935"/>
      <c r="AU108" s="935"/>
      <c r="AV108" s="935"/>
      <c r="AW108" s="935"/>
      <c r="AX108" s="935"/>
      <c r="AY108" s="935"/>
      <c r="AZ108" s="935"/>
      <c r="BA108" s="935"/>
      <c r="BB108" s="935"/>
      <c r="BC108" s="935"/>
      <c r="BD108" s="935"/>
      <c r="BE108" s="935"/>
      <c r="BF108" s="935"/>
      <c r="BG108" s="935"/>
      <c r="BH108" s="935"/>
      <c r="BI108" s="935"/>
      <c r="BJ108" s="935"/>
      <c r="BK108" s="935"/>
      <c r="BL108" s="935"/>
      <c r="BM108" s="935"/>
      <c r="BN108" s="935"/>
      <c r="BO108" s="935"/>
      <c r="BP108" s="935"/>
      <c r="BQ108" s="935"/>
      <c r="BR108" s="935"/>
      <c r="BS108" s="935"/>
      <c r="BT108" s="935"/>
    </row>
    <row r="109" spans="1:72" x14ac:dyDescent="0.25">
      <c r="A109" s="935" t="s">
        <v>622</v>
      </c>
      <c r="B109" s="935">
        <v>13.84</v>
      </c>
      <c r="C109" s="935">
        <v>15.96</v>
      </c>
      <c r="D109" s="935">
        <v>11.36</v>
      </c>
      <c r="E109" s="935">
        <v>12</v>
      </c>
      <c r="F109" s="935">
        <v>13.09</v>
      </c>
      <c r="G109" s="935">
        <v>13.49</v>
      </c>
      <c r="H109" s="935">
        <v>13.36</v>
      </c>
      <c r="I109" s="935">
        <v>13.25</v>
      </c>
      <c r="J109" s="935">
        <v>13.37</v>
      </c>
      <c r="K109" s="935">
        <v>13.41</v>
      </c>
      <c r="L109" s="935">
        <v>13.38</v>
      </c>
      <c r="M109" s="935">
        <v>13.37</v>
      </c>
      <c r="N109" s="935">
        <v>13.38</v>
      </c>
      <c r="O109" s="935">
        <v>13.44</v>
      </c>
      <c r="P109" s="935">
        <v>13.46</v>
      </c>
      <c r="Q109" s="935">
        <v>13.58</v>
      </c>
      <c r="R109" s="935">
        <v>13.54</v>
      </c>
      <c r="S109" s="935">
        <v>13.41</v>
      </c>
      <c r="T109" s="935">
        <v>13.43</v>
      </c>
      <c r="U109" s="935">
        <v>13.54</v>
      </c>
      <c r="V109" s="935">
        <v>13.65</v>
      </c>
      <c r="W109" s="935">
        <v>13.83</v>
      </c>
      <c r="X109" s="935">
        <v>14</v>
      </c>
      <c r="Y109" s="935">
        <v>14.19</v>
      </c>
      <c r="Z109" s="935">
        <v>14.46</v>
      </c>
      <c r="AA109" s="935">
        <v>14.54</v>
      </c>
      <c r="AB109" s="935">
        <v>14.55</v>
      </c>
      <c r="AC109" s="935">
        <v>14.7</v>
      </c>
      <c r="AD109" s="935">
        <v>14.78</v>
      </c>
      <c r="AE109" s="974">
        <v>-3.0000000000000001E-3</v>
      </c>
      <c r="AF109" s="935"/>
      <c r="AG109" s="935"/>
      <c r="AH109" s="935"/>
      <c r="AI109" s="935"/>
      <c r="AJ109" s="935"/>
      <c r="AK109" s="935"/>
      <c r="AL109" s="935"/>
      <c r="AM109" s="935"/>
      <c r="AN109" s="935"/>
      <c r="AO109" s="935"/>
      <c r="AP109" s="935"/>
      <c r="AQ109" s="935"/>
      <c r="AR109" s="935"/>
      <c r="AS109" s="935"/>
      <c r="AT109" s="935"/>
      <c r="AU109" s="935"/>
      <c r="AV109" s="935"/>
      <c r="AW109" s="935"/>
      <c r="AX109" s="935"/>
      <c r="AY109" s="935"/>
      <c r="AZ109" s="935"/>
      <c r="BA109" s="935"/>
      <c r="BB109" s="935"/>
      <c r="BC109" s="935"/>
      <c r="BD109" s="935"/>
      <c r="BE109" s="935"/>
      <c r="BF109" s="935"/>
      <c r="BG109" s="935"/>
      <c r="BH109" s="935"/>
      <c r="BI109" s="935"/>
      <c r="BJ109" s="935"/>
      <c r="BK109" s="935"/>
      <c r="BL109" s="935"/>
      <c r="BM109" s="935"/>
      <c r="BN109" s="935"/>
      <c r="BO109" s="935"/>
      <c r="BP109" s="935"/>
      <c r="BQ109" s="935"/>
      <c r="BR109" s="935"/>
      <c r="BS109" s="935"/>
      <c r="BT109" s="935"/>
    </row>
    <row r="110" spans="1:72" x14ac:dyDescent="0.25">
      <c r="A110" s="935" t="s">
        <v>479</v>
      </c>
      <c r="B110" s="935">
        <v>32.03</v>
      </c>
      <c r="C110" s="935">
        <v>33.729999999999997</v>
      </c>
      <c r="D110" s="935">
        <v>32.299999999999997</v>
      </c>
      <c r="E110" s="935">
        <v>30.29</v>
      </c>
      <c r="F110" s="935">
        <v>27.63</v>
      </c>
      <c r="G110" s="935">
        <v>29.66</v>
      </c>
      <c r="H110" s="935">
        <v>29.72</v>
      </c>
      <c r="I110" s="935">
        <v>29.07</v>
      </c>
      <c r="J110" s="935">
        <v>28.79</v>
      </c>
      <c r="K110" s="935">
        <v>29.01</v>
      </c>
      <c r="L110" s="935">
        <v>29.04</v>
      </c>
      <c r="M110" s="935">
        <v>28.87</v>
      </c>
      <c r="N110" s="935">
        <v>28.59</v>
      </c>
      <c r="O110" s="935">
        <v>28.55</v>
      </c>
      <c r="P110" s="935">
        <v>28.54</v>
      </c>
      <c r="Q110" s="935">
        <v>28.43</v>
      </c>
      <c r="R110" s="935">
        <v>28.48</v>
      </c>
      <c r="S110" s="935">
        <v>28.64</v>
      </c>
      <c r="T110" s="935">
        <v>28.63</v>
      </c>
      <c r="U110" s="935">
        <v>28.88</v>
      </c>
      <c r="V110" s="935">
        <v>29.32</v>
      </c>
      <c r="W110" s="935">
        <v>29.79</v>
      </c>
      <c r="X110" s="935">
        <v>30.51</v>
      </c>
      <c r="Y110" s="935">
        <v>31.01</v>
      </c>
      <c r="Z110" s="935">
        <v>31.61</v>
      </c>
      <c r="AA110" s="935">
        <v>32.15</v>
      </c>
      <c r="AB110" s="935">
        <v>32.47</v>
      </c>
      <c r="AC110" s="935">
        <v>32.89</v>
      </c>
      <c r="AD110" s="935">
        <v>33.26</v>
      </c>
      <c r="AE110" s="974">
        <v>-1E-3</v>
      </c>
      <c r="AF110" s="935"/>
      <c r="AG110" s="935"/>
      <c r="AH110" s="935"/>
      <c r="AI110" s="935"/>
      <c r="AJ110" s="935"/>
      <c r="AK110" s="935"/>
      <c r="AL110" s="935"/>
      <c r="AM110" s="935"/>
      <c r="AN110" s="935"/>
      <c r="AO110" s="935"/>
      <c r="AP110" s="935"/>
      <c r="AQ110" s="935"/>
      <c r="AR110" s="935"/>
      <c r="AS110" s="935"/>
      <c r="AT110" s="935"/>
      <c r="AU110" s="935"/>
      <c r="AV110" s="935"/>
      <c r="AW110" s="935"/>
      <c r="AX110" s="935"/>
      <c r="AY110" s="935"/>
      <c r="AZ110" s="935"/>
      <c r="BA110" s="935"/>
      <c r="BB110" s="935"/>
      <c r="BC110" s="935"/>
      <c r="BD110" s="935"/>
      <c r="BE110" s="935"/>
      <c r="BF110" s="935"/>
      <c r="BG110" s="935"/>
      <c r="BH110" s="935"/>
      <c r="BI110" s="935"/>
      <c r="BJ110" s="935"/>
      <c r="BK110" s="935"/>
      <c r="BL110" s="935"/>
      <c r="BM110" s="935"/>
      <c r="BN110" s="935"/>
      <c r="BO110" s="935"/>
      <c r="BP110" s="935"/>
      <c r="BQ110" s="935"/>
      <c r="BR110" s="935"/>
      <c r="BS110" s="935"/>
      <c r="BT110" s="935"/>
    </row>
    <row r="111" spans="1:72" x14ac:dyDescent="0.25">
      <c r="A111" s="935"/>
      <c r="B111" s="935"/>
      <c r="C111" s="935"/>
      <c r="D111" s="935"/>
      <c r="E111" s="935"/>
      <c r="F111" s="935"/>
      <c r="G111" s="935"/>
      <c r="H111" s="935"/>
      <c r="I111" s="935"/>
      <c r="J111" s="935"/>
      <c r="K111" s="935"/>
      <c r="L111" s="935"/>
      <c r="M111" s="935"/>
      <c r="N111" s="935"/>
      <c r="O111" s="935"/>
      <c r="P111" s="935"/>
      <c r="Q111" s="935"/>
      <c r="R111" s="935"/>
      <c r="S111" s="935"/>
      <c r="T111" s="935"/>
      <c r="U111" s="935"/>
      <c r="V111" s="935"/>
      <c r="W111" s="935"/>
      <c r="X111" s="935"/>
      <c r="Y111" s="935"/>
      <c r="Z111" s="935"/>
      <c r="AA111" s="935"/>
      <c r="AB111" s="935"/>
      <c r="AC111" s="935"/>
      <c r="AD111" s="935"/>
      <c r="AE111" s="935"/>
      <c r="AF111" s="935"/>
      <c r="AG111" s="935"/>
      <c r="AH111" s="935"/>
      <c r="AI111" s="935"/>
      <c r="AJ111" s="935"/>
      <c r="AK111" s="935"/>
      <c r="AL111" s="935"/>
      <c r="AM111" s="935"/>
      <c r="AN111" s="935"/>
      <c r="AO111" s="935"/>
      <c r="AP111" s="935"/>
      <c r="AQ111" s="935"/>
      <c r="AR111" s="935"/>
      <c r="AS111" s="935"/>
      <c r="AT111" s="935"/>
      <c r="AU111" s="935"/>
      <c r="AV111" s="935"/>
      <c r="AW111" s="935"/>
      <c r="AX111" s="935"/>
      <c r="AY111" s="935"/>
      <c r="AZ111" s="935"/>
      <c r="BA111" s="935"/>
      <c r="BB111" s="935"/>
      <c r="BC111" s="935"/>
      <c r="BD111" s="935"/>
      <c r="BE111" s="935"/>
      <c r="BF111" s="935"/>
      <c r="BG111" s="935"/>
      <c r="BH111" s="935"/>
      <c r="BI111" s="935"/>
      <c r="BJ111" s="935"/>
      <c r="BK111" s="935"/>
      <c r="BL111" s="935"/>
      <c r="BM111" s="935"/>
      <c r="BN111" s="935"/>
      <c r="BO111" s="935"/>
      <c r="BP111" s="935"/>
      <c r="BQ111" s="935"/>
      <c r="BR111" s="935"/>
      <c r="BS111" s="935"/>
      <c r="BT111" s="935"/>
    </row>
    <row r="112" spans="1:72" x14ac:dyDescent="0.25">
      <c r="A112" s="935" t="s">
        <v>623</v>
      </c>
      <c r="B112" s="935"/>
      <c r="C112" s="935"/>
      <c r="D112" s="935"/>
      <c r="E112" s="935"/>
      <c r="F112" s="935"/>
      <c r="G112" s="935"/>
      <c r="H112" s="935"/>
      <c r="I112" s="935"/>
      <c r="J112" s="935"/>
      <c r="K112" s="935"/>
      <c r="L112" s="935"/>
      <c r="M112" s="935"/>
      <c r="N112" s="935"/>
      <c r="O112" s="935"/>
      <c r="P112" s="935"/>
      <c r="Q112" s="935"/>
      <c r="R112" s="935"/>
      <c r="S112" s="935"/>
      <c r="T112" s="935"/>
      <c r="U112" s="935"/>
      <c r="V112" s="935"/>
      <c r="W112" s="935"/>
      <c r="X112" s="935"/>
      <c r="Y112" s="935"/>
      <c r="Z112" s="935"/>
      <c r="AA112" s="935"/>
      <c r="AB112" s="935"/>
      <c r="AC112" s="935"/>
      <c r="AD112" s="935"/>
      <c r="AE112" s="935"/>
      <c r="AF112" s="935"/>
      <c r="AG112" s="935"/>
      <c r="AH112" s="935"/>
      <c r="AI112" s="935"/>
      <c r="AJ112" s="935"/>
      <c r="AK112" s="935"/>
      <c r="AL112" s="935"/>
      <c r="AM112" s="935"/>
      <c r="AN112" s="935"/>
      <c r="AO112" s="935"/>
      <c r="AP112" s="935"/>
      <c r="AQ112" s="935"/>
      <c r="AR112" s="935"/>
      <c r="AS112" s="935"/>
      <c r="AT112" s="935"/>
      <c r="AU112" s="935"/>
      <c r="AV112" s="935"/>
      <c r="AW112" s="935"/>
      <c r="AX112" s="935"/>
      <c r="AY112" s="935"/>
      <c r="AZ112" s="935"/>
      <c r="BA112" s="935"/>
      <c r="BB112" s="935"/>
      <c r="BC112" s="935"/>
      <c r="BD112" s="935"/>
      <c r="BE112" s="935"/>
      <c r="BF112" s="935"/>
      <c r="BG112" s="935"/>
      <c r="BH112" s="935"/>
      <c r="BI112" s="935"/>
      <c r="BJ112" s="935"/>
      <c r="BK112" s="935"/>
      <c r="BL112" s="935"/>
      <c r="BM112" s="935"/>
      <c r="BN112" s="935"/>
      <c r="BO112" s="935"/>
      <c r="BP112" s="935"/>
      <c r="BQ112" s="935"/>
      <c r="BR112" s="935"/>
      <c r="BS112" s="935"/>
      <c r="BT112" s="935"/>
    </row>
    <row r="113" spans="1:72" x14ac:dyDescent="0.25">
      <c r="A113" s="935" t="s">
        <v>610</v>
      </c>
      <c r="B113" s="935">
        <v>15.75</v>
      </c>
      <c r="C113" s="935">
        <v>19.37</v>
      </c>
      <c r="D113" s="935">
        <v>14.24</v>
      </c>
      <c r="E113" s="935">
        <v>13.91</v>
      </c>
      <c r="F113" s="935">
        <v>14.06</v>
      </c>
      <c r="G113" s="935">
        <v>15.2</v>
      </c>
      <c r="H113" s="935">
        <v>16.21</v>
      </c>
      <c r="I113" s="935">
        <v>16.89</v>
      </c>
      <c r="J113" s="935">
        <v>17.36</v>
      </c>
      <c r="K113" s="935">
        <v>18.22</v>
      </c>
      <c r="L113" s="935">
        <v>18.88</v>
      </c>
      <c r="M113" s="935">
        <v>19.510000000000002</v>
      </c>
      <c r="N113" s="935">
        <v>19.920000000000002</v>
      </c>
      <c r="O113" s="935">
        <v>20.25</v>
      </c>
      <c r="P113" s="935">
        <v>20.399999999999999</v>
      </c>
      <c r="Q113" s="935">
        <v>20.58</v>
      </c>
      <c r="R113" s="935">
        <v>20.89</v>
      </c>
      <c r="S113" s="935">
        <v>21.07</v>
      </c>
      <c r="T113" s="935">
        <v>21.35</v>
      </c>
      <c r="U113" s="935">
        <v>21.6</v>
      </c>
      <c r="V113" s="935">
        <v>21.83</v>
      </c>
      <c r="W113" s="935">
        <v>22.14</v>
      </c>
      <c r="X113" s="935">
        <v>22.54</v>
      </c>
      <c r="Y113" s="935">
        <v>22.71</v>
      </c>
      <c r="Z113" s="935">
        <v>23.14</v>
      </c>
      <c r="AA113" s="935">
        <v>23.54</v>
      </c>
      <c r="AB113" s="935">
        <v>23.87</v>
      </c>
      <c r="AC113" s="935">
        <v>24.28</v>
      </c>
      <c r="AD113" s="935">
        <v>24.7</v>
      </c>
      <c r="AE113" s="974">
        <v>8.9999999999999993E-3</v>
      </c>
      <c r="AF113" s="935"/>
      <c r="AG113" s="935"/>
      <c r="AH113" s="935"/>
      <c r="AI113" s="935"/>
      <c r="AJ113" s="935"/>
      <c r="AK113" s="935"/>
      <c r="AL113" s="935"/>
      <c r="AM113" s="935"/>
      <c r="AN113" s="935"/>
      <c r="AO113" s="935"/>
      <c r="AP113" s="935"/>
      <c r="AQ113" s="935"/>
      <c r="AR113" s="935"/>
      <c r="AS113" s="935"/>
      <c r="AT113" s="935"/>
      <c r="AU113" s="935"/>
      <c r="AV113" s="935"/>
      <c r="AW113" s="935"/>
      <c r="AX113" s="935"/>
      <c r="AY113" s="935"/>
      <c r="AZ113" s="935"/>
      <c r="BA113" s="935"/>
      <c r="BB113" s="935"/>
      <c r="BC113" s="935"/>
      <c r="BD113" s="935"/>
      <c r="BE113" s="935"/>
      <c r="BF113" s="935"/>
      <c r="BG113" s="935"/>
      <c r="BH113" s="935"/>
      <c r="BI113" s="935"/>
      <c r="BJ113" s="935"/>
      <c r="BK113" s="935"/>
      <c r="BL113" s="935"/>
      <c r="BM113" s="935"/>
      <c r="BN113" s="935"/>
      <c r="BO113" s="935"/>
      <c r="BP113" s="935"/>
      <c r="BQ113" s="935"/>
      <c r="BR113" s="935"/>
      <c r="BS113" s="935"/>
      <c r="BT113" s="935"/>
    </row>
    <row r="114" spans="1:72" x14ac:dyDescent="0.25">
      <c r="A114" s="935" t="s">
        <v>611</v>
      </c>
      <c r="B114" s="935">
        <v>9.0399999999999991</v>
      </c>
      <c r="C114" s="935">
        <v>14.56</v>
      </c>
      <c r="D114" s="935">
        <v>8.7799999999999994</v>
      </c>
      <c r="E114" s="935">
        <v>12</v>
      </c>
      <c r="F114" s="935">
        <v>12.17</v>
      </c>
      <c r="G114" s="935">
        <v>13.34</v>
      </c>
      <c r="H114" s="935">
        <v>14.37</v>
      </c>
      <c r="I114" s="935">
        <v>15.11</v>
      </c>
      <c r="J114" s="935">
        <v>15.53</v>
      </c>
      <c r="K114" s="935">
        <v>15.93</v>
      </c>
      <c r="L114" s="935">
        <v>16.45</v>
      </c>
      <c r="M114" s="935">
        <v>16.89</v>
      </c>
      <c r="N114" s="935">
        <v>17.14</v>
      </c>
      <c r="O114" s="935">
        <v>17.22</v>
      </c>
      <c r="P114" s="935">
        <v>17.47</v>
      </c>
      <c r="Q114" s="935">
        <v>17.63</v>
      </c>
      <c r="R114" s="935">
        <v>17.850000000000001</v>
      </c>
      <c r="S114" s="935">
        <v>18.079999999999998</v>
      </c>
      <c r="T114" s="935">
        <v>18.3</v>
      </c>
      <c r="U114" s="935">
        <v>18.38</v>
      </c>
      <c r="V114" s="935">
        <v>18.68</v>
      </c>
      <c r="W114" s="935">
        <v>18.940000000000001</v>
      </c>
      <c r="X114" s="935">
        <v>19.23</v>
      </c>
      <c r="Y114" s="935">
        <v>19.55</v>
      </c>
      <c r="Z114" s="935">
        <v>19.899999999999999</v>
      </c>
      <c r="AA114" s="935">
        <v>20.190000000000001</v>
      </c>
      <c r="AB114" s="935">
        <v>20.43</v>
      </c>
      <c r="AC114" s="935">
        <v>20.77</v>
      </c>
      <c r="AD114" s="935">
        <v>21.12</v>
      </c>
      <c r="AE114" s="974">
        <v>1.4E-2</v>
      </c>
      <c r="AF114" s="935"/>
      <c r="AG114" s="935"/>
      <c r="AH114" s="935"/>
      <c r="AI114" s="935"/>
      <c r="AJ114" s="935"/>
      <c r="AK114" s="935"/>
      <c r="AL114" s="935"/>
      <c r="AM114" s="935"/>
      <c r="AN114" s="935"/>
      <c r="AO114" s="935"/>
      <c r="AP114" s="935"/>
      <c r="AQ114" s="935"/>
      <c r="AR114" s="935"/>
      <c r="AS114" s="935"/>
      <c r="AT114" s="935"/>
      <c r="AU114" s="935"/>
      <c r="AV114" s="935"/>
      <c r="AW114" s="935"/>
      <c r="AX114" s="935"/>
      <c r="AY114" s="935"/>
      <c r="AZ114" s="935"/>
      <c r="BA114" s="935"/>
      <c r="BB114" s="935"/>
      <c r="BC114" s="935"/>
      <c r="BD114" s="935"/>
      <c r="BE114" s="935"/>
      <c r="BF114" s="935"/>
      <c r="BG114" s="935"/>
      <c r="BH114" s="935"/>
      <c r="BI114" s="935"/>
      <c r="BJ114" s="935"/>
      <c r="BK114" s="935"/>
      <c r="BL114" s="935"/>
      <c r="BM114" s="935"/>
      <c r="BN114" s="935"/>
      <c r="BO114" s="935"/>
      <c r="BP114" s="935"/>
      <c r="BQ114" s="935"/>
      <c r="BR114" s="935"/>
      <c r="BS114" s="935"/>
      <c r="BT114" s="935"/>
    </row>
    <row r="115" spans="1:72" x14ac:dyDescent="0.25">
      <c r="A115" s="935" t="s">
        <v>510</v>
      </c>
      <c r="B115" s="935">
        <v>7.26</v>
      </c>
      <c r="C115" s="935">
        <v>9.09</v>
      </c>
      <c r="D115" s="935">
        <v>4.1399999999999997</v>
      </c>
      <c r="E115" s="935">
        <v>4.8499999999999996</v>
      </c>
      <c r="F115" s="935">
        <v>5.82</v>
      </c>
      <c r="G115" s="935">
        <v>6.17</v>
      </c>
      <c r="H115" s="935">
        <v>5.94</v>
      </c>
      <c r="I115" s="935">
        <v>5.9</v>
      </c>
      <c r="J115" s="935">
        <v>6.08</v>
      </c>
      <c r="K115" s="935">
        <v>6.16</v>
      </c>
      <c r="L115" s="935">
        <v>6.17</v>
      </c>
      <c r="M115" s="935">
        <v>6.22</v>
      </c>
      <c r="N115" s="935">
        <v>6.29</v>
      </c>
      <c r="O115" s="935">
        <v>6.42</v>
      </c>
      <c r="P115" s="935">
        <v>6.52</v>
      </c>
      <c r="Q115" s="935">
        <v>6.69</v>
      </c>
      <c r="R115" s="935">
        <v>6.74</v>
      </c>
      <c r="S115" s="935">
        <v>6.7</v>
      </c>
      <c r="T115" s="935">
        <v>6.75</v>
      </c>
      <c r="U115" s="935">
        <v>6.91</v>
      </c>
      <c r="V115" s="935">
        <v>7.05</v>
      </c>
      <c r="W115" s="935">
        <v>7.27</v>
      </c>
      <c r="X115" s="935">
        <v>7.51</v>
      </c>
      <c r="Y115" s="935">
        <v>7.73</v>
      </c>
      <c r="Z115" s="935">
        <v>8.02</v>
      </c>
      <c r="AA115" s="935">
        <v>8.14</v>
      </c>
      <c r="AB115" s="935">
        <v>8.17</v>
      </c>
      <c r="AC115" s="935">
        <v>8.35</v>
      </c>
      <c r="AD115" s="935">
        <v>8.4600000000000009</v>
      </c>
      <c r="AE115" s="974">
        <v>-3.0000000000000001E-3</v>
      </c>
      <c r="AF115" s="935"/>
      <c r="AG115" s="935"/>
      <c r="AH115" s="935"/>
      <c r="AI115" s="935"/>
      <c r="AJ115" s="935"/>
      <c r="AK115" s="935"/>
      <c r="AL115" s="935"/>
      <c r="AM115" s="935"/>
      <c r="AN115" s="935"/>
      <c r="AO115" s="935"/>
      <c r="AP115" s="935"/>
      <c r="AQ115" s="935"/>
      <c r="AR115" s="935"/>
      <c r="AS115" s="935"/>
      <c r="AT115" s="935"/>
      <c r="AU115" s="935"/>
      <c r="AV115" s="935"/>
      <c r="AW115" s="935"/>
      <c r="AX115" s="935"/>
      <c r="AY115" s="935"/>
      <c r="AZ115" s="935"/>
      <c r="BA115" s="935"/>
      <c r="BB115" s="935"/>
      <c r="BC115" s="935"/>
      <c r="BD115" s="935"/>
      <c r="BE115" s="935"/>
      <c r="BF115" s="935"/>
      <c r="BG115" s="935"/>
      <c r="BH115" s="935"/>
      <c r="BI115" s="935"/>
      <c r="BJ115" s="935"/>
      <c r="BK115" s="935"/>
      <c r="BL115" s="935"/>
      <c r="BM115" s="935"/>
      <c r="BN115" s="935"/>
      <c r="BO115" s="935"/>
      <c r="BP115" s="935"/>
      <c r="BQ115" s="935"/>
      <c r="BR115" s="935"/>
      <c r="BS115" s="935"/>
      <c r="BT115" s="935"/>
    </row>
    <row r="116" spans="1:72" x14ac:dyDescent="0.25">
      <c r="A116" s="935" t="s">
        <v>624</v>
      </c>
      <c r="B116" s="935">
        <v>1.8</v>
      </c>
      <c r="C116" s="935">
        <v>2.0499999999999998</v>
      </c>
      <c r="D116" s="935">
        <v>2.15</v>
      </c>
      <c r="E116" s="935">
        <v>1.99</v>
      </c>
      <c r="F116" s="935">
        <v>1.98</v>
      </c>
      <c r="G116" s="935">
        <v>1.99</v>
      </c>
      <c r="H116" s="935">
        <v>1.99</v>
      </c>
      <c r="I116" s="935">
        <v>1.99</v>
      </c>
      <c r="J116" s="935">
        <v>2.0099999999999998</v>
      </c>
      <c r="K116" s="935">
        <v>1.99</v>
      </c>
      <c r="L116" s="935">
        <v>2</v>
      </c>
      <c r="M116" s="935">
        <v>1.99</v>
      </c>
      <c r="N116" s="935">
        <v>1.99</v>
      </c>
      <c r="O116" s="935">
        <v>1.98</v>
      </c>
      <c r="P116" s="935">
        <v>1.98</v>
      </c>
      <c r="Q116" s="935">
        <v>1.99</v>
      </c>
      <c r="R116" s="935">
        <v>1.99</v>
      </c>
      <c r="S116" s="935">
        <v>1.99</v>
      </c>
      <c r="T116" s="935">
        <v>1.99</v>
      </c>
      <c r="U116" s="935">
        <v>2</v>
      </c>
      <c r="V116" s="935">
        <v>2</v>
      </c>
      <c r="W116" s="935">
        <v>2.0099999999999998</v>
      </c>
      <c r="X116" s="935">
        <v>2.02</v>
      </c>
      <c r="Y116" s="935">
        <v>2.0299999999999998</v>
      </c>
      <c r="Z116" s="935">
        <v>2.04</v>
      </c>
      <c r="AA116" s="935">
        <v>2.0499999999999998</v>
      </c>
      <c r="AB116" s="935">
        <v>2.06</v>
      </c>
      <c r="AC116" s="935">
        <v>2.0699999999999998</v>
      </c>
      <c r="AD116" s="935">
        <v>2.09</v>
      </c>
      <c r="AE116" s="974">
        <v>1E-3</v>
      </c>
      <c r="AF116" s="935"/>
      <c r="AG116" s="935"/>
      <c r="AH116" s="935"/>
      <c r="AI116" s="935"/>
      <c r="AJ116" s="935"/>
      <c r="AK116" s="935"/>
      <c r="AL116" s="935"/>
      <c r="AM116" s="935"/>
      <c r="AN116" s="935"/>
      <c r="AO116" s="935"/>
      <c r="AP116" s="935"/>
      <c r="AQ116" s="935"/>
      <c r="AR116" s="935"/>
      <c r="AS116" s="935"/>
      <c r="AT116" s="935"/>
      <c r="AU116" s="935"/>
      <c r="AV116" s="935"/>
      <c r="AW116" s="935"/>
      <c r="AX116" s="935"/>
      <c r="AY116" s="935"/>
      <c r="AZ116" s="935"/>
      <c r="BA116" s="935"/>
      <c r="BB116" s="935"/>
      <c r="BC116" s="935"/>
      <c r="BD116" s="935"/>
      <c r="BE116" s="935"/>
      <c r="BF116" s="935"/>
      <c r="BG116" s="935"/>
      <c r="BH116" s="935"/>
      <c r="BI116" s="935"/>
      <c r="BJ116" s="935"/>
      <c r="BK116" s="935"/>
      <c r="BL116" s="935"/>
      <c r="BM116" s="935"/>
      <c r="BN116" s="935"/>
      <c r="BO116" s="935"/>
      <c r="BP116" s="935"/>
      <c r="BQ116" s="935"/>
      <c r="BR116" s="935"/>
      <c r="BS116" s="935"/>
      <c r="BT116" s="935"/>
    </row>
    <row r="117" spans="1:72" x14ac:dyDescent="0.25">
      <c r="A117" s="935"/>
      <c r="B117" s="935"/>
      <c r="C117" s="935"/>
      <c r="D117" s="935"/>
      <c r="E117" s="935"/>
      <c r="F117" s="935"/>
      <c r="G117" s="935"/>
      <c r="H117" s="935"/>
      <c r="I117" s="935"/>
      <c r="J117" s="935"/>
      <c r="K117" s="935"/>
      <c r="L117" s="935"/>
      <c r="M117" s="935"/>
      <c r="N117" s="935"/>
      <c r="O117" s="935"/>
      <c r="P117" s="935"/>
      <c r="Q117" s="935"/>
      <c r="R117" s="935"/>
      <c r="S117" s="935"/>
      <c r="T117" s="935"/>
      <c r="U117" s="935"/>
      <c r="V117" s="935"/>
      <c r="W117" s="935"/>
      <c r="X117" s="935"/>
      <c r="Y117" s="935"/>
      <c r="Z117" s="935"/>
      <c r="AA117" s="935"/>
      <c r="AB117" s="935"/>
      <c r="AC117" s="935"/>
      <c r="AD117" s="935"/>
      <c r="AE117" s="935"/>
      <c r="AF117" s="935"/>
      <c r="AG117" s="935"/>
      <c r="AH117" s="935"/>
      <c r="AI117" s="935"/>
      <c r="AJ117" s="935"/>
      <c r="AK117" s="935"/>
      <c r="AL117" s="935"/>
      <c r="AM117" s="935"/>
      <c r="AN117" s="935"/>
      <c r="AO117" s="935"/>
      <c r="AP117" s="935"/>
      <c r="AQ117" s="935"/>
      <c r="AR117" s="935"/>
      <c r="AS117" s="935"/>
      <c r="AT117" s="935"/>
      <c r="AU117" s="935"/>
      <c r="AV117" s="935"/>
      <c r="AW117" s="935"/>
      <c r="AX117" s="935"/>
      <c r="AY117" s="935"/>
      <c r="AZ117" s="935"/>
      <c r="BA117" s="935"/>
      <c r="BB117" s="935"/>
      <c r="BC117" s="935"/>
      <c r="BD117" s="935"/>
      <c r="BE117" s="935"/>
      <c r="BF117" s="935"/>
      <c r="BG117" s="935"/>
      <c r="BH117" s="935"/>
      <c r="BI117" s="935"/>
      <c r="BJ117" s="935"/>
      <c r="BK117" s="935"/>
      <c r="BL117" s="935"/>
      <c r="BM117" s="935"/>
      <c r="BN117" s="935"/>
      <c r="BO117" s="935"/>
      <c r="BP117" s="935"/>
      <c r="BQ117" s="935"/>
      <c r="BR117" s="935"/>
      <c r="BS117" s="935"/>
      <c r="BT117" s="935"/>
    </row>
    <row r="118" spans="1:72" x14ac:dyDescent="0.25">
      <c r="A118" s="935" t="s">
        <v>625</v>
      </c>
      <c r="B118" s="935"/>
      <c r="C118" s="935"/>
      <c r="D118" s="935"/>
      <c r="E118" s="935"/>
      <c r="F118" s="935"/>
      <c r="G118" s="935"/>
      <c r="H118" s="935"/>
      <c r="I118" s="935"/>
      <c r="J118" s="935"/>
      <c r="K118" s="935"/>
      <c r="L118" s="935"/>
      <c r="M118" s="935"/>
      <c r="N118" s="935"/>
      <c r="O118" s="935"/>
      <c r="P118" s="935"/>
      <c r="Q118" s="935"/>
      <c r="R118" s="935"/>
      <c r="S118" s="935"/>
      <c r="T118" s="935"/>
      <c r="U118" s="935"/>
      <c r="V118" s="935"/>
      <c r="W118" s="935"/>
      <c r="X118" s="935"/>
      <c r="Y118" s="935"/>
      <c r="Z118" s="935"/>
      <c r="AA118" s="935"/>
      <c r="AB118" s="935"/>
      <c r="AC118" s="935"/>
      <c r="AD118" s="935"/>
      <c r="AE118" s="935"/>
      <c r="AF118" s="935"/>
      <c r="AG118" s="935"/>
      <c r="AH118" s="935"/>
      <c r="AI118" s="935"/>
      <c r="AJ118" s="935"/>
      <c r="AK118" s="935"/>
      <c r="AL118" s="935"/>
      <c r="AM118" s="935"/>
      <c r="AN118" s="935"/>
      <c r="AO118" s="935"/>
      <c r="AP118" s="935"/>
      <c r="AQ118" s="935"/>
      <c r="AR118" s="935"/>
      <c r="AS118" s="935"/>
      <c r="AT118" s="935"/>
      <c r="AU118" s="935"/>
      <c r="AV118" s="935"/>
      <c r="AW118" s="935"/>
      <c r="AX118" s="935"/>
      <c r="AY118" s="935"/>
      <c r="AZ118" s="935"/>
      <c r="BA118" s="935"/>
      <c r="BB118" s="935"/>
      <c r="BC118" s="935"/>
      <c r="BD118" s="935"/>
      <c r="BE118" s="935"/>
      <c r="BF118" s="935"/>
      <c r="BG118" s="935"/>
      <c r="BH118" s="935"/>
      <c r="BI118" s="935"/>
      <c r="BJ118" s="935"/>
      <c r="BK118" s="935"/>
      <c r="BL118" s="935"/>
      <c r="BM118" s="935"/>
      <c r="BN118" s="935"/>
      <c r="BO118" s="935"/>
      <c r="BP118" s="935"/>
      <c r="BQ118" s="935"/>
      <c r="BR118" s="935"/>
      <c r="BS118" s="935"/>
      <c r="BT118" s="935"/>
    </row>
    <row r="119" spans="1:72" x14ac:dyDescent="0.25">
      <c r="A119" s="935" t="s">
        <v>609</v>
      </c>
      <c r="B119" s="935">
        <v>18.940000000000001</v>
      </c>
      <c r="C119" s="935">
        <v>20.190000000000001</v>
      </c>
      <c r="D119" s="935">
        <v>18.36</v>
      </c>
      <c r="E119" s="935">
        <v>16.850000000000001</v>
      </c>
      <c r="F119" s="935">
        <v>16.87</v>
      </c>
      <c r="G119" s="935">
        <v>17.87</v>
      </c>
      <c r="H119" s="935">
        <v>18.97</v>
      </c>
      <c r="I119" s="935">
        <v>19.82</v>
      </c>
      <c r="J119" s="935">
        <v>20.3</v>
      </c>
      <c r="K119" s="935">
        <v>20.84</v>
      </c>
      <c r="L119" s="935">
        <v>21.26</v>
      </c>
      <c r="M119" s="935">
        <v>21.71</v>
      </c>
      <c r="N119" s="935">
        <v>21.93</v>
      </c>
      <c r="O119" s="935">
        <v>22.15</v>
      </c>
      <c r="P119" s="935">
        <v>22.36</v>
      </c>
      <c r="Q119" s="935">
        <v>22.56</v>
      </c>
      <c r="R119" s="935">
        <v>22.83</v>
      </c>
      <c r="S119" s="935">
        <v>23.09</v>
      </c>
      <c r="T119" s="935">
        <v>23.34</v>
      </c>
      <c r="U119" s="935">
        <v>23.49</v>
      </c>
      <c r="V119" s="935">
        <v>23.75</v>
      </c>
      <c r="W119" s="935">
        <v>24</v>
      </c>
      <c r="X119" s="935">
        <v>24.34</v>
      </c>
      <c r="Y119" s="935">
        <v>24.55</v>
      </c>
      <c r="Z119" s="935">
        <v>24.91</v>
      </c>
      <c r="AA119" s="935">
        <v>25.25</v>
      </c>
      <c r="AB119" s="935">
        <v>25.63</v>
      </c>
      <c r="AC119" s="935">
        <v>25.99</v>
      </c>
      <c r="AD119" s="935">
        <v>26.37</v>
      </c>
      <c r="AE119" s="974">
        <v>0.01</v>
      </c>
      <c r="AF119" s="935"/>
      <c r="AG119" s="935"/>
      <c r="AH119" s="935"/>
      <c r="AI119" s="935"/>
      <c r="AJ119" s="935"/>
      <c r="AK119" s="935"/>
      <c r="AL119" s="935"/>
      <c r="AM119" s="935"/>
      <c r="AN119" s="935"/>
      <c r="AO119" s="935"/>
      <c r="AP119" s="935"/>
      <c r="AQ119" s="935"/>
      <c r="AR119" s="935"/>
      <c r="AS119" s="935"/>
      <c r="AT119" s="935"/>
      <c r="AU119" s="935"/>
      <c r="AV119" s="935"/>
      <c r="AW119" s="935"/>
      <c r="AX119" s="935"/>
      <c r="AY119" s="935"/>
      <c r="AZ119" s="935"/>
      <c r="BA119" s="935"/>
      <c r="BB119" s="935"/>
      <c r="BC119" s="935"/>
      <c r="BD119" s="935"/>
      <c r="BE119" s="935"/>
      <c r="BF119" s="935"/>
      <c r="BG119" s="935"/>
      <c r="BH119" s="935"/>
      <c r="BI119" s="935"/>
      <c r="BJ119" s="935"/>
      <c r="BK119" s="935"/>
      <c r="BL119" s="935"/>
      <c r="BM119" s="935"/>
      <c r="BN119" s="935"/>
      <c r="BO119" s="935"/>
      <c r="BP119" s="935"/>
      <c r="BQ119" s="935"/>
      <c r="BR119" s="935"/>
      <c r="BS119" s="935"/>
      <c r="BT119" s="935"/>
    </row>
    <row r="120" spans="1:72" x14ac:dyDescent="0.25">
      <c r="A120" s="935" t="s">
        <v>618</v>
      </c>
      <c r="B120" s="935">
        <v>27.43</v>
      </c>
      <c r="C120" s="935">
        <v>26.93</v>
      </c>
      <c r="D120" s="935">
        <v>23.29</v>
      </c>
      <c r="E120" s="935">
        <v>20.64</v>
      </c>
      <c r="F120" s="935">
        <v>20.97</v>
      </c>
      <c r="G120" s="935">
        <v>22.13</v>
      </c>
      <c r="H120" s="935">
        <v>24.21</v>
      </c>
      <c r="I120" s="935">
        <v>25.23</v>
      </c>
      <c r="J120" s="935">
        <v>25.55</v>
      </c>
      <c r="K120" s="935">
        <v>25.08</v>
      </c>
      <c r="L120" s="935">
        <v>25.9</v>
      </c>
      <c r="M120" s="935">
        <v>26.54</v>
      </c>
      <c r="N120" s="935">
        <v>26.68</v>
      </c>
      <c r="O120" s="935">
        <v>26.95</v>
      </c>
      <c r="P120" s="935">
        <v>27.32</v>
      </c>
      <c r="Q120" s="935">
        <v>27.82</v>
      </c>
      <c r="R120" s="935">
        <v>28.31</v>
      </c>
      <c r="S120" s="935">
        <v>28.55</v>
      </c>
      <c r="T120" s="935">
        <v>28.86</v>
      </c>
      <c r="U120" s="935">
        <v>29.22</v>
      </c>
      <c r="V120" s="935">
        <v>29.49</v>
      </c>
      <c r="W120" s="935">
        <v>30.03</v>
      </c>
      <c r="X120" s="935">
        <v>30.44</v>
      </c>
      <c r="Y120" s="935">
        <v>30.64</v>
      </c>
      <c r="Z120" s="935">
        <v>30.86</v>
      </c>
      <c r="AA120" s="935">
        <v>31.29</v>
      </c>
      <c r="AB120" s="935">
        <v>31.49</v>
      </c>
      <c r="AC120" s="935">
        <v>31.77</v>
      </c>
      <c r="AD120" s="935">
        <v>32.229999999999997</v>
      </c>
      <c r="AE120" s="974">
        <v>7.0000000000000001E-3</v>
      </c>
      <c r="AF120" s="935"/>
      <c r="AG120" s="935"/>
      <c r="AH120" s="935"/>
      <c r="AI120" s="935"/>
      <c r="AJ120" s="935"/>
      <c r="AK120" s="935"/>
      <c r="AL120" s="935"/>
      <c r="AM120" s="935"/>
      <c r="AN120" s="935"/>
      <c r="AO120" s="935"/>
      <c r="AP120" s="935"/>
      <c r="AQ120" s="935"/>
      <c r="AR120" s="935"/>
      <c r="AS120" s="935"/>
      <c r="AT120" s="935"/>
      <c r="AU120" s="935"/>
      <c r="AV120" s="935"/>
      <c r="AW120" s="935"/>
      <c r="AX120" s="935"/>
      <c r="AY120" s="935"/>
      <c r="AZ120" s="935"/>
      <c r="BA120" s="935"/>
      <c r="BB120" s="935"/>
      <c r="BC120" s="935"/>
      <c r="BD120" s="935"/>
      <c r="BE120" s="935"/>
      <c r="BF120" s="935"/>
      <c r="BG120" s="935"/>
      <c r="BH120" s="935"/>
      <c r="BI120" s="935"/>
      <c r="BJ120" s="935"/>
      <c r="BK120" s="935"/>
      <c r="BL120" s="935"/>
      <c r="BM120" s="935"/>
      <c r="BN120" s="935"/>
      <c r="BO120" s="935"/>
      <c r="BP120" s="935"/>
      <c r="BQ120" s="935"/>
      <c r="BR120" s="935"/>
      <c r="BS120" s="935"/>
      <c r="BT120" s="935"/>
    </row>
    <row r="121" spans="1:72" x14ac:dyDescent="0.25">
      <c r="A121" s="935" t="s">
        <v>619</v>
      </c>
      <c r="B121" s="935">
        <v>23.55</v>
      </c>
      <c r="C121" s="935">
        <v>26.54</v>
      </c>
      <c r="D121" s="935">
        <v>19.149999999999999</v>
      </c>
      <c r="E121" s="935">
        <v>20.55</v>
      </c>
      <c r="F121" s="935">
        <v>20.88</v>
      </c>
      <c r="G121" s="935">
        <v>22.03</v>
      </c>
      <c r="H121" s="935">
        <v>24.01</v>
      </c>
      <c r="I121" s="935">
        <v>24.94</v>
      </c>
      <c r="J121" s="935">
        <v>25.36</v>
      </c>
      <c r="K121" s="935">
        <v>25.93</v>
      </c>
      <c r="L121" s="935">
        <v>26.46</v>
      </c>
      <c r="M121" s="935">
        <v>26.89</v>
      </c>
      <c r="N121" s="935">
        <v>27.2</v>
      </c>
      <c r="O121" s="935">
        <v>27.59</v>
      </c>
      <c r="P121" s="935">
        <v>27.82</v>
      </c>
      <c r="Q121" s="935">
        <v>28.17</v>
      </c>
      <c r="R121" s="935">
        <v>28.41</v>
      </c>
      <c r="S121" s="935">
        <v>28.54</v>
      </c>
      <c r="T121" s="935">
        <v>28.87</v>
      </c>
      <c r="U121" s="935">
        <v>29.18</v>
      </c>
      <c r="V121" s="935">
        <v>29.47</v>
      </c>
      <c r="W121" s="935">
        <v>29.9</v>
      </c>
      <c r="X121" s="935">
        <v>30.27</v>
      </c>
      <c r="Y121" s="935">
        <v>30.41</v>
      </c>
      <c r="Z121" s="935">
        <v>30.76</v>
      </c>
      <c r="AA121" s="935">
        <v>31.16</v>
      </c>
      <c r="AB121" s="935">
        <v>31.43</v>
      </c>
      <c r="AC121" s="935">
        <v>31.81</v>
      </c>
      <c r="AD121" s="935">
        <v>32.32</v>
      </c>
      <c r="AE121" s="974">
        <v>7.0000000000000001E-3</v>
      </c>
      <c r="AF121" s="935"/>
      <c r="AG121" s="935"/>
      <c r="AH121" s="935"/>
      <c r="AI121" s="935"/>
      <c r="AJ121" s="935"/>
      <c r="AK121" s="935"/>
      <c r="AL121" s="935"/>
      <c r="AM121" s="935"/>
      <c r="AN121" s="935"/>
      <c r="AO121" s="935"/>
      <c r="AP121" s="935"/>
      <c r="AQ121" s="935"/>
      <c r="AR121" s="935"/>
      <c r="AS121" s="935"/>
      <c r="AT121" s="935"/>
      <c r="AU121" s="935"/>
      <c r="AV121" s="935"/>
      <c r="AW121" s="935"/>
      <c r="AX121" s="935"/>
      <c r="AY121" s="935"/>
      <c r="AZ121" s="935"/>
      <c r="BA121" s="935"/>
      <c r="BB121" s="935"/>
      <c r="BC121" s="935"/>
      <c r="BD121" s="935"/>
      <c r="BE121" s="935"/>
      <c r="BF121" s="935"/>
      <c r="BG121" s="935"/>
      <c r="BH121" s="935"/>
      <c r="BI121" s="935"/>
      <c r="BJ121" s="935"/>
      <c r="BK121" s="935"/>
      <c r="BL121" s="935"/>
      <c r="BM121" s="935"/>
      <c r="BN121" s="935"/>
      <c r="BO121" s="935"/>
      <c r="BP121" s="935"/>
      <c r="BQ121" s="935"/>
      <c r="BR121" s="935"/>
      <c r="BS121" s="935"/>
      <c r="BT121" s="935"/>
    </row>
    <row r="122" spans="1:72" x14ac:dyDescent="0.25">
      <c r="A122" s="935" t="s">
        <v>626</v>
      </c>
      <c r="B122" s="935">
        <v>15.77</v>
      </c>
      <c r="C122" s="935">
        <v>22.71</v>
      </c>
      <c r="D122" s="935">
        <v>12.73</v>
      </c>
      <c r="E122" s="935">
        <v>14.79</v>
      </c>
      <c r="F122" s="935">
        <v>15.16</v>
      </c>
      <c r="G122" s="935">
        <v>16.54</v>
      </c>
      <c r="H122" s="935">
        <v>17.690000000000001</v>
      </c>
      <c r="I122" s="935">
        <v>18.46</v>
      </c>
      <c r="J122" s="935">
        <v>19.04</v>
      </c>
      <c r="K122" s="935">
        <v>19.760000000000002</v>
      </c>
      <c r="L122" s="935">
        <v>20.41</v>
      </c>
      <c r="M122" s="935">
        <v>20.97</v>
      </c>
      <c r="N122" s="935">
        <v>21.35</v>
      </c>
      <c r="O122" s="935">
        <v>21.69</v>
      </c>
      <c r="P122" s="935">
        <v>21.85</v>
      </c>
      <c r="Q122" s="935">
        <v>22.09</v>
      </c>
      <c r="R122" s="935">
        <v>22.41</v>
      </c>
      <c r="S122" s="935">
        <v>22.61</v>
      </c>
      <c r="T122" s="935">
        <v>22.92</v>
      </c>
      <c r="U122" s="935">
        <v>23.19</v>
      </c>
      <c r="V122" s="935">
        <v>23.48</v>
      </c>
      <c r="W122" s="935">
        <v>23.9</v>
      </c>
      <c r="X122" s="935">
        <v>24.26</v>
      </c>
      <c r="Y122" s="935">
        <v>24.51</v>
      </c>
      <c r="Z122" s="935">
        <v>24.9</v>
      </c>
      <c r="AA122" s="935">
        <v>25.3</v>
      </c>
      <c r="AB122" s="935">
        <v>25.64</v>
      </c>
      <c r="AC122" s="935">
        <v>26.05</v>
      </c>
      <c r="AD122" s="935">
        <v>26.48</v>
      </c>
      <c r="AE122" s="974">
        <v>6.0000000000000001E-3</v>
      </c>
      <c r="AF122" s="935"/>
      <c r="AG122" s="935"/>
      <c r="AH122" s="935"/>
      <c r="AI122" s="935"/>
      <c r="AJ122" s="935"/>
      <c r="AK122" s="935"/>
      <c r="AL122" s="935"/>
      <c r="AM122" s="935"/>
      <c r="AN122" s="935"/>
      <c r="AO122" s="935"/>
      <c r="AP122" s="935"/>
      <c r="AQ122" s="935"/>
      <c r="AR122" s="935"/>
      <c r="AS122" s="935"/>
      <c r="AT122" s="935"/>
      <c r="AU122" s="935"/>
      <c r="AV122" s="935"/>
      <c r="AW122" s="935"/>
      <c r="AX122" s="935"/>
      <c r="AY122" s="935"/>
      <c r="AZ122" s="935"/>
      <c r="BA122" s="935"/>
      <c r="BB122" s="935"/>
      <c r="BC122" s="935"/>
      <c r="BD122" s="935"/>
      <c r="BE122" s="935"/>
      <c r="BF122" s="935"/>
      <c r="BG122" s="935"/>
      <c r="BH122" s="935"/>
      <c r="BI122" s="935"/>
      <c r="BJ122" s="935"/>
      <c r="BK122" s="935"/>
      <c r="BL122" s="935"/>
      <c r="BM122" s="935"/>
      <c r="BN122" s="935"/>
      <c r="BO122" s="935"/>
      <c r="BP122" s="935"/>
      <c r="BQ122" s="935"/>
      <c r="BR122" s="935"/>
      <c r="BS122" s="935"/>
      <c r="BT122" s="935"/>
    </row>
    <row r="123" spans="1:72" x14ac:dyDescent="0.25">
      <c r="A123" s="935" t="s">
        <v>610</v>
      </c>
      <c r="B123" s="935">
        <v>20.71</v>
      </c>
      <c r="C123" s="935">
        <v>26.27</v>
      </c>
      <c r="D123" s="935">
        <v>17.46</v>
      </c>
      <c r="E123" s="935">
        <v>17.73</v>
      </c>
      <c r="F123" s="935">
        <v>18.149999999999999</v>
      </c>
      <c r="G123" s="935">
        <v>19.45</v>
      </c>
      <c r="H123" s="935">
        <v>20.62</v>
      </c>
      <c r="I123" s="935">
        <v>21.35</v>
      </c>
      <c r="J123" s="935">
        <v>22.03</v>
      </c>
      <c r="K123" s="935">
        <v>22.8</v>
      </c>
      <c r="L123" s="935">
        <v>23.45</v>
      </c>
      <c r="M123" s="935">
        <v>24.07</v>
      </c>
      <c r="N123" s="935">
        <v>24.47</v>
      </c>
      <c r="O123" s="935">
        <v>24.79</v>
      </c>
      <c r="P123" s="935">
        <v>24.99</v>
      </c>
      <c r="Q123" s="935">
        <v>25.32</v>
      </c>
      <c r="R123" s="935">
        <v>25.5</v>
      </c>
      <c r="S123" s="935">
        <v>25.59</v>
      </c>
      <c r="T123" s="935">
        <v>25.89</v>
      </c>
      <c r="U123" s="935">
        <v>26.12</v>
      </c>
      <c r="V123" s="935">
        <v>26.38</v>
      </c>
      <c r="W123" s="935">
        <v>26.71</v>
      </c>
      <c r="X123" s="935">
        <v>27.11</v>
      </c>
      <c r="Y123" s="935">
        <v>27.29</v>
      </c>
      <c r="Z123" s="935">
        <v>27.73</v>
      </c>
      <c r="AA123" s="935">
        <v>28.13</v>
      </c>
      <c r="AB123" s="935">
        <v>28.46</v>
      </c>
      <c r="AC123" s="935">
        <v>28.87</v>
      </c>
      <c r="AD123" s="935">
        <v>29.34</v>
      </c>
      <c r="AE123" s="974">
        <v>4.0000000000000001E-3</v>
      </c>
      <c r="AF123" s="935"/>
      <c r="AG123" s="935"/>
      <c r="AH123" s="935"/>
      <c r="AI123" s="935"/>
      <c r="AJ123" s="935"/>
      <c r="AK123" s="935"/>
      <c r="AL123" s="935"/>
      <c r="AM123" s="935"/>
      <c r="AN123" s="935"/>
      <c r="AO123" s="935"/>
      <c r="AP123" s="935"/>
      <c r="AQ123" s="935"/>
      <c r="AR123" s="935"/>
      <c r="AS123" s="935"/>
      <c r="AT123" s="935"/>
      <c r="AU123" s="935"/>
      <c r="AV123" s="935"/>
      <c r="AW123" s="935"/>
      <c r="AX123" s="935"/>
      <c r="AY123" s="935"/>
      <c r="AZ123" s="935"/>
      <c r="BA123" s="935"/>
      <c r="BB123" s="935"/>
      <c r="BC123" s="935"/>
      <c r="BD123" s="935"/>
      <c r="BE123" s="935"/>
      <c r="BF123" s="935"/>
      <c r="BG123" s="935"/>
      <c r="BH123" s="935"/>
      <c r="BI123" s="935"/>
      <c r="BJ123" s="935"/>
      <c r="BK123" s="935"/>
      <c r="BL123" s="935"/>
      <c r="BM123" s="935"/>
      <c r="BN123" s="935"/>
      <c r="BO123" s="935"/>
      <c r="BP123" s="935"/>
      <c r="BQ123" s="935"/>
      <c r="BR123" s="935"/>
      <c r="BS123" s="935"/>
      <c r="BT123" s="935"/>
    </row>
    <row r="124" spans="1:72" x14ac:dyDescent="0.25">
      <c r="A124" s="935" t="s">
        <v>611</v>
      </c>
      <c r="B124" s="935">
        <v>9.07</v>
      </c>
      <c r="C124" s="935">
        <v>14.77</v>
      </c>
      <c r="D124" s="935">
        <v>8.9600000000000009</v>
      </c>
      <c r="E124" s="935">
        <v>10.9</v>
      </c>
      <c r="F124" s="935">
        <v>11.01</v>
      </c>
      <c r="G124" s="935">
        <v>12.17</v>
      </c>
      <c r="H124" s="935">
        <v>13.13</v>
      </c>
      <c r="I124" s="935">
        <v>13.86</v>
      </c>
      <c r="J124" s="935">
        <v>14.26</v>
      </c>
      <c r="K124" s="935">
        <v>14.63</v>
      </c>
      <c r="L124" s="935">
        <v>15.14</v>
      </c>
      <c r="M124" s="935">
        <v>15.55</v>
      </c>
      <c r="N124" s="935">
        <v>15.76</v>
      </c>
      <c r="O124" s="935">
        <v>15.81</v>
      </c>
      <c r="P124" s="935">
        <v>16.05</v>
      </c>
      <c r="Q124" s="935">
        <v>16.190000000000001</v>
      </c>
      <c r="R124" s="935">
        <v>16.399999999999999</v>
      </c>
      <c r="S124" s="935">
        <v>16.600000000000001</v>
      </c>
      <c r="T124" s="935">
        <v>16.8</v>
      </c>
      <c r="U124" s="935">
        <v>16.850000000000001</v>
      </c>
      <c r="V124" s="935">
        <v>17.13</v>
      </c>
      <c r="W124" s="935">
        <v>17.37</v>
      </c>
      <c r="X124" s="935">
        <v>17.66</v>
      </c>
      <c r="Y124" s="935">
        <v>17.96</v>
      </c>
      <c r="Z124" s="935">
        <v>18.3</v>
      </c>
      <c r="AA124" s="935">
        <v>18.559999999999999</v>
      </c>
      <c r="AB124" s="935">
        <v>18.79</v>
      </c>
      <c r="AC124" s="935">
        <v>19.12</v>
      </c>
      <c r="AD124" s="935">
        <v>19.46</v>
      </c>
      <c r="AE124" s="974">
        <v>0.01</v>
      </c>
      <c r="AF124" s="935"/>
      <c r="AG124" s="935"/>
      <c r="AH124" s="935"/>
      <c r="AI124" s="935"/>
      <c r="AJ124" s="935"/>
      <c r="AK124" s="935"/>
      <c r="AL124" s="935"/>
      <c r="AM124" s="935"/>
      <c r="AN124" s="935"/>
      <c r="AO124" s="935"/>
      <c r="AP124" s="935"/>
      <c r="AQ124" s="935"/>
      <c r="AR124" s="935"/>
      <c r="AS124" s="935"/>
      <c r="AT124" s="935"/>
      <c r="AU124" s="935"/>
      <c r="AV124" s="935"/>
      <c r="AW124" s="935"/>
      <c r="AX124" s="935"/>
      <c r="AY124" s="935"/>
      <c r="AZ124" s="935"/>
      <c r="BA124" s="935"/>
      <c r="BB124" s="935"/>
      <c r="BC124" s="935"/>
      <c r="BD124" s="935"/>
      <c r="BE124" s="935"/>
      <c r="BF124" s="935"/>
      <c r="BG124" s="935"/>
      <c r="BH124" s="935"/>
      <c r="BI124" s="935"/>
      <c r="BJ124" s="935"/>
      <c r="BK124" s="935"/>
      <c r="BL124" s="935"/>
      <c r="BM124" s="935"/>
      <c r="BN124" s="935"/>
      <c r="BO124" s="935"/>
      <c r="BP124" s="935"/>
      <c r="BQ124" s="935"/>
      <c r="BR124" s="935"/>
      <c r="BS124" s="935"/>
      <c r="BT124" s="935"/>
    </row>
    <row r="125" spans="1:72" x14ac:dyDescent="0.25">
      <c r="A125" s="935" t="s">
        <v>510</v>
      </c>
      <c r="B125" s="935">
        <v>9.19</v>
      </c>
      <c r="C125" s="935">
        <v>10.53</v>
      </c>
      <c r="D125" s="935">
        <v>6.57</v>
      </c>
      <c r="E125" s="935">
        <v>6.87</v>
      </c>
      <c r="F125" s="935">
        <v>7.87</v>
      </c>
      <c r="G125" s="935">
        <v>8.1999999999999993</v>
      </c>
      <c r="H125" s="935">
        <v>8.0500000000000007</v>
      </c>
      <c r="I125" s="935">
        <v>8.02</v>
      </c>
      <c r="J125" s="935">
        <v>8.14</v>
      </c>
      <c r="K125" s="935">
        <v>8.2200000000000006</v>
      </c>
      <c r="L125" s="935">
        <v>8.2200000000000006</v>
      </c>
      <c r="M125" s="935">
        <v>8.27</v>
      </c>
      <c r="N125" s="935">
        <v>8.33</v>
      </c>
      <c r="O125" s="935">
        <v>8.44</v>
      </c>
      <c r="P125" s="935">
        <v>8.5500000000000007</v>
      </c>
      <c r="Q125" s="935">
        <v>8.73</v>
      </c>
      <c r="R125" s="935">
        <v>8.77</v>
      </c>
      <c r="S125" s="935">
        <v>8.68</v>
      </c>
      <c r="T125" s="935">
        <v>8.75</v>
      </c>
      <c r="U125" s="935">
        <v>8.89</v>
      </c>
      <c r="V125" s="935">
        <v>9.0399999999999991</v>
      </c>
      <c r="W125" s="935">
        <v>9.26</v>
      </c>
      <c r="X125" s="935">
        <v>9.49</v>
      </c>
      <c r="Y125" s="935">
        <v>9.74</v>
      </c>
      <c r="Z125" s="935">
        <v>10.050000000000001</v>
      </c>
      <c r="AA125" s="935">
        <v>10.17</v>
      </c>
      <c r="AB125" s="935">
        <v>10.210000000000001</v>
      </c>
      <c r="AC125" s="935">
        <v>10.4</v>
      </c>
      <c r="AD125" s="935">
        <v>10.54</v>
      </c>
      <c r="AE125" s="974">
        <v>0</v>
      </c>
      <c r="AF125" s="935"/>
      <c r="AG125" s="935"/>
      <c r="AH125" s="935"/>
      <c r="AI125" s="935"/>
      <c r="AJ125" s="935"/>
      <c r="AK125" s="935"/>
      <c r="AL125" s="935"/>
      <c r="AM125" s="935"/>
      <c r="AN125" s="935"/>
      <c r="AO125" s="935"/>
      <c r="AP125" s="935"/>
      <c r="AQ125" s="935"/>
      <c r="AR125" s="935"/>
      <c r="AS125" s="935"/>
      <c r="AT125" s="935"/>
      <c r="AU125" s="935"/>
      <c r="AV125" s="935"/>
      <c r="AW125" s="935"/>
      <c r="AX125" s="935"/>
      <c r="AY125" s="935"/>
      <c r="AZ125" s="935"/>
      <c r="BA125" s="935"/>
      <c r="BB125" s="935"/>
      <c r="BC125" s="935"/>
      <c r="BD125" s="935"/>
      <c r="BE125" s="935"/>
      <c r="BF125" s="935"/>
      <c r="BG125" s="935"/>
      <c r="BH125" s="935"/>
      <c r="BI125" s="935"/>
      <c r="BJ125" s="935"/>
      <c r="BK125" s="935"/>
      <c r="BL125" s="935"/>
      <c r="BM125" s="935"/>
      <c r="BN125" s="935"/>
      <c r="BO125" s="935"/>
      <c r="BP125" s="935"/>
      <c r="BQ125" s="935"/>
      <c r="BR125" s="935"/>
      <c r="BS125" s="935"/>
      <c r="BT125" s="935"/>
    </row>
    <row r="126" spans="1:72" x14ac:dyDescent="0.25">
      <c r="A126" s="935" t="s">
        <v>614</v>
      </c>
      <c r="B126" s="935">
        <v>3.69</v>
      </c>
      <c r="C126" s="935">
        <v>4.49</v>
      </c>
      <c r="D126" s="935">
        <v>4.72</v>
      </c>
      <c r="E126" s="935">
        <v>4.8</v>
      </c>
      <c r="F126" s="935">
        <v>4.8600000000000003</v>
      </c>
      <c r="G126" s="935">
        <v>5.0199999999999996</v>
      </c>
      <c r="H126" s="935">
        <v>5.05</v>
      </c>
      <c r="I126" s="935">
        <v>5.08</v>
      </c>
      <c r="J126" s="935">
        <v>5.08</v>
      </c>
      <c r="K126" s="935">
        <v>5.09</v>
      </c>
      <c r="L126" s="935">
        <v>5.16</v>
      </c>
      <c r="M126" s="935">
        <v>5.22</v>
      </c>
      <c r="N126" s="935">
        <v>5.29</v>
      </c>
      <c r="O126" s="935">
        <v>5.32</v>
      </c>
      <c r="P126" s="935">
        <v>5.35</v>
      </c>
      <c r="Q126" s="935">
        <v>5.36</v>
      </c>
      <c r="R126" s="935">
        <v>5.35</v>
      </c>
      <c r="S126" s="935">
        <v>5.32</v>
      </c>
      <c r="T126" s="935">
        <v>5.24</v>
      </c>
      <c r="U126" s="935">
        <v>5.16</v>
      </c>
      <c r="V126" s="935">
        <v>5.14</v>
      </c>
      <c r="W126" s="935">
        <v>5.14</v>
      </c>
      <c r="X126" s="935">
        <v>5.1100000000000003</v>
      </c>
      <c r="Y126" s="935">
        <v>5.1100000000000003</v>
      </c>
      <c r="Z126" s="935">
        <v>5.09</v>
      </c>
      <c r="AA126" s="935">
        <v>5.08</v>
      </c>
      <c r="AB126" s="935">
        <v>5.08</v>
      </c>
      <c r="AC126" s="935">
        <v>5.0599999999999996</v>
      </c>
      <c r="AD126" s="935">
        <v>5.0599999999999996</v>
      </c>
      <c r="AE126" s="974">
        <v>4.0000000000000001E-3</v>
      </c>
      <c r="AF126" s="935"/>
      <c r="AG126" s="935"/>
      <c r="AH126" s="935"/>
      <c r="AI126" s="935"/>
      <c r="AJ126" s="935"/>
      <c r="AK126" s="935"/>
      <c r="AL126" s="935"/>
      <c r="AM126" s="935"/>
      <c r="AN126" s="935"/>
      <c r="AO126" s="935"/>
      <c r="AP126" s="935"/>
      <c r="AQ126" s="935"/>
      <c r="AR126" s="935"/>
      <c r="AS126" s="935"/>
      <c r="AT126" s="935"/>
      <c r="AU126" s="935"/>
      <c r="AV126" s="935"/>
      <c r="AW126" s="935"/>
      <c r="AX126" s="935"/>
      <c r="AY126" s="935"/>
      <c r="AZ126" s="935"/>
      <c r="BA126" s="935"/>
      <c r="BB126" s="935"/>
      <c r="BC126" s="935"/>
      <c r="BD126" s="935"/>
      <c r="BE126" s="935"/>
      <c r="BF126" s="935"/>
      <c r="BG126" s="935"/>
      <c r="BH126" s="935"/>
      <c r="BI126" s="935"/>
      <c r="BJ126" s="935"/>
      <c r="BK126" s="935"/>
      <c r="BL126" s="935"/>
      <c r="BM126" s="935"/>
      <c r="BN126" s="935"/>
      <c r="BO126" s="935"/>
      <c r="BP126" s="935"/>
      <c r="BQ126" s="935"/>
      <c r="BR126" s="935"/>
      <c r="BS126" s="935"/>
      <c r="BT126" s="935"/>
    </row>
    <row r="127" spans="1:72" x14ac:dyDescent="0.25">
      <c r="A127" s="935" t="s">
        <v>627</v>
      </c>
      <c r="B127" s="935">
        <v>1.84</v>
      </c>
      <c r="C127" s="935">
        <v>2.1</v>
      </c>
      <c r="D127" s="935">
        <v>2.19</v>
      </c>
      <c r="E127" s="935">
        <v>2.0299999999999998</v>
      </c>
      <c r="F127" s="935">
        <v>2.02</v>
      </c>
      <c r="G127" s="935">
        <v>2.0299999999999998</v>
      </c>
      <c r="H127" s="935">
        <v>2.0299999999999998</v>
      </c>
      <c r="I127" s="935">
        <v>2.0299999999999998</v>
      </c>
      <c r="J127" s="935">
        <v>2.0499999999999998</v>
      </c>
      <c r="K127" s="935">
        <v>2.0299999999999998</v>
      </c>
      <c r="L127" s="935">
        <v>2.04</v>
      </c>
      <c r="M127" s="935">
        <v>2.0299999999999998</v>
      </c>
      <c r="N127" s="935">
        <v>2.02</v>
      </c>
      <c r="O127" s="935">
        <v>2.02</v>
      </c>
      <c r="P127" s="935">
        <v>2.02</v>
      </c>
      <c r="Q127" s="935">
        <v>2.0299999999999998</v>
      </c>
      <c r="R127" s="935">
        <v>2.02</v>
      </c>
      <c r="S127" s="935">
        <v>2.02</v>
      </c>
      <c r="T127" s="935">
        <v>2.02</v>
      </c>
      <c r="U127" s="935">
        <v>2.0299999999999998</v>
      </c>
      <c r="V127" s="935">
        <v>2.0299999999999998</v>
      </c>
      <c r="W127" s="935">
        <v>2.04</v>
      </c>
      <c r="X127" s="935">
        <v>2.0499999999999998</v>
      </c>
      <c r="Y127" s="935">
        <v>2.06</v>
      </c>
      <c r="Z127" s="935">
        <v>2.0699999999999998</v>
      </c>
      <c r="AA127" s="935">
        <v>2.08</v>
      </c>
      <c r="AB127" s="935">
        <v>2.09</v>
      </c>
      <c r="AC127" s="935">
        <v>2.1</v>
      </c>
      <c r="AD127" s="935">
        <v>2.12</v>
      </c>
      <c r="AE127" s="974">
        <v>0</v>
      </c>
      <c r="AF127" s="935"/>
      <c r="AG127" s="935"/>
      <c r="AH127" s="935"/>
      <c r="AI127" s="935"/>
      <c r="AJ127" s="935"/>
      <c r="AK127" s="935"/>
      <c r="AL127" s="935"/>
      <c r="AM127" s="935"/>
      <c r="AN127" s="935"/>
      <c r="AO127" s="935"/>
      <c r="AP127" s="935"/>
      <c r="AQ127" s="935"/>
      <c r="AR127" s="935"/>
      <c r="AS127" s="935"/>
      <c r="AT127" s="935"/>
      <c r="AU127" s="935"/>
      <c r="AV127" s="935"/>
      <c r="AW127" s="935"/>
      <c r="AX127" s="935"/>
      <c r="AY127" s="935"/>
      <c r="AZ127" s="935"/>
      <c r="BA127" s="935"/>
      <c r="BB127" s="935"/>
      <c r="BC127" s="935"/>
      <c r="BD127" s="935"/>
      <c r="BE127" s="935"/>
      <c r="BF127" s="935"/>
      <c r="BG127" s="935"/>
      <c r="BH127" s="935"/>
      <c r="BI127" s="935"/>
      <c r="BJ127" s="935"/>
      <c r="BK127" s="935"/>
      <c r="BL127" s="935"/>
      <c r="BM127" s="935"/>
      <c r="BN127" s="935"/>
      <c r="BO127" s="935"/>
      <c r="BP127" s="935"/>
      <c r="BQ127" s="935"/>
      <c r="BR127" s="935"/>
      <c r="BS127" s="935"/>
      <c r="BT127" s="935"/>
    </row>
    <row r="128" spans="1:72" x14ac:dyDescent="0.25">
      <c r="A128" s="935" t="s">
        <v>616</v>
      </c>
      <c r="B128" s="935" t="s">
        <v>788</v>
      </c>
      <c r="C128" s="935" t="s">
        <v>788</v>
      </c>
      <c r="D128" s="935" t="s">
        <v>788</v>
      </c>
      <c r="E128" s="935" t="s">
        <v>788</v>
      </c>
      <c r="F128" s="935">
        <v>1.26</v>
      </c>
      <c r="G128" s="935">
        <v>1.04</v>
      </c>
      <c r="H128" s="935">
        <v>1.04</v>
      </c>
      <c r="I128" s="935">
        <v>1.41</v>
      </c>
      <c r="J128" s="935">
        <v>1.42</v>
      </c>
      <c r="K128" s="935">
        <v>1.46</v>
      </c>
      <c r="L128" s="935">
        <v>1.48</v>
      </c>
      <c r="M128" s="935">
        <v>1.48</v>
      </c>
      <c r="N128" s="935">
        <v>1.47</v>
      </c>
      <c r="O128" s="935">
        <v>1.46</v>
      </c>
      <c r="P128" s="935">
        <v>1.49</v>
      </c>
      <c r="Q128" s="935">
        <v>1.5</v>
      </c>
      <c r="R128" s="935">
        <v>1.52</v>
      </c>
      <c r="S128" s="935">
        <v>1.49</v>
      </c>
      <c r="T128" s="935">
        <v>1.49</v>
      </c>
      <c r="U128" s="935">
        <v>1.47</v>
      </c>
      <c r="V128" s="935">
        <v>1.46</v>
      </c>
      <c r="W128" s="935">
        <v>1.45</v>
      </c>
      <c r="X128" s="935">
        <v>1.44</v>
      </c>
      <c r="Y128" s="935">
        <v>1.44</v>
      </c>
      <c r="Z128" s="935">
        <v>1.44</v>
      </c>
      <c r="AA128" s="935">
        <v>1.44</v>
      </c>
      <c r="AB128" s="935">
        <v>1.46</v>
      </c>
      <c r="AC128" s="935">
        <v>1.48</v>
      </c>
      <c r="AD128" s="935">
        <v>1.51</v>
      </c>
      <c r="AE128" s="935" t="s">
        <v>788</v>
      </c>
      <c r="AF128" s="935"/>
      <c r="AG128" s="935"/>
      <c r="AH128" s="935"/>
      <c r="AI128" s="935"/>
      <c r="AJ128" s="935"/>
      <c r="AK128" s="935"/>
      <c r="AL128" s="935"/>
      <c r="AM128" s="935"/>
      <c r="AN128" s="935"/>
      <c r="AO128" s="935"/>
      <c r="AP128" s="935"/>
      <c r="AQ128" s="935"/>
      <c r="AR128" s="935"/>
      <c r="AS128" s="935"/>
      <c r="AT128" s="935"/>
      <c r="AU128" s="935"/>
      <c r="AV128" s="935"/>
      <c r="AW128" s="935"/>
      <c r="AX128" s="935"/>
      <c r="AY128" s="935"/>
      <c r="AZ128" s="935"/>
      <c r="BA128" s="935"/>
      <c r="BB128" s="935"/>
      <c r="BC128" s="935"/>
      <c r="BD128" s="935"/>
      <c r="BE128" s="935"/>
      <c r="BF128" s="935"/>
      <c r="BG128" s="935"/>
      <c r="BH128" s="935"/>
      <c r="BI128" s="935"/>
      <c r="BJ128" s="935"/>
      <c r="BK128" s="935"/>
      <c r="BL128" s="935"/>
      <c r="BM128" s="935"/>
      <c r="BN128" s="935"/>
      <c r="BO128" s="935"/>
      <c r="BP128" s="935"/>
      <c r="BQ128" s="935"/>
      <c r="BR128" s="935"/>
      <c r="BS128" s="935"/>
      <c r="BT128" s="935"/>
    </row>
    <row r="129" spans="1:72" x14ac:dyDescent="0.25">
      <c r="A129" s="935" t="s">
        <v>479</v>
      </c>
      <c r="B129" s="935">
        <v>27.25</v>
      </c>
      <c r="C129" s="935">
        <v>28.81</v>
      </c>
      <c r="D129" s="935">
        <v>28.07</v>
      </c>
      <c r="E129" s="935">
        <v>26.77</v>
      </c>
      <c r="F129" s="935">
        <v>25.2</v>
      </c>
      <c r="G129" s="935">
        <v>26.1</v>
      </c>
      <c r="H129" s="935">
        <v>26.17</v>
      </c>
      <c r="I129" s="935">
        <v>25.97</v>
      </c>
      <c r="J129" s="935">
        <v>25.95</v>
      </c>
      <c r="K129" s="935">
        <v>26.2</v>
      </c>
      <c r="L129" s="935">
        <v>26.36</v>
      </c>
      <c r="M129" s="935">
        <v>26.37</v>
      </c>
      <c r="N129" s="935">
        <v>26.31</v>
      </c>
      <c r="O129" s="935">
        <v>26.51</v>
      </c>
      <c r="P129" s="935">
        <v>26.7</v>
      </c>
      <c r="Q129" s="935">
        <v>26.84</v>
      </c>
      <c r="R129" s="935">
        <v>27.04</v>
      </c>
      <c r="S129" s="935">
        <v>27.19</v>
      </c>
      <c r="T129" s="935">
        <v>27.17</v>
      </c>
      <c r="U129" s="935">
        <v>27.33</v>
      </c>
      <c r="V129" s="935">
        <v>27.53</v>
      </c>
      <c r="W129" s="935">
        <v>27.74</v>
      </c>
      <c r="X129" s="935">
        <v>28.16</v>
      </c>
      <c r="Y129" s="935">
        <v>28.49</v>
      </c>
      <c r="Z129" s="935">
        <v>28.86</v>
      </c>
      <c r="AA129" s="935">
        <v>29.21</v>
      </c>
      <c r="AB129" s="935">
        <v>29.38</v>
      </c>
      <c r="AC129" s="935">
        <v>29.64</v>
      </c>
      <c r="AD129" s="935">
        <v>29.87</v>
      </c>
      <c r="AE129" s="974">
        <v>1E-3</v>
      </c>
      <c r="AF129" s="935"/>
      <c r="AG129" s="935"/>
      <c r="AH129" s="935"/>
      <c r="AI129" s="935"/>
      <c r="AJ129" s="935"/>
      <c r="AK129" s="935"/>
      <c r="AL129" s="935"/>
      <c r="AM129" s="935"/>
      <c r="AN129" s="935"/>
      <c r="AO129" s="935"/>
      <c r="AP129" s="935"/>
      <c r="AQ129" s="935"/>
      <c r="AR129" s="935"/>
      <c r="AS129" s="935"/>
      <c r="AT129" s="935"/>
      <c r="AU129" s="935"/>
      <c r="AV129" s="935"/>
      <c r="AW129" s="935"/>
      <c r="AX129" s="935"/>
      <c r="AY129" s="935"/>
      <c r="AZ129" s="935"/>
      <c r="BA129" s="935"/>
      <c r="BB129" s="935"/>
      <c r="BC129" s="935"/>
      <c r="BD129" s="935"/>
      <c r="BE129" s="935"/>
      <c r="BF129" s="935"/>
      <c r="BG129" s="935"/>
      <c r="BH129" s="935"/>
      <c r="BI129" s="935"/>
      <c r="BJ129" s="935"/>
      <c r="BK129" s="935"/>
      <c r="BL129" s="935"/>
      <c r="BM129" s="935"/>
      <c r="BN129" s="935"/>
      <c r="BO129" s="935"/>
      <c r="BP129" s="935"/>
      <c r="BQ129" s="935"/>
      <c r="BR129" s="935"/>
      <c r="BS129" s="935"/>
      <c r="BT129" s="935"/>
    </row>
    <row r="130" spans="1:72" x14ac:dyDescent="0.25">
      <c r="A130" s="935"/>
      <c r="B130" s="935"/>
      <c r="C130" s="935"/>
      <c r="D130" s="935"/>
      <c r="E130" s="935"/>
      <c r="F130" s="935"/>
      <c r="G130" s="935"/>
      <c r="H130" s="935"/>
      <c r="I130" s="935"/>
      <c r="J130" s="935"/>
      <c r="K130" s="935"/>
      <c r="L130" s="935"/>
      <c r="M130" s="935"/>
      <c r="N130" s="935"/>
      <c r="O130" s="935"/>
      <c r="P130" s="935"/>
      <c r="Q130" s="935"/>
      <c r="R130" s="935"/>
      <c r="S130" s="935"/>
      <c r="T130" s="935"/>
      <c r="U130" s="935"/>
      <c r="V130" s="935"/>
      <c r="W130" s="935"/>
      <c r="X130" s="935"/>
      <c r="Y130" s="935"/>
      <c r="Z130" s="935"/>
      <c r="AA130" s="935"/>
      <c r="AB130" s="935"/>
      <c r="AC130" s="935"/>
      <c r="AD130" s="935"/>
      <c r="AE130" s="935"/>
      <c r="AF130" s="935"/>
      <c r="AG130" s="935"/>
      <c r="AH130" s="935"/>
      <c r="AI130" s="935"/>
      <c r="AJ130" s="935"/>
      <c r="AK130" s="935"/>
      <c r="AL130" s="935"/>
      <c r="AM130" s="935"/>
      <c r="AN130" s="935"/>
      <c r="AO130" s="935"/>
      <c r="AP130" s="935"/>
      <c r="AQ130" s="935"/>
      <c r="AR130" s="935"/>
      <c r="AS130" s="935"/>
      <c r="AT130" s="935"/>
      <c r="AU130" s="935"/>
      <c r="AV130" s="935"/>
      <c r="AW130" s="935"/>
      <c r="AX130" s="935"/>
      <c r="AY130" s="935"/>
      <c r="AZ130" s="935"/>
      <c r="BA130" s="935"/>
      <c r="BB130" s="935"/>
      <c r="BC130" s="935"/>
      <c r="BD130" s="935"/>
      <c r="BE130" s="935"/>
      <c r="BF130" s="935"/>
      <c r="BG130" s="935"/>
      <c r="BH130" s="935"/>
      <c r="BI130" s="935"/>
      <c r="BJ130" s="935"/>
      <c r="BK130" s="935"/>
      <c r="BL130" s="935"/>
      <c r="BM130" s="935"/>
      <c r="BN130" s="935"/>
      <c r="BO130" s="935"/>
      <c r="BP130" s="935"/>
      <c r="BQ130" s="935"/>
      <c r="BR130" s="935"/>
      <c r="BS130" s="935"/>
      <c r="BT130" s="935"/>
    </row>
    <row r="131" spans="1:72" x14ac:dyDescent="0.25">
      <c r="A131" s="935" t="s">
        <v>513</v>
      </c>
      <c r="B131" s="935"/>
      <c r="C131" s="935"/>
      <c r="D131" s="935"/>
      <c r="E131" s="935"/>
      <c r="F131" s="935"/>
      <c r="G131" s="935"/>
      <c r="H131" s="935"/>
      <c r="I131" s="935"/>
      <c r="J131" s="935"/>
      <c r="K131" s="935"/>
      <c r="L131" s="935"/>
      <c r="M131" s="935"/>
      <c r="N131" s="935"/>
      <c r="O131" s="935"/>
      <c r="P131" s="935"/>
      <c r="Q131" s="935"/>
      <c r="R131" s="935"/>
      <c r="S131" s="935"/>
      <c r="T131" s="935"/>
      <c r="U131" s="935"/>
      <c r="V131" s="935"/>
      <c r="W131" s="935"/>
      <c r="X131" s="935"/>
      <c r="Y131" s="935"/>
      <c r="Z131" s="935"/>
      <c r="AA131" s="935"/>
      <c r="AB131" s="935"/>
      <c r="AC131" s="935"/>
      <c r="AD131" s="935"/>
      <c r="AE131" s="935"/>
      <c r="AF131" s="935"/>
      <c r="AG131" s="935"/>
      <c r="AH131" s="935"/>
      <c r="AI131" s="935"/>
      <c r="AJ131" s="935"/>
      <c r="AK131" s="935"/>
      <c r="AL131" s="935"/>
      <c r="AM131" s="935"/>
      <c r="AN131" s="935"/>
      <c r="AO131" s="935"/>
      <c r="AP131" s="935"/>
      <c r="AQ131" s="935"/>
      <c r="AR131" s="935"/>
      <c r="AS131" s="935"/>
      <c r="AT131" s="935"/>
      <c r="AU131" s="935"/>
      <c r="AV131" s="935"/>
      <c r="AW131" s="935"/>
      <c r="AX131" s="935"/>
      <c r="AY131" s="935"/>
      <c r="AZ131" s="935"/>
      <c r="BA131" s="935"/>
      <c r="BB131" s="935"/>
      <c r="BC131" s="935"/>
      <c r="BD131" s="935"/>
      <c r="BE131" s="935"/>
      <c r="BF131" s="935"/>
      <c r="BG131" s="935"/>
      <c r="BH131" s="935"/>
      <c r="BI131" s="935"/>
      <c r="BJ131" s="935"/>
      <c r="BK131" s="935"/>
      <c r="BL131" s="935"/>
      <c r="BM131" s="935"/>
      <c r="BN131" s="935"/>
      <c r="BO131" s="935"/>
      <c r="BP131" s="935"/>
      <c r="BQ131" s="935"/>
      <c r="BR131" s="935"/>
      <c r="BS131" s="935"/>
      <c r="BT131" s="935"/>
    </row>
    <row r="132" spans="1:72" x14ac:dyDescent="0.25">
      <c r="A132" s="935" t="s">
        <v>789</v>
      </c>
      <c r="B132" s="935"/>
      <c r="C132" s="935"/>
      <c r="D132" s="935"/>
      <c r="E132" s="935"/>
      <c r="F132" s="935"/>
      <c r="G132" s="935"/>
      <c r="H132" s="935"/>
      <c r="I132" s="935"/>
      <c r="J132" s="935"/>
      <c r="K132" s="935"/>
      <c r="L132" s="935"/>
      <c r="M132" s="935"/>
      <c r="N132" s="935"/>
      <c r="O132" s="935"/>
      <c r="P132" s="935"/>
      <c r="Q132" s="935"/>
      <c r="R132" s="935"/>
      <c r="S132" s="935"/>
      <c r="T132" s="935"/>
      <c r="U132" s="935"/>
      <c r="V132" s="935"/>
      <c r="W132" s="935"/>
      <c r="X132" s="935"/>
      <c r="Y132" s="935"/>
      <c r="Z132" s="935"/>
      <c r="AA132" s="935"/>
      <c r="AB132" s="935"/>
      <c r="AC132" s="935"/>
      <c r="AD132" s="935"/>
      <c r="AE132" s="935"/>
      <c r="AF132" s="935"/>
      <c r="AG132" s="935"/>
      <c r="AH132" s="935"/>
      <c r="AI132" s="935"/>
      <c r="AJ132" s="935"/>
      <c r="AK132" s="935"/>
      <c r="AL132" s="935"/>
      <c r="AM132" s="935"/>
      <c r="AN132" s="935"/>
      <c r="AO132" s="935"/>
      <c r="AP132" s="935"/>
      <c r="AQ132" s="935"/>
      <c r="AR132" s="935"/>
      <c r="AS132" s="935"/>
      <c r="AT132" s="935"/>
      <c r="AU132" s="935"/>
      <c r="AV132" s="935"/>
      <c r="AW132" s="935"/>
      <c r="AX132" s="935"/>
      <c r="AY132" s="935"/>
      <c r="AZ132" s="935"/>
      <c r="BA132" s="935"/>
      <c r="BB132" s="935"/>
      <c r="BC132" s="935"/>
      <c r="BD132" s="935"/>
      <c r="BE132" s="935"/>
      <c r="BF132" s="935"/>
      <c r="BG132" s="935"/>
      <c r="BH132" s="935"/>
      <c r="BI132" s="935"/>
      <c r="BJ132" s="935"/>
      <c r="BK132" s="935"/>
      <c r="BL132" s="935"/>
      <c r="BM132" s="935"/>
      <c r="BN132" s="935"/>
      <c r="BO132" s="935"/>
      <c r="BP132" s="935"/>
      <c r="BQ132" s="935"/>
      <c r="BR132" s="935"/>
      <c r="BS132" s="935"/>
      <c r="BT132" s="935"/>
    </row>
    <row r="133" spans="1:72" x14ac:dyDescent="0.25">
      <c r="A133" s="935" t="s">
        <v>473</v>
      </c>
      <c r="B133" s="935">
        <v>241.67</v>
      </c>
      <c r="C133" s="935">
        <v>254.66</v>
      </c>
      <c r="D133" s="935">
        <v>231.65</v>
      </c>
      <c r="E133" s="935">
        <v>223.76</v>
      </c>
      <c r="F133" s="935">
        <v>222.61</v>
      </c>
      <c r="G133" s="935">
        <v>230.62</v>
      </c>
      <c r="H133" s="935">
        <v>228.9</v>
      </c>
      <c r="I133" s="935">
        <v>229.4</v>
      </c>
      <c r="J133" s="935">
        <v>230.89</v>
      </c>
      <c r="K133" s="935">
        <v>234.53</v>
      </c>
      <c r="L133" s="935">
        <v>236.76</v>
      </c>
      <c r="M133" s="935">
        <v>239.14</v>
      </c>
      <c r="N133" s="935">
        <v>241.36</v>
      </c>
      <c r="O133" s="935">
        <v>245.14</v>
      </c>
      <c r="P133" s="935">
        <v>247.96</v>
      </c>
      <c r="Q133" s="935">
        <v>251.14</v>
      </c>
      <c r="R133" s="935">
        <v>253.92</v>
      </c>
      <c r="S133" s="935">
        <v>256.67</v>
      </c>
      <c r="T133" s="935">
        <v>258.7</v>
      </c>
      <c r="U133" s="935">
        <v>262.54000000000002</v>
      </c>
      <c r="V133" s="935">
        <v>266.58999999999997</v>
      </c>
      <c r="W133" s="935">
        <v>271.26</v>
      </c>
      <c r="X133" s="935">
        <v>275.8</v>
      </c>
      <c r="Y133" s="935">
        <v>280.39999999999998</v>
      </c>
      <c r="Z133" s="935">
        <v>285.83</v>
      </c>
      <c r="AA133" s="935">
        <v>290.58999999999997</v>
      </c>
      <c r="AB133" s="935">
        <v>292.89999999999998</v>
      </c>
      <c r="AC133" s="935">
        <v>297.16000000000003</v>
      </c>
      <c r="AD133" s="935">
        <v>301.11</v>
      </c>
      <c r="AE133" s="974">
        <v>6.0000000000000001E-3</v>
      </c>
      <c r="AF133" s="935"/>
      <c r="AG133" s="935"/>
      <c r="AH133" s="935"/>
      <c r="AI133" s="935"/>
      <c r="AJ133" s="935"/>
      <c r="AK133" s="935"/>
      <c r="AL133" s="935"/>
      <c r="AM133" s="935"/>
      <c r="AN133" s="935"/>
      <c r="AO133" s="935"/>
      <c r="AP133" s="935"/>
      <c r="AQ133" s="935"/>
      <c r="AR133" s="935"/>
      <c r="AS133" s="935"/>
      <c r="AT133" s="935"/>
      <c r="AU133" s="935"/>
      <c r="AV133" s="935"/>
      <c r="AW133" s="935"/>
      <c r="AX133" s="935"/>
      <c r="AY133" s="935"/>
      <c r="AZ133" s="935"/>
      <c r="BA133" s="935"/>
      <c r="BB133" s="935"/>
      <c r="BC133" s="935"/>
      <c r="BD133" s="935"/>
      <c r="BE133" s="935"/>
      <c r="BF133" s="935"/>
      <c r="BG133" s="935"/>
      <c r="BH133" s="935"/>
      <c r="BI133" s="935"/>
      <c r="BJ133" s="935"/>
      <c r="BK133" s="935"/>
      <c r="BL133" s="935"/>
      <c r="BM133" s="935"/>
      <c r="BN133" s="935"/>
      <c r="BO133" s="935"/>
      <c r="BP133" s="935"/>
      <c r="BQ133" s="935"/>
      <c r="BR133" s="935"/>
      <c r="BS133" s="935"/>
      <c r="BT133" s="935"/>
    </row>
    <row r="134" spans="1:72" x14ac:dyDescent="0.25">
      <c r="A134" s="935" t="s">
        <v>480</v>
      </c>
      <c r="B134" s="935">
        <v>176.61</v>
      </c>
      <c r="C134" s="935">
        <v>191.19</v>
      </c>
      <c r="D134" s="935">
        <v>168.7</v>
      </c>
      <c r="E134" s="935">
        <v>163.43</v>
      </c>
      <c r="F134" s="935">
        <v>163.69</v>
      </c>
      <c r="G134" s="935">
        <v>172.64</v>
      </c>
      <c r="H134" s="935">
        <v>173.85</v>
      </c>
      <c r="I134" s="935">
        <v>174.18</v>
      </c>
      <c r="J134" s="935">
        <v>176.9</v>
      </c>
      <c r="K134" s="935">
        <v>180.82</v>
      </c>
      <c r="L134" s="935">
        <v>184.11</v>
      </c>
      <c r="M134" s="935">
        <v>186.86</v>
      </c>
      <c r="N134" s="935">
        <v>189.36</v>
      </c>
      <c r="O134" s="935">
        <v>193.15</v>
      </c>
      <c r="P134" s="935">
        <v>196.83</v>
      </c>
      <c r="Q134" s="935">
        <v>200.4</v>
      </c>
      <c r="R134" s="935">
        <v>204.1</v>
      </c>
      <c r="S134" s="935">
        <v>207.27</v>
      </c>
      <c r="T134" s="935">
        <v>210.07</v>
      </c>
      <c r="U134" s="935">
        <v>214.23</v>
      </c>
      <c r="V134" s="935">
        <v>218.63</v>
      </c>
      <c r="W134" s="935">
        <v>223.34</v>
      </c>
      <c r="X134" s="935">
        <v>229.36</v>
      </c>
      <c r="Y134" s="935">
        <v>234.79</v>
      </c>
      <c r="Z134" s="935">
        <v>240.94</v>
      </c>
      <c r="AA134" s="935">
        <v>246.37</v>
      </c>
      <c r="AB134" s="935">
        <v>250.61</v>
      </c>
      <c r="AC134" s="935">
        <v>256.01</v>
      </c>
      <c r="AD134" s="935">
        <v>261.07</v>
      </c>
      <c r="AE134" s="974">
        <v>1.2E-2</v>
      </c>
      <c r="AF134" s="935"/>
      <c r="AG134" s="935"/>
      <c r="AH134" s="935"/>
      <c r="AI134" s="935"/>
      <c r="AJ134" s="935"/>
      <c r="AK134" s="935"/>
      <c r="AL134" s="935"/>
      <c r="AM134" s="935"/>
      <c r="AN134" s="935"/>
      <c r="AO134" s="935"/>
      <c r="AP134" s="935"/>
      <c r="AQ134" s="935"/>
      <c r="AR134" s="935"/>
      <c r="AS134" s="935"/>
      <c r="AT134" s="935"/>
      <c r="AU134" s="935"/>
      <c r="AV134" s="935"/>
      <c r="AW134" s="935"/>
      <c r="AX134" s="935"/>
      <c r="AY134" s="935"/>
      <c r="AZ134" s="935"/>
      <c r="BA134" s="935"/>
      <c r="BB134" s="935"/>
      <c r="BC134" s="935"/>
      <c r="BD134" s="935"/>
      <c r="BE134" s="935"/>
      <c r="BF134" s="935"/>
      <c r="BG134" s="935"/>
      <c r="BH134" s="935"/>
      <c r="BI134" s="935"/>
      <c r="BJ134" s="935"/>
      <c r="BK134" s="935"/>
      <c r="BL134" s="935"/>
      <c r="BM134" s="935"/>
      <c r="BN134" s="935"/>
      <c r="BO134" s="935"/>
      <c r="BP134" s="935"/>
      <c r="BQ134" s="935"/>
      <c r="BR134" s="935"/>
      <c r="BS134" s="935"/>
      <c r="BT134" s="935"/>
    </row>
    <row r="135" spans="1:72" x14ac:dyDescent="0.25">
      <c r="A135" s="935" t="s">
        <v>515</v>
      </c>
      <c r="B135" s="935">
        <v>219.69</v>
      </c>
      <c r="C135" s="935">
        <v>244.81</v>
      </c>
      <c r="D135" s="935">
        <v>175.42</v>
      </c>
      <c r="E135" s="935">
        <v>163.24</v>
      </c>
      <c r="F135" s="935">
        <v>173.51</v>
      </c>
      <c r="G135" s="935">
        <v>191.66</v>
      </c>
      <c r="H135" s="935">
        <v>201.52</v>
      </c>
      <c r="I135" s="935">
        <v>207.49</v>
      </c>
      <c r="J135" s="935">
        <v>213.14</v>
      </c>
      <c r="K135" s="935">
        <v>218.86</v>
      </c>
      <c r="L135" s="935">
        <v>223.15</v>
      </c>
      <c r="M135" s="935">
        <v>228.05</v>
      </c>
      <c r="N135" s="935">
        <v>231.33</v>
      </c>
      <c r="O135" s="935">
        <v>234.86</v>
      </c>
      <c r="P135" s="935">
        <v>236.42</v>
      </c>
      <c r="Q135" s="935">
        <v>237.67</v>
      </c>
      <c r="R135" s="935">
        <v>239.07</v>
      </c>
      <c r="S135" s="935">
        <v>240.3</v>
      </c>
      <c r="T135" s="935">
        <v>241.75</v>
      </c>
      <c r="U135" s="935">
        <v>242.96</v>
      </c>
      <c r="V135" s="935">
        <v>245.17</v>
      </c>
      <c r="W135" s="935">
        <v>247.67</v>
      </c>
      <c r="X135" s="935">
        <v>250.95</v>
      </c>
      <c r="Y135" s="935">
        <v>253.51</v>
      </c>
      <c r="Z135" s="935">
        <v>257.7</v>
      </c>
      <c r="AA135" s="935">
        <v>259.55</v>
      </c>
      <c r="AB135" s="935">
        <v>261.58</v>
      </c>
      <c r="AC135" s="935">
        <v>265.05</v>
      </c>
      <c r="AD135" s="935">
        <v>267.18</v>
      </c>
      <c r="AE135" s="974">
        <v>3.0000000000000001E-3</v>
      </c>
      <c r="AF135" s="935"/>
      <c r="AG135" s="935"/>
      <c r="AH135" s="935"/>
      <c r="AI135" s="935"/>
      <c r="AJ135" s="935"/>
      <c r="AK135" s="935"/>
      <c r="AL135" s="935"/>
      <c r="AM135" s="935"/>
      <c r="AN135" s="935"/>
      <c r="AO135" s="935"/>
      <c r="AP135" s="935"/>
      <c r="AQ135" s="935"/>
      <c r="AR135" s="935"/>
      <c r="AS135" s="935"/>
      <c r="AT135" s="935"/>
      <c r="AU135" s="935"/>
      <c r="AV135" s="935"/>
      <c r="AW135" s="935"/>
      <c r="AX135" s="935"/>
      <c r="AY135" s="935"/>
      <c r="AZ135" s="935"/>
      <c r="BA135" s="935"/>
      <c r="BB135" s="935"/>
      <c r="BC135" s="935"/>
      <c r="BD135" s="935"/>
      <c r="BE135" s="935"/>
      <c r="BF135" s="935"/>
      <c r="BG135" s="935"/>
      <c r="BH135" s="935"/>
      <c r="BI135" s="935"/>
      <c r="BJ135" s="935"/>
      <c r="BK135" s="935"/>
      <c r="BL135" s="935"/>
      <c r="BM135" s="935"/>
      <c r="BN135" s="935"/>
      <c r="BO135" s="935"/>
      <c r="BP135" s="935"/>
      <c r="BQ135" s="935"/>
      <c r="BR135" s="935"/>
      <c r="BS135" s="935"/>
      <c r="BT135" s="935"/>
    </row>
    <row r="136" spans="1:72" x14ac:dyDescent="0.25">
      <c r="A136" s="935" t="s">
        <v>487</v>
      </c>
      <c r="B136" s="935">
        <v>613.37</v>
      </c>
      <c r="C136" s="935">
        <v>705.86</v>
      </c>
      <c r="D136" s="935">
        <v>465.68</v>
      </c>
      <c r="E136" s="935">
        <v>508.22</v>
      </c>
      <c r="F136" s="935">
        <v>528.5</v>
      </c>
      <c r="G136" s="935">
        <v>567.33000000000004</v>
      </c>
      <c r="H136" s="935">
        <v>615.79</v>
      </c>
      <c r="I136" s="935">
        <v>640.91999999999996</v>
      </c>
      <c r="J136" s="935">
        <v>655.77</v>
      </c>
      <c r="K136" s="935">
        <v>671.91</v>
      </c>
      <c r="L136" s="935">
        <v>690.32</v>
      </c>
      <c r="M136" s="935">
        <v>704.34</v>
      </c>
      <c r="N136" s="935">
        <v>717.08</v>
      </c>
      <c r="O136" s="935">
        <v>729.77</v>
      </c>
      <c r="P136" s="935">
        <v>737.71</v>
      </c>
      <c r="Q136" s="935">
        <v>743.52</v>
      </c>
      <c r="R136" s="935">
        <v>757.24</v>
      </c>
      <c r="S136" s="935">
        <v>767.89</v>
      </c>
      <c r="T136" s="935">
        <v>782.71</v>
      </c>
      <c r="U136" s="935">
        <v>795.25</v>
      </c>
      <c r="V136" s="935">
        <v>808.06</v>
      </c>
      <c r="W136" s="935">
        <v>822.03</v>
      </c>
      <c r="X136" s="935">
        <v>834.45</v>
      </c>
      <c r="Y136" s="935">
        <v>846.64</v>
      </c>
      <c r="Z136" s="935">
        <v>856.24</v>
      </c>
      <c r="AA136" s="935">
        <v>869.12</v>
      </c>
      <c r="AB136" s="935">
        <v>883.55</v>
      </c>
      <c r="AC136" s="935">
        <v>894.05</v>
      </c>
      <c r="AD136" s="935">
        <v>908.01</v>
      </c>
      <c r="AE136" s="974">
        <v>8.9999999999999993E-3</v>
      </c>
      <c r="AF136" s="935"/>
      <c r="AG136" s="935"/>
      <c r="AH136" s="935"/>
      <c r="AI136" s="935"/>
      <c r="AJ136" s="935"/>
      <c r="AK136" s="935"/>
      <c r="AL136" s="935"/>
      <c r="AM136" s="935"/>
      <c r="AN136" s="935"/>
      <c r="AO136" s="935"/>
      <c r="AP136" s="935"/>
      <c r="AQ136" s="935"/>
      <c r="AR136" s="935"/>
      <c r="AS136" s="935"/>
      <c r="AT136" s="935"/>
      <c r="AU136" s="935"/>
      <c r="AV136" s="935"/>
      <c r="AW136" s="935"/>
      <c r="AX136" s="935"/>
      <c r="AY136" s="935"/>
      <c r="AZ136" s="935"/>
      <c r="BA136" s="935"/>
      <c r="BB136" s="935"/>
      <c r="BC136" s="935"/>
      <c r="BD136" s="935"/>
      <c r="BE136" s="935"/>
      <c r="BF136" s="935"/>
      <c r="BG136" s="935"/>
      <c r="BH136" s="935"/>
      <c r="BI136" s="935"/>
      <c r="BJ136" s="935"/>
      <c r="BK136" s="935"/>
      <c r="BL136" s="935"/>
      <c r="BM136" s="935"/>
      <c r="BN136" s="935"/>
      <c r="BO136" s="935"/>
      <c r="BP136" s="935"/>
      <c r="BQ136" s="935"/>
      <c r="BR136" s="935"/>
      <c r="BS136" s="935"/>
      <c r="BT136" s="935"/>
    </row>
    <row r="137" spans="1:72" x14ac:dyDescent="0.25">
      <c r="A137" s="935" t="s">
        <v>516</v>
      </c>
      <c r="B137" s="935">
        <v>1251.3499999999999</v>
      </c>
      <c r="C137" s="935">
        <v>1396.52</v>
      </c>
      <c r="D137" s="935">
        <v>1041.45</v>
      </c>
      <c r="E137" s="935">
        <v>1058.6500000000001</v>
      </c>
      <c r="F137" s="935">
        <v>1088.31</v>
      </c>
      <c r="G137" s="935">
        <v>1162.25</v>
      </c>
      <c r="H137" s="935">
        <v>1220.05</v>
      </c>
      <c r="I137" s="935">
        <v>1251.99</v>
      </c>
      <c r="J137" s="935">
        <v>1276.69</v>
      </c>
      <c r="K137" s="935">
        <v>1306.1199999999999</v>
      </c>
      <c r="L137" s="935">
        <v>1334.33</v>
      </c>
      <c r="M137" s="935">
        <v>1358.39</v>
      </c>
      <c r="N137" s="935">
        <v>1379.14</v>
      </c>
      <c r="O137" s="935">
        <v>1402.91</v>
      </c>
      <c r="P137" s="935">
        <v>1418.92</v>
      </c>
      <c r="Q137" s="935">
        <v>1432.73</v>
      </c>
      <c r="R137" s="935">
        <v>1454.32</v>
      </c>
      <c r="S137" s="935">
        <v>1472.13</v>
      </c>
      <c r="T137" s="935">
        <v>1493.23</v>
      </c>
      <c r="U137" s="935">
        <v>1514.98</v>
      </c>
      <c r="V137" s="935">
        <v>1538.45</v>
      </c>
      <c r="W137" s="935">
        <v>1564.3</v>
      </c>
      <c r="X137" s="935">
        <v>1590.55</v>
      </c>
      <c r="Y137" s="935">
        <v>1615.34</v>
      </c>
      <c r="Z137" s="935">
        <v>1640.71</v>
      </c>
      <c r="AA137" s="935">
        <v>1665.62</v>
      </c>
      <c r="AB137" s="935">
        <v>1688.65</v>
      </c>
      <c r="AC137" s="935">
        <v>1712.28</v>
      </c>
      <c r="AD137" s="935">
        <v>1737.37</v>
      </c>
      <c r="AE137" s="974">
        <v>8.0000000000000002E-3</v>
      </c>
      <c r="AF137" s="935"/>
      <c r="AG137" s="935"/>
      <c r="AH137" s="935"/>
      <c r="AI137" s="935"/>
      <c r="AJ137" s="935"/>
      <c r="AK137" s="935"/>
      <c r="AL137" s="935"/>
      <c r="AM137" s="935"/>
      <c r="AN137" s="935"/>
      <c r="AO137" s="935"/>
      <c r="AP137" s="935"/>
      <c r="AQ137" s="935"/>
      <c r="AR137" s="935"/>
      <c r="AS137" s="935"/>
      <c r="AT137" s="935"/>
      <c r="AU137" s="935"/>
      <c r="AV137" s="935"/>
      <c r="AW137" s="935"/>
      <c r="AX137" s="935"/>
      <c r="AY137" s="935"/>
      <c r="AZ137" s="935"/>
      <c r="BA137" s="935"/>
      <c r="BB137" s="935"/>
      <c r="BC137" s="935"/>
      <c r="BD137" s="935"/>
      <c r="BE137" s="935"/>
      <c r="BF137" s="935"/>
      <c r="BG137" s="935"/>
      <c r="BH137" s="935"/>
      <c r="BI137" s="935"/>
      <c r="BJ137" s="935"/>
      <c r="BK137" s="935"/>
      <c r="BL137" s="935"/>
      <c r="BM137" s="935"/>
      <c r="BN137" s="935"/>
      <c r="BO137" s="935"/>
      <c r="BP137" s="935"/>
      <c r="BQ137" s="935"/>
      <c r="BR137" s="935"/>
      <c r="BS137" s="935"/>
      <c r="BT137" s="935"/>
    </row>
    <row r="138" spans="1:72" x14ac:dyDescent="0.25">
      <c r="A138" s="935" t="s">
        <v>629</v>
      </c>
      <c r="B138" s="935">
        <v>0.05</v>
      </c>
      <c r="C138" s="935">
        <v>0.17</v>
      </c>
      <c r="D138" s="935">
        <v>0.04</v>
      </c>
      <c r="E138" s="935">
        <v>0.09</v>
      </c>
      <c r="F138" s="935">
        <v>0.11</v>
      </c>
      <c r="G138" s="935">
        <v>0.13</v>
      </c>
      <c r="H138" s="935">
        <v>0.15</v>
      </c>
      <c r="I138" s="935">
        <v>0.17</v>
      </c>
      <c r="J138" s="935">
        <v>0.21</v>
      </c>
      <c r="K138" s="935">
        <v>2.34</v>
      </c>
      <c r="L138" s="935">
        <v>3.15</v>
      </c>
      <c r="M138" s="935">
        <v>4</v>
      </c>
      <c r="N138" s="935">
        <v>5.31</v>
      </c>
      <c r="O138" s="935">
        <v>7.12</v>
      </c>
      <c r="P138" s="935">
        <v>9.59</v>
      </c>
      <c r="Q138" s="935">
        <v>17.39</v>
      </c>
      <c r="R138" s="935">
        <v>15.56</v>
      </c>
      <c r="S138" s="935">
        <v>14.53</v>
      </c>
      <c r="T138" s="935">
        <v>15.06</v>
      </c>
      <c r="U138" s="935">
        <v>16.98</v>
      </c>
      <c r="V138" s="935">
        <v>18.95</v>
      </c>
      <c r="W138" s="935">
        <v>20.57</v>
      </c>
      <c r="X138" s="935">
        <v>23.66</v>
      </c>
      <c r="Y138" s="935">
        <v>25.05</v>
      </c>
      <c r="Z138" s="935">
        <v>31.91</v>
      </c>
      <c r="AA138" s="935">
        <v>36.74</v>
      </c>
      <c r="AB138" s="935">
        <v>40.74</v>
      </c>
      <c r="AC138" s="935">
        <v>48.35</v>
      </c>
      <c r="AD138" s="935">
        <v>56.42</v>
      </c>
      <c r="AE138" s="974">
        <v>0.24099999999999999</v>
      </c>
      <c r="AF138" s="935"/>
      <c r="AG138" s="935"/>
      <c r="AH138" s="935"/>
      <c r="AI138" s="935"/>
      <c r="AJ138" s="935"/>
      <c r="AK138" s="935"/>
      <c r="AL138" s="935"/>
      <c r="AM138" s="935"/>
      <c r="AN138" s="935"/>
      <c r="AO138" s="935"/>
      <c r="AP138" s="935"/>
      <c r="AQ138" s="935"/>
      <c r="AR138" s="935"/>
      <c r="AS138" s="935"/>
      <c r="AT138" s="935"/>
      <c r="AU138" s="935"/>
      <c r="AV138" s="935"/>
      <c r="AW138" s="935"/>
      <c r="AX138" s="935"/>
      <c r="AY138" s="935"/>
      <c r="AZ138" s="935"/>
      <c r="BA138" s="935"/>
      <c r="BB138" s="935"/>
      <c r="BC138" s="935"/>
      <c r="BD138" s="935"/>
      <c r="BE138" s="935"/>
      <c r="BF138" s="935"/>
      <c r="BG138" s="935"/>
      <c r="BH138" s="935"/>
      <c r="BI138" s="935"/>
      <c r="BJ138" s="935"/>
      <c r="BK138" s="935"/>
      <c r="BL138" s="935"/>
      <c r="BM138" s="935"/>
      <c r="BN138" s="935"/>
      <c r="BO138" s="935"/>
      <c r="BP138" s="935"/>
      <c r="BQ138" s="935"/>
      <c r="BR138" s="935"/>
      <c r="BS138" s="935"/>
      <c r="BT138" s="935"/>
    </row>
    <row r="139" spans="1:72" x14ac:dyDescent="0.25">
      <c r="A139" s="935" t="s">
        <v>518</v>
      </c>
      <c r="B139" s="935">
        <v>1251.3900000000001</v>
      </c>
      <c r="C139" s="935">
        <v>1396.69</v>
      </c>
      <c r="D139" s="935">
        <v>1041.49</v>
      </c>
      <c r="E139" s="935">
        <v>1058.74</v>
      </c>
      <c r="F139" s="935">
        <v>1088.42</v>
      </c>
      <c r="G139" s="935">
        <v>1162.3699999999999</v>
      </c>
      <c r="H139" s="935">
        <v>1220.2</v>
      </c>
      <c r="I139" s="935">
        <v>1252.1600000000001</v>
      </c>
      <c r="J139" s="935">
        <v>1276.9000000000001</v>
      </c>
      <c r="K139" s="935">
        <v>1308.46</v>
      </c>
      <c r="L139" s="935">
        <v>1337.48</v>
      </c>
      <c r="M139" s="935">
        <v>1362.4</v>
      </c>
      <c r="N139" s="935">
        <v>1384.44</v>
      </c>
      <c r="O139" s="935">
        <v>1410.03</v>
      </c>
      <c r="P139" s="935">
        <v>1428.51</v>
      </c>
      <c r="Q139" s="935">
        <v>1450.12</v>
      </c>
      <c r="R139" s="935">
        <v>1469.88</v>
      </c>
      <c r="S139" s="935">
        <v>1486.66</v>
      </c>
      <c r="T139" s="935">
        <v>1508.29</v>
      </c>
      <c r="U139" s="935">
        <v>1531.96</v>
      </c>
      <c r="V139" s="935">
        <v>1557.41</v>
      </c>
      <c r="W139" s="935">
        <v>1584.86</v>
      </c>
      <c r="X139" s="935">
        <v>1614.21</v>
      </c>
      <c r="Y139" s="935">
        <v>1640.39</v>
      </c>
      <c r="Z139" s="935">
        <v>1672.62</v>
      </c>
      <c r="AA139" s="935">
        <v>1702.37</v>
      </c>
      <c r="AB139" s="935">
        <v>1729.39</v>
      </c>
      <c r="AC139" s="935">
        <v>1760.62</v>
      </c>
      <c r="AD139" s="935">
        <v>1793.79</v>
      </c>
      <c r="AE139" s="974">
        <v>8.9999999999999993E-3</v>
      </c>
      <c r="AF139" s="935"/>
      <c r="AG139" s="935"/>
      <c r="AH139" s="935"/>
      <c r="AI139" s="935"/>
      <c r="AJ139" s="935"/>
      <c r="AK139" s="935"/>
      <c r="AL139" s="935"/>
      <c r="AM139" s="935"/>
      <c r="AN139" s="935"/>
      <c r="AO139" s="935"/>
      <c r="AP139" s="935"/>
      <c r="AQ139" s="935"/>
      <c r="AR139" s="935"/>
      <c r="AS139" s="935"/>
      <c r="AT139" s="935"/>
      <c r="AU139" s="935"/>
      <c r="AV139" s="935"/>
      <c r="AW139" s="935"/>
      <c r="AX139" s="935"/>
      <c r="AY139" s="935"/>
      <c r="AZ139" s="935"/>
      <c r="BA139" s="935"/>
      <c r="BB139" s="935"/>
      <c r="BC139" s="935"/>
      <c r="BD139" s="935"/>
      <c r="BE139" s="935"/>
      <c r="BF139" s="935"/>
      <c r="BG139" s="935"/>
      <c r="BH139" s="935"/>
      <c r="BI139" s="935"/>
      <c r="BJ139" s="935"/>
      <c r="BK139" s="935"/>
      <c r="BL139" s="935"/>
      <c r="BM139" s="935"/>
      <c r="BN139" s="935"/>
      <c r="BO139" s="935"/>
      <c r="BP139" s="935"/>
      <c r="BQ139" s="935"/>
      <c r="BR139" s="935"/>
      <c r="BS139" s="935"/>
      <c r="BT139" s="935"/>
    </row>
    <row r="140" spans="1:72" x14ac:dyDescent="0.25">
      <c r="A140" s="935"/>
      <c r="B140" s="935"/>
      <c r="C140" s="935"/>
      <c r="D140" s="935"/>
      <c r="E140" s="935"/>
      <c r="F140" s="935"/>
      <c r="G140" s="935"/>
      <c r="H140" s="935"/>
      <c r="I140" s="935"/>
      <c r="J140" s="935"/>
      <c r="K140" s="935"/>
      <c r="L140" s="935"/>
      <c r="M140" s="935"/>
      <c r="N140" s="935"/>
      <c r="O140" s="935"/>
      <c r="P140" s="935"/>
      <c r="Q140" s="935"/>
      <c r="R140" s="935"/>
      <c r="S140" s="935"/>
      <c r="T140" s="935"/>
      <c r="U140" s="935"/>
      <c r="V140" s="935"/>
      <c r="W140" s="935"/>
      <c r="X140" s="935"/>
      <c r="Y140" s="935"/>
      <c r="Z140" s="935"/>
      <c r="AA140" s="935"/>
      <c r="AB140" s="935"/>
      <c r="AC140" s="935"/>
      <c r="AD140" s="935"/>
      <c r="AE140" s="935"/>
      <c r="AF140" s="935"/>
      <c r="AG140" s="935"/>
      <c r="AH140" s="935"/>
      <c r="AI140" s="935"/>
      <c r="AJ140" s="935"/>
      <c r="AK140" s="935"/>
      <c r="AL140" s="935"/>
      <c r="AM140" s="935"/>
      <c r="AN140" s="935"/>
      <c r="AO140" s="935"/>
      <c r="AP140" s="935"/>
      <c r="AQ140" s="935"/>
      <c r="AR140" s="935"/>
      <c r="AS140" s="935"/>
      <c r="AT140" s="935"/>
      <c r="AU140" s="935"/>
      <c r="AV140" s="935"/>
      <c r="AW140" s="935"/>
      <c r="AX140" s="935"/>
      <c r="AY140" s="935"/>
      <c r="AZ140" s="935"/>
      <c r="BA140" s="935"/>
      <c r="BB140" s="935"/>
      <c r="BC140" s="935"/>
      <c r="BD140" s="935"/>
      <c r="BE140" s="935"/>
      <c r="BF140" s="935"/>
      <c r="BG140" s="935"/>
      <c r="BH140" s="935"/>
      <c r="BI140" s="935"/>
      <c r="BJ140" s="935"/>
      <c r="BK140" s="935"/>
      <c r="BL140" s="935"/>
      <c r="BM140" s="935"/>
      <c r="BN140" s="935"/>
      <c r="BO140" s="935"/>
      <c r="BP140" s="935"/>
      <c r="BQ140" s="935"/>
      <c r="BR140" s="935"/>
      <c r="BS140" s="935"/>
      <c r="BT140" s="935"/>
    </row>
    <row r="141" spans="1:72" x14ac:dyDescent="0.25">
      <c r="A141" s="935"/>
      <c r="B141" s="935"/>
      <c r="C141" s="935"/>
      <c r="D141" s="935"/>
      <c r="E141" s="935"/>
      <c r="F141" s="935"/>
      <c r="G141" s="935"/>
      <c r="H141" s="935"/>
      <c r="I141" s="935"/>
      <c r="J141" s="935"/>
      <c r="K141" s="935"/>
      <c r="L141" s="935"/>
      <c r="M141" s="935"/>
      <c r="N141" s="935"/>
      <c r="O141" s="935"/>
      <c r="P141" s="935"/>
      <c r="Q141" s="935"/>
      <c r="R141" s="935"/>
      <c r="S141" s="935"/>
      <c r="T141" s="935"/>
      <c r="U141" s="935"/>
      <c r="V141" s="935"/>
      <c r="W141" s="935"/>
      <c r="X141" s="935"/>
      <c r="Y141" s="935"/>
      <c r="Z141" s="935"/>
      <c r="AA141" s="935"/>
      <c r="AB141" s="935"/>
      <c r="AC141" s="935"/>
      <c r="AD141" s="935"/>
      <c r="AE141" s="935"/>
      <c r="AF141" s="935"/>
      <c r="AG141" s="935"/>
      <c r="AH141" s="935"/>
      <c r="AI141" s="935"/>
      <c r="AJ141" s="935"/>
      <c r="AK141" s="935"/>
      <c r="AL141" s="935"/>
      <c r="AM141" s="935"/>
      <c r="AN141" s="935"/>
      <c r="AO141" s="935"/>
      <c r="AP141" s="935"/>
      <c r="AQ141" s="935"/>
      <c r="AR141" s="935"/>
      <c r="AS141" s="935"/>
      <c r="AT141" s="935"/>
      <c r="AU141" s="935"/>
      <c r="AV141" s="935"/>
      <c r="AW141" s="935"/>
      <c r="AX141" s="935"/>
      <c r="AY141" s="935"/>
      <c r="AZ141" s="935"/>
      <c r="BA141" s="935"/>
      <c r="BB141" s="935"/>
      <c r="BC141" s="935"/>
      <c r="BD141" s="935"/>
      <c r="BE141" s="935"/>
      <c r="BF141" s="935"/>
      <c r="BG141" s="935"/>
      <c r="BH141" s="935"/>
      <c r="BI141" s="935"/>
      <c r="BJ141" s="935"/>
      <c r="BK141" s="935"/>
      <c r="BL141" s="935"/>
      <c r="BM141" s="935"/>
      <c r="BN141" s="935"/>
      <c r="BO141" s="935"/>
      <c r="BP141" s="935"/>
      <c r="BQ141" s="935"/>
      <c r="BR141" s="935"/>
      <c r="BS141" s="935"/>
      <c r="BT141" s="935"/>
    </row>
    <row r="142" spans="1:72" x14ac:dyDescent="0.25">
      <c r="A142" s="935" t="s">
        <v>726</v>
      </c>
      <c r="B142" s="935"/>
      <c r="C142" s="935"/>
      <c r="D142" s="935"/>
      <c r="E142" s="935"/>
      <c r="F142" s="935"/>
      <c r="G142" s="935"/>
      <c r="H142" s="935"/>
      <c r="I142" s="935"/>
      <c r="J142" s="935"/>
      <c r="K142" s="935"/>
      <c r="L142" s="935"/>
      <c r="M142" s="935"/>
      <c r="N142" s="935"/>
      <c r="O142" s="935"/>
      <c r="P142" s="935"/>
      <c r="Q142" s="935"/>
      <c r="R142" s="935"/>
      <c r="S142" s="935"/>
      <c r="T142" s="935"/>
      <c r="U142" s="935"/>
      <c r="V142" s="935"/>
      <c r="W142" s="935"/>
      <c r="X142" s="935"/>
      <c r="Y142" s="935"/>
      <c r="Z142" s="935"/>
      <c r="AA142" s="935"/>
      <c r="AB142" s="935"/>
      <c r="AC142" s="935"/>
      <c r="AD142" s="935"/>
      <c r="AE142" s="935"/>
      <c r="AF142" s="935"/>
      <c r="AG142" s="935"/>
      <c r="AH142" s="935"/>
      <c r="AI142" s="935"/>
      <c r="AJ142" s="935"/>
      <c r="AK142" s="935"/>
      <c r="AL142" s="935"/>
      <c r="AM142" s="935"/>
      <c r="AN142" s="935"/>
      <c r="AO142" s="935"/>
      <c r="AP142" s="935"/>
      <c r="AQ142" s="935"/>
      <c r="AR142" s="935"/>
      <c r="AS142" s="935"/>
      <c r="AT142" s="935"/>
      <c r="AU142" s="935"/>
      <c r="AV142" s="935"/>
      <c r="AW142" s="935"/>
      <c r="AX142" s="935"/>
      <c r="AY142" s="935"/>
      <c r="AZ142" s="935"/>
      <c r="BA142" s="935"/>
      <c r="BB142" s="935"/>
      <c r="BC142" s="935"/>
      <c r="BD142" s="935"/>
      <c r="BE142" s="935"/>
      <c r="BF142" s="935"/>
      <c r="BG142" s="935"/>
      <c r="BH142" s="935"/>
      <c r="BI142" s="935"/>
      <c r="BJ142" s="935"/>
      <c r="BK142" s="935"/>
      <c r="BL142" s="935"/>
      <c r="BM142" s="935"/>
      <c r="BN142" s="935"/>
      <c r="BO142" s="935"/>
      <c r="BP142" s="935"/>
      <c r="BQ142" s="935"/>
      <c r="BR142" s="935"/>
      <c r="BS142" s="935"/>
      <c r="BT142" s="935"/>
    </row>
    <row r="143" spans="1:72" x14ac:dyDescent="0.25">
      <c r="A143" s="935" t="s">
        <v>473</v>
      </c>
      <c r="B143" s="935"/>
      <c r="C143" s="935"/>
      <c r="D143" s="935"/>
      <c r="E143" s="935"/>
      <c r="F143" s="935"/>
      <c r="G143" s="935"/>
      <c r="H143" s="935"/>
      <c r="I143" s="935"/>
      <c r="J143" s="935"/>
      <c r="K143" s="935"/>
      <c r="L143" s="935"/>
      <c r="M143" s="935"/>
      <c r="N143" s="935"/>
      <c r="O143" s="935"/>
      <c r="P143" s="935"/>
      <c r="Q143" s="935"/>
      <c r="R143" s="935"/>
      <c r="S143" s="935"/>
      <c r="T143" s="935"/>
      <c r="U143" s="935"/>
      <c r="V143" s="935"/>
      <c r="W143" s="935"/>
      <c r="X143" s="935"/>
      <c r="Y143" s="935"/>
      <c r="Z143" s="935"/>
      <c r="AA143" s="935"/>
      <c r="AB143" s="935"/>
      <c r="AC143" s="935"/>
      <c r="AD143" s="935"/>
      <c r="AE143" s="935"/>
      <c r="AF143" s="935"/>
      <c r="AG143" s="935"/>
      <c r="AH143" s="935"/>
      <c r="AI143" s="935"/>
      <c r="AJ143" s="935"/>
      <c r="AK143" s="935"/>
      <c r="AL143" s="935"/>
      <c r="AM143" s="935"/>
      <c r="AN143" s="935"/>
      <c r="AO143" s="935"/>
      <c r="AP143" s="935"/>
      <c r="AQ143" s="935"/>
      <c r="AR143" s="935"/>
      <c r="AS143" s="935"/>
      <c r="AT143" s="935"/>
      <c r="AU143" s="935"/>
      <c r="AV143" s="935"/>
      <c r="AW143" s="935"/>
      <c r="AX143" s="935"/>
      <c r="AY143" s="935"/>
      <c r="AZ143" s="935"/>
      <c r="BA143" s="935"/>
      <c r="BB143" s="935"/>
      <c r="BC143" s="935"/>
      <c r="BD143" s="935"/>
      <c r="BE143" s="935"/>
      <c r="BF143" s="935"/>
      <c r="BG143" s="935"/>
      <c r="BH143" s="935"/>
      <c r="BI143" s="935"/>
      <c r="BJ143" s="935"/>
      <c r="BK143" s="935"/>
      <c r="BL143" s="935"/>
      <c r="BM143" s="935"/>
      <c r="BN143" s="935"/>
      <c r="BO143" s="935"/>
      <c r="BP143" s="935"/>
      <c r="BQ143" s="935"/>
      <c r="BR143" s="935"/>
      <c r="BS143" s="935"/>
      <c r="BT143" s="935"/>
    </row>
    <row r="144" spans="1:72" x14ac:dyDescent="0.25">
      <c r="A144" s="935" t="s">
        <v>609</v>
      </c>
      <c r="B144" s="935">
        <v>25.67</v>
      </c>
      <c r="C144" s="935">
        <v>29.35</v>
      </c>
      <c r="D144" s="935">
        <v>25.28</v>
      </c>
      <c r="E144" s="935">
        <v>24.73</v>
      </c>
      <c r="F144" s="935">
        <v>25.15</v>
      </c>
      <c r="G144" s="935">
        <v>26.73</v>
      </c>
      <c r="H144" s="935">
        <v>28.51</v>
      </c>
      <c r="I144" s="935">
        <v>30.06</v>
      </c>
      <c r="J144" s="935">
        <v>31.23</v>
      </c>
      <c r="K144" s="935">
        <v>32.520000000000003</v>
      </c>
      <c r="L144" s="935">
        <v>33.75</v>
      </c>
      <c r="M144" s="935">
        <v>35.06</v>
      </c>
      <c r="N144" s="935">
        <v>36.020000000000003</v>
      </c>
      <c r="O144" s="935">
        <v>37.020000000000003</v>
      </c>
      <c r="P144" s="935">
        <v>38.1</v>
      </c>
      <c r="Q144" s="935">
        <v>39.200000000000003</v>
      </c>
      <c r="R144" s="935">
        <v>40.409999999999997</v>
      </c>
      <c r="S144" s="935">
        <v>41.61</v>
      </c>
      <c r="T144" s="935">
        <v>42.82</v>
      </c>
      <c r="U144" s="935">
        <v>43.92</v>
      </c>
      <c r="V144" s="935">
        <v>45.24</v>
      </c>
      <c r="W144" s="935">
        <v>46.58</v>
      </c>
      <c r="X144" s="935">
        <v>48.12</v>
      </c>
      <c r="Y144" s="935">
        <v>49.52</v>
      </c>
      <c r="Z144" s="935">
        <v>51.18</v>
      </c>
      <c r="AA144" s="935">
        <v>52.85</v>
      </c>
      <c r="AB144" s="935">
        <v>54.62</v>
      </c>
      <c r="AC144" s="935">
        <v>56.39</v>
      </c>
      <c r="AD144" s="935">
        <v>58.23</v>
      </c>
      <c r="AE144" s="974">
        <v>2.5999999999999999E-2</v>
      </c>
      <c r="AF144" s="935"/>
      <c r="AG144" s="935"/>
      <c r="AH144" s="935"/>
      <c r="AI144" s="935"/>
      <c r="AJ144" s="935"/>
      <c r="AK144" s="935"/>
      <c r="AL144" s="935"/>
      <c r="AM144" s="935"/>
      <c r="AN144" s="935"/>
      <c r="AO144" s="935"/>
      <c r="AP144" s="935"/>
      <c r="AQ144" s="935"/>
      <c r="AR144" s="935"/>
      <c r="AS144" s="935"/>
      <c r="AT144" s="935"/>
      <c r="AU144" s="935"/>
      <c r="AV144" s="935"/>
      <c r="AW144" s="935"/>
      <c r="AX144" s="935"/>
      <c r="AY144" s="935"/>
      <c r="AZ144" s="935"/>
      <c r="BA144" s="935"/>
      <c r="BB144" s="935"/>
      <c r="BC144" s="935"/>
      <c r="BD144" s="935"/>
      <c r="BE144" s="935"/>
      <c r="BF144" s="935"/>
      <c r="BG144" s="935"/>
      <c r="BH144" s="935"/>
      <c r="BI144" s="935"/>
      <c r="BJ144" s="935"/>
      <c r="BK144" s="935"/>
      <c r="BL144" s="935"/>
      <c r="BM144" s="935"/>
      <c r="BN144" s="935"/>
      <c r="BO144" s="935"/>
      <c r="BP144" s="935"/>
      <c r="BQ144" s="935"/>
      <c r="BR144" s="935"/>
      <c r="BS144" s="935"/>
      <c r="BT144" s="935"/>
    </row>
    <row r="145" spans="1:72" x14ac:dyDescent="0.25">
      <c r="A145" s="935" t="s">
        <v>610</v>
      </c>
      <c r="B145" s="935">
        <v>19.86</v>
      </c>
      <c r="C145" s="935">
        <v>24.47</v>
      </c>
      <c r="D145" s="935">
        <v>18.260000000000002</v>
      </c>
      <c r="E145" s="935">
        <v>18.100000000000001</v>
      </c>
      <c r="F145" s="935">
        <v>18.489999999999998</v>
      </c>
      <c r="G145" s="935">
        <v>19.940000000000001</v>
      </c>
      <c r="H145" s="935">
        <v>21.4</v>
      </c>
      <c r="I145" s="935">
        <v>22.55</v>
      </c>
      <c r="J145" s="935">
        <v>23.49</v>
      </c>
      <c r="K145" s="935">
        <v>24.96</v>
      </c>
      <c r="L145" s="935">
        <v>26.17</v>
      </c>
      <c r="M145" s="935">
        <v>27.44</v>
      </c>
      <c r="N145" s="935">
        <v>28.46</v>
      </c>
      <c r="O145" s="935">
        <v>29.45</v>
      </c>
      <c r="P145" s="935">
        <v>30.25</v>
      </c>
      <c r="Q145" s="935">
        <v>31.17</v>
      </c>
      <c r="R145" s="935">
        <v>32.25</v>
      </c>
      <c r="S145" s="935">
        <v>33.17</v>
      </c>
      <c r="T145" s="935">
        <v>34.24</v>
      </c>
      <c r="U145" s="935">
        <v>35.33</v>
      </c>
      <c r="V145" s="935">
        <v>36.380000000000003</v>
      </c>
      <c r="W145" s="935">
        <v>37.630000000000003</v>
      </c>
      <c r="X145" s="935">
        <v>39.049999999999997</v>
      </c>
      <c r="Y145" s="935">
        <v>40.159999999999997</v>
      </c>
      <c r="Z145" s="935">
        <v>41.73</v>
      </c>
      <c r="AA145" s="935">
        <v>43.3</v>
      </c>
      <c r="AB145" s="935">
        <v>44.82</v>
      </c>
      <c r="AC145" s="935">
        <v>46.47</v>
      </c>
      <c r="AD145" s="935">
        <v>48.16</v>
      </c>
      <c r="AE145" s="974">
        <v>2.5000000000000001E-2</v>
      </c>
      <c r="AF145" s="935"/>
      <c r="AG145" s="935"/>
      <c r="AH145" s="935"/>
      <c r="AI145" s="935"/>
      <c r="AJ145" s="935"/>
      <c r="AK145" s="935"/>
      <c r="AL145" s="935"/>
      <c r="AM145" s="935"/>
      <c r="AN145" s="935"/>
      <c r="AO145" s="935"/>
      <c r="AP145" s="935"/>
      <c r="AQ145" s="935"/>
      <c r="AR145" s="935"/>
      <c r="AS145" s="935"/>
      <c r="AT145" s="935"/>
      <c r="AU145" s="935"/>
      <c r="AV145" s="935"/>
      <c r="AW145" s="935"/>
      <c r="AX145" s="935"/>
      <c r="AY145" s="935"/>
      <c r="AZ145" s="935"/>
      <c r="BA145" s="935"/>
      <c r="BB145" s="935"/>
      <c r="BC145" s="935"/>
      <c r="BD145" s="935"/>
      <c r="BE145" s="935"/>
      <c r="BF145" s="935"/>
      <c r="BG145" s="935"/>
      <c r="BH145" s="935"/>
      <c r="BI145" s="935"/>
      <c r="BJ145" s="935"/>
      <c r="BK145" s="935"/>
      <c r="BL145" s="935"/>
      <c r="BM145" s="935"/>
      <c r="BN145" s="935"/>
      <c r="BO145" s="935"/>
      <c r="BP145" s="935"/>
      <c r="BQ145" s="935"/>
      <c r="BR145" s="935"/>
      <c r="BS145" s="935"/>
      <c r="BT145" s="935"/>
    </row>
    <row r="146" spans="1:72" x14ac:dyDescent="0.25">
      <c r="A146" s="935" t="s">
        <v>510</v>
      </c>
      <c r="B146" s="935">
        <v>12.66</v>
      </c>
      <c r="C146" s="935">
        <v>13.48</v>
      </c>
      <c r="D146" s="935">
        <v>11.57</v>
      </c>
      <c r="E146" s="935">
        <v>11.22</v>
      </c>
      <c r="F146" s="935">
        <v>12.29</v>
      </c>
      <c r="G146" s="935">
        <v>12.56</v>
      </c>
      <c r="H146" s="935">
        <v>12.36</v>
      </c>
      <c r="I146" s="935">
        <v>12.51</v>
      </c>
      <c r="J146" s="935">
        <v>12.88</v>
      </c>
      <c r="K146" s="935">
        <v>13.22</v>
      </c>
      <c r="L146" s="935">
        <v>13.5</v>
      </c>
      <c r="M146" s="935">
        <v>13.83</v>
      </c>
      <c r="N146" s="935">
        <v>14.18</v>
      </c>
      <c r="O146" s="935">
        <v>14.61</v>
      </c>
      <c r="P146" s="935">
        <v>15.06</v>
      </c>
      <c r="Q146" s="935">
        <v>15.64</v>
      </c>
      <c r="R146" s="935">
        <v>16.010000000000002</v>
      </c>
      <c r="S146" s="935">
        <v>16.22</v>
      </c>
      <c r="T146" s="935">
        <v>16.68</v>
      </c>
      <c r="U146" s="935">
        <v>17.260000000000002</v>
      </c>
      <c r="V146" s="935">
        <v>17.91</v>
      </c>
      <c r="W146" s="935">
        <v>18.649999999999999</v>
      </c>
      <c r="X146" s="935">
        <v>19.440000000000001</v>
      </c>
      <c r="Y146" s="935">
        <v>20.29</v>
      </c>
      <c r="Z146" s="935">
        <v>21.26</v>
      </c>
      <c r="AA146" s="935">
        <v>21.98</v>
      </c>
      <c r="AB146" s="935">
        <v>22.61</v>
      </c>
      <c r="AC146" s="935">
        <v>23.44</v>
      </c>
      <c r="AD146" s="935">
        <v>24.2</v>
      </c>
      <c r="AE146" s="974">
        <v>2.1999999999999999E-2</v>
      </c>
      <c r="AF146" s="935"/>
      <c r="AG146" s="935"/>
      <c r="AH146" s="935"/>
      <c r="AI146" s="935"/>
      <c r="AJ146" s="935"/>
      <c r="AK146" s="935"/>
      <c r="AL146" s="935"/>
      <c r="AM146" s="935"/>
      <c r="AN146" s="935"/>
      <c r="AO146" s="935"/>
      <c r="AP146" s="935"/>
      <c r="AQ146" s="935"/>
      <c r="AR146" s="935"/>
      <c r="AS146" s="935"/>
      <c r="AT146" s="935"/>
      <c r="AU146" s="935"/>
      <c r="AV146" s="935"/>
      <c r="AW146" s="935"/>
      <c r="AX146" s="935"/>
      <c r="AY146" s="935"/>
      <c r="AZ146" s="935"/>
      <c r="BA146" s="935"/>
      <c r="BB146" s="935"/>
      <c r="BC146" s="935"/>
      <c r="BD146" s="935"/>
      <c r="BE146" s="935"/>
      <c r="BF146" s="935"/>
      <c r="BG146" s="935"/>
      <c r="BH146" s="935"/>
      <c r="BI146" s="935"/>
      <c r="BJ146" s="935"/>
      <c r="BK146" s="935"/>
      <c r="BL146" s="935"/>
      <c r="BM146" s="935"/>
      <c r="BN146" s="935"/>
      <c r="BO146" s="935"/>
      <c r="BP146" s="935"/>
      <c r="BQ146" s="935"/>
      <c r="BR146" s="935"/>
      <c r="BS146" s="935"/>
      <c r="BT146" s="935"/>
    </row>
    <row r="147" spans="1:72" x14ac:dyDescent="0.25">
      <c r="A147" s="935" t="s">
        <v>479</v>
      </c>
      <c r="B147" s="935">
        <v>31.12</v>
      </c>
      <c r="C147" s="935">
        <v>33.29</v>
      </c>
      <c r="D147" s="935">
        <v>32.83</v>
      </c>
      <c r="E147" s="935">
        <v>31.88</v>
      </c>
      <c r="F147" s="935">
        <v>31.21</v>
      </c>
      <c r="G147" s="935">
        <v>32.9</v>
      </c>
      <c r="H147" s="935">
        <v>33.9</v>
      </c>
      <c r="I147" s="935">
        <v>34.5</v>
      </c>
      <c r="J147" s="935">
        <v>35.020000000000003</v>
      </c>
      <c r="K147" s="935">
        <v>35.89</v>
      </c>
      <c r="L147" s="935">
        <v>36.74</v>
      </c>
      <c r="M147" s="935">
        <v>37.39</v>
      </c>
      <c r="N147" s="935">
        <v>37.97</v>
      </c>
      <c r="O147" s="935">
        <v>38.92</v>
      </c>
      <c r="P147" s="935">
        <v>39.950000000000003</v>
      </c>
      <c r="Q147" s="935">
        <v>40.92</v>
      </c>
      <c r="R147" s="935">
        <v>41.95</v>
      </c>
      <c r="S147" s="935">
        <v>42.94</v>
      </c>
      <c r="T147" s="935">
        <v>43.78</v>
      </c>
      <c r="U147" s="935">
        <v>44.88</v>
      </c>
      <c r="V147" s="935">
        <v>46.07</v>
      </c>
      <c r="W147" s="935">
        <v>47.3</v>
      </c>
      <c r="X147" s="935">
        <v>48.93</v>
      </c>
      <c r="Y147" s="935">
        <v>50.5</v>
      </c>
      <c r="Z147" s="935">
        <v>52.16</v>
      </c>
      <c r="AA147" s="935">
        <v>53.81</v>
      </c>
      <c r="AB147" s="935">
        <v>55.2</v>
      </c>
      <c r="AC147" s="935">
        <v>56.77</v>
      </c>
      <c r="AD147" s="935">
        <v>58.33</v>
      </c>
      <c r="AE147" s="974">
        <v>2.1000000000000001E-2</v>
      </c>
      <c r="AF147" s="935"/>
      <c r="AG147" s="935"/>
      <c r="AH147" s="935"/>
      <c r="AI147" s="935"/>
      <c r="AJ147" s="935"/>
      <c r="AK147" s="935"/>
      <c r="AL147" s="935"/>
      <c r="AM147" s="935"/>
      <c r="AN147" s="935"/>
      <c r="AO147" s="935"/>
      <c r="AP147" s="935"/>
      <c r="AQ147" s="935"/>
      <c r="AR147" s="935"/>
      <c r="AS147" s="935"/>
      <c r="AT147" s="935"/>
      <c r="AU147" s="935"/>
      <c r="AV147" s="935"/>
      <c r="AW147" s="935"/>
      <c r="AX147" s="935"/>
      <c r="AY147" s="935"/>
      <c r="AZ147" s="935"/>
      <c r="BA147" s="935"/>
      <c r="BB147" s="935"/>
      <c r="BC147" s="935"/>
      <c r="BD147" s="935"/>
      <c r="BE147" s="935"/>
      <c r="BF147" s="935"/>
      <c r="BG147" s="935"/>
      <c r="BH147" s="935"/>
      <c r="BI147" s="935"/>
      <c r="BJ147" s="935"/>
      <c r="BK147" s="935"/>
      <c r="BL147" s="935"/>
      <c r="BM147" s="935"/>
      <c r="BN147" s="935"/>
      <c r="BO147" s="935"/>
      <c r="BP147" s="935"/>
      <c r="BQ147" s="935"/>
      <c r="BR147" s="935"/>
      <c r="BS147" s="935"/>
      <c r="BT147" s="935"/>
    </row>
    <row r="148" spans="1:72" x14ac:dyDescent="0.25">
      <c r="A148" s="935"/>
      <c r="B148" s="935"/>
      <c r="C148" s="935"/>
      <c r="D148" s="935"/>
      <c r="E148" s="935"/>
      <c r="F148" s="935"/>
      <c r="G148" s="935"/>
      <c r="H148" s="935"/>
      <c r="I148" s="935"/>
      <c r="J148" s="935"/>
      <c r="K148" s="935"/>
      <c r="L148" s="935"/>
      <c r="M148" s="935"/>
      <c r="N148" s="935"/>
      <c r="O148" s="935"/>
      <c r="P148" s="935"/>
      <c r="Q148" s="935"/>
      <c r="R148" s="935"/>
      <c r="S148" s="935"/>
      <c r="T148" s="935"/>
      <c r="U148" s="935"/>
      <c r="V148" s="935"/>
      <c r="W148" s="935"/>
      <c r="X148" s="935"/>
      <c r="Y148" s="935"/>
      <c r="Z148" s="935"/>
      <c r="AA148" s="935"/>
      <c r="AB148" s="935"/>
      <c r="AC148" s="935"/>
      <c r="AD148" s="935"/>
      <c r="AE148" s="935"/>
      <c r="AF148" s="935"/>
      <c r="AG148" s="935"/>
      <c r="AH148" s="935"/>
      <c r="AI148" s="935"/>
      <c r="AJ148" s="935"/>
      <c r="AK148" s="935"/>
      <c r="AL148" s="935"/>
      <c r="AM148" s="935"/>
      <c r="AN148" s="935"/>
      <c r="AO148" s="935"/>
      <c r="AP148" s="935"/>
      <c r="AQ148" s="935"/>
      <c r="AR148" s="935"/>
      <c r="AS148" s="935"/>
      <c r="AT148" s="935"/>
      <c r="AU148" s="935"/>
      <c r="AV148" s="935"/>
      <c r="AW148" s="935"/>
      <c r="AX148" s="935"/>
      <c r="AY148" s="935"/>
      <c r="AZ148" s="935"/>
      <c r="BA148" s="935"/>
      <c r="BB148" s="935"/>
      <c r="BC148" s="935"/>
      <c r="BD148" s="935"/>
      <c r="BE148" s="935"/>
      <c r="BF148" s="935"/>
      <c r="BG148" s="935"/>
      <c r="BH148" s="935"/>
      <c r="BI148" s="935"/>
      <c r="BJ148" s="935"/>
      <c r="BK148" s="935"/>
      <c r="BL148" s="935"/>
      <c r="BM148" s="935"/>
      <c r="BN148" s="935"/>
      <c r="BO148" s="935"/>
      <c r="BP148" s="935"/>
      <c r="BQ148" s="935"/>
      <c r="BR148" s="935"/>
      <c r="BS148" s="935"/>
      <c r="BT148" s="935"/>
    </row>
    <row r="149" spans="1:72" x14ac:dyDescent="0.25">
      <c r="A149" s="935" t="s">
        <v>480</v>
      </c>
      <c r="B149" s="935"/>
      <c r="C149" s="935"/>
      <c r="D149" s="935"/>
      <c r="E149" s="935"/>
      <c r="F149" s="935"/>
      <c r="G149" s="935"/>
      <c r="H149" s="935"/>
      <c r="I149" s="935"/>
      <c r="J149" s="935"/>
      <c r="K149" s="935"/>
      <c r="L149" s="935"/>
      <c r="M149" s="935"/>
      <c r="N149" s="935"/>
      <c r="O149" s="935"/>
      <c r="P149" s="935"/>
      <c r="Q149" s="935"/>
      <c r="R149" s="935"/>
      <c r="S149" s="935"/>
      <c r="T149" s="935"/>
      <c r="U149" s="935"/>
      <c r="V149" s="935"/>
      <c r="W149" s="935"/>
      <c r="X149" s="935"/>
      <c r="Y149" s="935"/>
      <c r="Z149" s="935"/>
      <c r="AA149" s="935"/>
      <c r="AB149" s="935"/>
      <c r="AC149" s="935"/>
      <c r="AD149" s="935"/>
      <c r="AE149" s="935"/>
      <c r="AF149" s="935"/>
      <c r="AG149" s="935"/>
      <c r="AH149" s="935"/>
      <c r="AI149" s="935"/>
      <c r="AJ149" s="935"/>
      <c r="AK149" s="935"/>
      <c r="AL149" s="935"/>
      <c r="AM149" s="935"/>
      <c r="AN149" s="935"/>
      <c r="AO149" s="935"/>
      <c r="AP149" s="935"/>
      <c r="AQ149" s="935"/>
      <c r="AR149" s="935"/>
      <c r="AS149" s="935"/>
      <c r="AT149" s="935"/>
      <c r="AU149" s="935"/>
      <c r="AV149" s="935"/>
      <c r="AW149" s="935"/>
      <c r="AX149" s="935"/>
      <c r="AY149" s="935"/>
      <c r="AZ149" s="935"/>
      <c r="BA149" s="935"/>
      <c r="BB149" s="935"/>
      <c r="BC149" s="935"/>
      <c r="BD149" s="935"/>
      <c r="BE149" s="935"/>
      <c r="BF149" s="935"/>
      <c r="BG149" s="935"/>
      <c r="BH149" s="935"/>
      <c r="BI149" s="935"/>
      <c r="BJ149" s="935"/>
      <c r="BK149" s="935"/>
      <c r="BL149" s="935"/>
      <c r="BM149" s="935"/>
      <c r="BN149" s="935"/>
      <c r="BO149" s="935"/>
      <c r="BP149" s="935"/>
      <c r="BQ149" s="935"/>
      <c r="BR149" s="935"/>
      <c r="BS149" s="935"/>
      <c r="BT149" s="935"/>
    </row>
    <row r="150" spans="1:72" x14ac:dyDescent="0.25">
      <c r="A150" s="935" t="s">
        <v>609</v>
      </c>
      <c r="B150" s="935">
        <v>20.2</v>
      </c>
      <c r="C150" s="935">
        <v>26.15</v>
      </c>
      <c r="D150" s="935">
        <v>20.12</v>
      </c>
      <c r="E150" s="935">
        <v>21.4</v>
      </c>
      <c r="F150" s="935">
        <v>21.77</v>
      </c>
      <c r="G150" s="935">
        <v>23.3</v>
      </c>
      <c r="H150" s="935">
        <v>25.02</v>
      </c>
      <c r="I150" s="935">
        <v>26.51</v>
      </c>
      <c r="J150" s="935">
        <v>27.61</v>
      </c>
      <c r="K150" s="935">
        <v>28.83</v>
      </c>
      <c r="L150" s="935">
        <v>29.98</v>
      </c>
      <c r="M150" s="935">
        <v>31.22</v>
      </c>
      <c r="N150" s="935">
        <v>32.11</v>
      </c>
      <c r="O150" s="935">
        <v>33.020000000000003</v>
      </c>
      <c r="P150" s="935">
        <v>34.01</v>
      </c>
      <c r="Q150" s="935">
        <v>35.020000000000003</v>
      </c>
      <c r="R150" s="935">
        <v>36.130000000000003</v>
      </c>
      <c r="S150" s="935">
        <v>37.24</v>
      </c>
      <c r="T150" s="935">
        <v>38.35</v>
      </c>
      <c r="U150" s="935">
        <v>39.36</v>
      </c>
      <c r="V150" s="935">
        <v>40.57</v>
      </c>
      <c r="W150" s="935">
        <v>41.81</v>
      </c>
      <c r="X150" s="935">
        <v>43.24</v>
      </c>
      <c r="Y150" s="935">
        <v>44.53</v>
      </c>
      <c r="Z150" s="935">
        <v>46.07</v>
      </c>
      <c r="AA150" s="935">
        <v>47.62</v>
      </c>
      <c r="AB150" s="935">
        <v>49.27</v>
      </c>
      <c r="AC150" s="935">
        <v>50.92</v>
      </c>
      <c r="AD150" s="935">
        <v>52.64</v>
      </c>
      <c r="AE150" s="974">
        <v>2.5999999999999999E-2</v>
      </c>
      <c r="AF150" s="935"/>
      <c r="AG150" s="935"/>
      <c r="AH150" s="935"/>
      <c r="AI150" s="935"/>
      <c r="AJ150" s="935"/>
      <c r="AK150" s="935"/>
      <c r="AL150" s="935"/>
      <c r="AM150" s="935"/>
      <c r="AN150" s="935"/>
      <c r="AO150" s="935"/>
      <c r="AP150" s="935"/>
      <c r="AQ150" s="935"/>
      <c r="AR150" s="935"/>
      <c r="AS150" s="935"/>
      <c r="AT150" s="935"/>
      <c r="AU150" s="935"/>
      <c r="AV150" s="935"/>
      <c r="AW150" s="935"/>
      <c r="AX150" s="935"/>
      <c r="AY150" s="935"/>
      <c r="AZ150" s="935"/>
      <c r="BA150" s="935"/>
      <c r="BB150" s="935"/>
      <c r="BC150" s="935"/>
      <c r="BD150" s="935"/>
      <c r="BE150" s="935"/>
      <c r="BF150" s="935"/>
      <c r="BG150" s="935"/>
      <c r="BH150" s="935"/>
      <c r="BI150" s="935"/>
      <c r="BJ150" s="935"/>
      <c r="BK150" s="935"/>
      <c r="BL150" s="935"/>
      <c r="BM150" s="935"/>
      <c r="BN150" s="935"/>
      <c r="BO150" s="935"/>
      <c r="BP150" s="935"/>
      <c r="BQ150" s="935"/>
      <c r="BR150" s="935"/>
      <c r="BS150" s="935"/>
      <c r="BT150" s="935"/>
    </row>
    <row r="151" spans="1:72" x14ac:dyDescent="0.25">
      <c r="A151" s="935" t="s">
        <v>610</v>
      </c>
      <c r="B151" s="935">
        <v>17.100000000000001</v>
      </c>
      <c r="C151" s="935">
        <v>21.5</v>
      </c>
      <c r="D151" s="935">
        <v>16.04</v>
      </c>
      <c r="E151" s="935">
        <v>15.27</v>
      </c>
      <c r="F151" s="935">
        <v>15.91</v>
      </c>
      <c r="G151" s="935">
        <v>17.34</v>
      </c>
      <c r="H151" s="935">
        <v>18.739999999999998</v>
      </c>
      <c r="I151" s="935">
        <v>19.850000000000001</v>
      </c>
      <c r="J151" s="935">
        <v>20.86</v>
      </c>
      <c r="K151" s="935">
        <v>22.18</v>
      </c>
      <c r="L151" s="935">
        <v>23.33</v>
      </c>
      <c r="M151" s="935">
        <v>24.52</v>
      </c>
      <c r="N151" s="935">
        <v>25.47</v>
      </c>
      <c r="O151" s="935">
        <v>26.39</v>
      </c>
      <c r="P151" s="935">
        <v>27.18</v>
      </c>
      <c r="Q151" s="935">
        <v>28.11</v>
      </c>
      <c r="R151" s="935">
        <v>29.04</v>
      </c>
      <c r="S151" s="935">
        <v>29.83</v>
      </c>
      <c r="T151" s="935">
        <v>30.83</v>
      </c>
      <c r="U151" s="935">
        <v>31.82</v>
      </c>
      <c r="V151" s="935">
        <v>32.83</v>
      </c>
      <c r="W151" s="935">
        <v>34.01</v>
      </c>
      <c r="X151" s="935">
        <v>35.340000000000003</v>
      </c>
      <c r="Y151" s="935">
        <v>36.380000000000003</v>
      </c>
      <c r="Z151" s="935">
        <v>37.86</v>
      </c>
      <c r="AA151" s="935">
        <v>39.340000000000003</v>
      </c>
      <c r="AB151" s="935">
        <v>40.74</v>
      </c>
      <c r="AC151" s="935">
        <v>42.29</v>
      </c>
      <c r="AD151" s="935">
        <v>43.92</v>
      </c>
      <c r="AE151" s="974">
        <v>2.7E-2</v>
      </c>
      <c r="AF151" s="935"/>
      <c r="AG151" s="935"/>
      <c r="AH151" s="935"/>
      <c r="AI151" s="935"/>
      <c r="AJ151" s="935"/>
      <c r="AK151" s="935"/>
      <c r="AL151" s="935"/>
      <c r="AM151" s="935"/>
      <c r="AN151" s="935"/>
      <c r="AO151" s="935"/>
      <c r="AP151" s="935"/>
      <c r="AQ151" s="935"/>
      <c r="AR151" s="935"/>
      <c r="AS151" s="935"/>
      <c r="AT151" s="935"/>
      <c r="AU151" s="935"/>
      <c r="AV151" s="935"/>
      <c r="AW151" s="935"/>
      <c r="AX151" s="935"/>
      <c r="AY151" s="935"/>
      <c r="AZ151" s="935"/>
      <c r="BA151" s="935"/>
      <c r="BB151" s="935"/>
      <c r="BC151" s="935"/>
      <c r="BD151" s="935"/>
      <c r="BE151" s="935"/>
      <c r="BF151" s="935"/>
      <c r="BG151" s="935"/>
      <c r="BH151" s="935"/>
      <c r="BI151" s="935"/>
      <c r="BJ151" s="935"/>
      <c r="BK151" s="935"/>
      <c r="BL151" s="935"/>
      <c r="BM151" s="935"/>
      <c r="BN151" s="935"/>
      <c r="BO151" s="935"/>
      <c r="BP151" s="935"/>
      <c r="BQ151" s="935"/>
      <c r="BR151" s="935"/>
      <c r="BS151" s="935"/>
      <c r="BT151" s="935"/>
    </row>
    <row r="152" spans="1:72" x14ac:dyDescent="0.25">
      <c r="A152" s="935" t="s">
        <v>723</v>
      </c>
      <c r="B152" s="935">
        <v>8.2100000000000009</v>
      </c>
      <c r="C152" s="935">
        <v>15.52</v>
      </c>
      <c r="D152" s="935">
        <v>9.41</v>
      </c>
      <c r="E152" s="935">
        <v>9.74</v>
      </c>
      <c r="F152" s="935">
        <v>10.050000000000001</v>
      </c>
      <c r="G152" s="935">
        <v>11.48</v>
      </c>
      <c r="H152" s="935">
        <v>12.9</v>
      </c>
      <c r="I152" s="935">
        <v>13.98</v>
      </c>
      <c r="J152" s="935">
        <v>14.63</v>
      </c>
      <c r="K152" s="935">
        <v>15.52</v>
      </c>
      <c r="L152" s="935">
        <v>16.37</v>
      </c>
      <c r="M152" s="935">
        <v>17.29</v>
      </c>
      <c r="N152" s="935">
        <v>18.29</v>
      </c>
      <c r="O152" s="935">
        <v>18.899999999999999</v>
      </c>
      <c r="P152" s="935">
        <v>19.57</v>
      </c>
      <c r="Q152" s="935">
        <v>20.27</v>
      </c>
      <c r="R152" s="935">
        <v>21.01</v>
      </c>
      <c r="S152" s="935">
        <v>21.73</v>
      </c>
      <c r="T152" s="935">
        <v>22.45</v>
      </c>
      <c r="U152" s="935">
        <v>23.04</v>
      </c>
      <c r="V152" s="935">
        <v>23.8</v>
      </c>
      <c r="W152" s="935">
        <v>24.66</v>
      </c>
      <c r="X152" s="935">
        <v>25.52</v>
      </c>
      <c r="Y152" s="935">
        <v>26.47</v>
      </c>
      <c r="Z152" s="935">
        <v>27.6</v>
      </c>
      <c r="AA152" s="935">
        <v>28.58</v>
      </c>
      <c r="AB152" s="935">
        <v>29.4</v>
      </c>
      <c r="AC152" s="935">
        <v>30.75</v>
      </c>
      <c r="AD152" s="935">
        <v>31.66</v>
      </c>
      <c r="AE152" s="974">
        <v>2.7E-2</v>
      </c>
      <c r="AF152" s="935"/>
      <c r="AG152" s="935"/>
      <c r="AH152" s="935"/>
      <c r="AI152" s="935"/>
      <c r="AJ152" s="935"/>
      <c r="AK152" s="935"/>
      <c r="AL152" s="935"/>
      <c r="AM152" s="935"/>
      <c r="AN152" s="935"/>
      <c r="AO152" s="935"/>
      <c r="AP152" s="935"/>
      <c r="AQ152" s="935"/>
      <c r="AR152" s="935"/>
      <c r="AS152" s="935"/>
      <c r="AT152" s="935"/>
      <c r="AU152" s="935"/>
      <c r="AV152" s="935"/>
      <c r="AW152" s="935"/>
      <c r="AX152" s="935"/>
      <c r="AY152" s="935"/>
      <c r="AZ152" s="935"/>
      <c r="BA152" s="935"/>
      <c r="BB152" s="935"/>
      <c r="BC152" s="935"/>
      <c r="BD152" s="935"/>
      <c r="BE152" s="935"/>
      <c r="BF152" s="935"/>
      <c r="BG152" s="935"/>
      <c r="BH152" s="935"/>
      <c r="BI152" s="935"/>
      <c r="BJ152" s="935"/>
      <c r="BK152" s="935"/>
      <c r="BL152" s="935"/>
      <c r="BM152" s="935"/>
      <c r="BN152" s="935"/>
      <c r="BO152" s="935"/>
      <c r="BP152" s="935"/>
      <c r="BQ152" s="935"/>
      <c r="BR152" s="935"/>
      <c r="BS152" s="935"/>
      <c r="BT152" s="935"/>
    </row>
    <row r="153" spans="1:72" x14ac:dyDescent="0.25">
      <c r="A153" s="935" t="s">
        <v>510</v>
      </c>
      <c r="B153" s="935">
        <v>10.96</v>
      </c>
      <c r="C153" s="935">
        <v>11.94</v>
      </c>
      <c r="D153" s="935">
        <v>9.18</v>
      </c>
      <c r="E153" s="935">
        <v>8.93</v>
      </c>
      <c r="F153" s="935">
        <v>10.15</v>
      </c>
      <c r="G153" s="935">
        <v>10.65</v>
      </c>
      <c r="H153" s="935">
        <v>10.68</v>
      </c>
      <c r="I153" s="935">
        <v>10.8</v>
      </c>
      <c r="J153" s="935">
        <v>11.14</v>
      </c>
      <c r="K153" s="935">
        <v>11.44</v>
      </c>
      <c r="L153" s="935">
        <v>11.67</v>
      </c>
      <c r="M153" s="935">
        <v>11.96</v>
      </c>
      <c r="N153" s="935">
        <v>12.27</v>
      </c>
      <c r="O153" s="935">
        <v>12.65</v>
      </c>
      <c r="P153" s="935">
        <v>13.05</v>
      </c>
      <c r="Q153" s="935">
        <v>13.58</v>
      </c>
      <c r="R153" s="935">
        <v>13.92</v>
      </c>
      <c r="S153" s="935">
        <v>14.13</v>
      </c>
      <c r="T153" s="935">
        <v>14.53</v>
      </c>
      <c r="U153" s="935">
        <v>15.05</v>
      </c>
      <c r="V153" s="935">
        <v>15.62</v>
      </c>
      <c r="W153" s="935">
        <v>16.3</v>
      </c>
      <c r="X153" s="935">
        <v>17.010000000000002</v>
      </c>
      <c r="Y153" s="935">
        <v>17.78</v>
      </c>
      <c r="Z153" s="935">
        <v>18.690000000000001</v>
      </c>
      <c r="AA153" s="935">
        <v>19.329999999999998</v>
      </c>
      <c r="AB153" s="935">
        <v>19.86</v>
      </c>
      <c r="AC153" s="935">
        <v>20.61</v>
      </c>
      <c r="AD153" s="935">
        <v>21.27</v>
      </c>
      <c r="AE153" s="974">
        <v>2.1999999999999999E-2</v>
      </c>
      <c r="AF153" s="935"/>
      <c r="AG153" s="935"/>
      <c r="AH153" s="935"/>
      <c r="AI153" s="935"/>
      <c r="AJ153" s="935"/>
      <c r="AK153" s="935"/>
      <c r="AL153" s="935"/>
      <c r="AM153" s="935"/>
      <c r="AN153" s="935"/>
      <c r="AO153" s="935"/>
      <c r="AP153" s="935"/>
      <c r="AQ153" s="935"/>
      <c r="AR153" s="935"/>
      <c r="AS153" s="935"/>
      <c r="AT153" s="935"/>
      <c r="AU153" s="935"/>
      <c r="AV153" s="935"/>
      <c r="AW153" s="935"/>
      <c r="AX153" s="935"/>
      <c r="AY153" s="935"/>
      <c r="AZ153" s="935"/>
      <c r="BA153" s="935"/>
      <c r="BB153" s="935"/>
      <c r="BC153" s="935"/>
      <c r="BD153" s="935"/>
      <c r="BE153" s="935"/>
      <c r="BF153" s="935"/>
      <c r="BG153" s="935"/>
      <c r="BH153" s="935"/>
      <c r="BI153" s="935"/>
      <c r="BJ153" s="935"/>
      <c r="BK153" s="935"/>
      <c r="BL153" s="935"/>
      <c r="BM153" s="935"/>
      <c r="BN153" s="935"/>
      <c r="BO153" s="935"/>
      <c r="BP153" s="935"/>
      <c r="BQ153" s="935"/>
      <c r="BR153" s="935"/>
      <c r="BS153" s="935"/>
      <c r="BT153" s="935"/>
    </row>
    <row r="154" spans="1:72" x14ac:dyDescent="0.25">
      <c r="A154" s="935" t="s">
        <v>479</v>
      </c>
      <c r="B154" s="935">
        <v>28.18</v>
      </c>
      <c r="C154" s="935">
        <v>30.47</v>
      </c>
      <c r="D154" s="935">
        <v>29.38</v>
      </c>
      <c r="E154" s="935">
        <v>28.19</v>
      </c>
      <c r="F154" s="935">
        <v>26.85</v>
      </c>
      <c r="G154" s="935">
        <v>28.28</v>
      </c>
      <c r="H154" s="935">
        <v>28.88</v>
      </c>
      <c r="I154" s="935">
        <v>29.09</v>
      </c>
      <c r="J154" s="935">
        <v>29.58</v>
      </c>
      <c r="K154" s="935">
        <v>30.41</v>
      </c>
      <c r="L154" s="935">
        <v>31.16</v>
      </c>
      <c r="M154" s="935">
        <v>31.75</v>
      </c>
      <c r="N154" s="935">
        <v>32.270000000000003</v>
      </c>
      <c r="O154" s="935">
        <v>33.15</v>
      </c>
      <c r="P154" s="935">
        <v>34.090000000000003</v>
      </c>
      <c r="Q154" s="935">
        <v>34.97</v>
      </c>
      <c r="R154" s="935">
        <v>35.99</v>
      </c>
      <c r="S154" s="935">
        <v>36.94</v>
      </c>
      <c r="T154" s="935">
        <v>37.619999999999997</v>
      </c>
      <c r="U154" s="935">
        <v>38.61</v>
      </c>
      <c r="V154" s="935">
        <v>39.68</v>
      </c>
      <c r="W154" s="935">
        <v>40.82</v>
      </c>
      <c r="X154" s="935">
        <v>42.33</v>
      </c>
      <c r="Y154" s="935">
        <v>43.75</v>
      </c>
      <c r="Z154" s="935">
        <v>45.32</v>
      </c>
      <c r="AA154" s="935">
        <v>46.89</v>
      </c>
      <c r="AB154" s="935">
        <v>48.18</v>
      </c>
      <c r="AC154" s="935">
        <v>49.63</v>
      </c>
      <c r="AD154" s="935">
        <v>51.04</v>
      </c>
      <c r="AE154" s="974">
        <v>1.9E-2</v>
      </c>
      <c r="AF154" s="935"/>
      <c r="AG154" s="935"/>
      <c r="AH154" s="935"/>
      <c r="AI154" s="935"/>
      <c r="AJ154" s="935"/>
      <c r="AK154" s="935"/>
      <c r="AL154" s="935"/>
      <c r="AM154" s="935"/>
      <c r="AN154" s="935"/>
      <c r="AO154" s="935"/>
      <c r="AP154" s="935"/>
      <c r="AQ154" s="935"/>
      <c r="AR154" s="935"/>
      <c r="AS154" s="935"/>
      <c r="AT154" s="935"/>
      <c r="AU154" s="935"/>
      <c r="AV154" s="935"/>
      <c r="AW154" s="935"/>
      <c r="AX154" s="935"/>
      <c r="AY154" s="935"/>
      <c r="AZ154" s="935"/>
      <c r="BA154" s="935"/>
      <c r="BB154" s="935"/>
      <c r="BC154" s="935"/>
      <c r="BD154" s="935"/>
      <c r="BE154" s="935"/>
      <c r="BF154" s="935"/>
      <c r="BG154" s="935"/>
      <c r="BH154" s="935"/>
      <c r="BI154" s="935"/>
      <c r="BJ154" s="935"/>
      <c r="BK154" s="935"/>
      <c r="BL154" s="935"/>
      <c r="BM154" s="935"/>
      <c r="BN154" s="935"/>
      <c r="BO154" s="935"/>
      <c r="BP154" s="935"/>
      <c r="BQ154" s="935"/>
      <c r="BR154" s="935"/>
      <c r="BS154" s="935"/>
      <c r="BT154" s="935"/>
    </row>
    <row r="155" spans="1:72" x14ac:dyDescent="0.25">
      <c r="A155" s="935"/>
      <c r="B155" s="935"/>
      <c r="C155" s="935"/>
      <c r="D155" s="935"/>
      <c r="E155" s="935"/>
      <c r="F155" s="935"/>
      <c r="G155" s="935"/>
      <c r="H155" s="935"/>
      <c r="I155" s="935"/>
      <c r="J155" s="935"/>
      <c r="K155" s="935"/>
      <c r="L155" s="935"/>
      <c r="M155" s="935"/>
      <c r="N155" s="935"/>
      <c r="O155" s="935"/>
      <c r="P155" s="935"/>
      <c r="Q155" s="935"/>
      <c r="R155" s="935"/>
      <c r="S155" s="935"/>
      <c r="T155" s="935"/>
      <c r="U155" s="935"/>
      <c r="V155" s="935"/>
      <c r="W155" s="935"/>
      <c r="X155" s="935"/>
      <c r="Y155" s="935"/>
      <c r="Z155" s="935"/>
      <c r="AA155" s="935"/>
      <c r="AB155" s="935"/>
      <c r="AC155" s="935"/>
      <c r="AD155" s="935"/>
      <c r="AE155" s="935"/>
      <c r="AF155" s="935"/>
      <c r="AG155" s="935"/>
      <c r="AH155" s="935"/>
      <c r="AI155" s="935"/>
      <c r="AJ155" s="935"/>
      <c r="AK155" s="935"/>
      <c r="AL155" s="935"/>
      <c r="AM155" s="935"/>
      <c r="AN155" s="935"/>
      <c r="AO155" s="935"/>
      <c r="AP155" s="935"/>
      <c r="AQ155" s="935"/>
      <c r="AR155" s="935"/>
      <c r="AS155" s="935"/>
      <c r="AT155" s="935"/>
      <c r="AU155" s="935"/>
      <c r="AV155" s="935"/>
      <c r="AW155" s="935"/>
      <c r="AX155" s="935"/>
      <c r="AY155" s="935"/>
      <c r="AZ155" s="935"/>
      <c r="BA155" s="935"/>
      <c r="BB155" s="935"/>
      <c r="BC155" s="935"/>
      <c r="BD155" s="935"/>
      <c r="BE155" s="935"/>
      <c r="BF155" s="935"/>
      <c r="BG155" s="935"/>
      <c r="BH155" s="935"/>
      <c r="BI155" s="935"/>
      <c r="BJ155" s="935"/>
      <c r="BK155" s="935"/>
      <c r="BL155" s="935"/>
      <c r="BM155" s="935"/>
      <c r="BN155" s="935"/>
      <c r="BO155" s="935"/>
      <c r="BP155" s="935"/>
      <c r="BQ155" s="935"/>
      <c r="BR155" s="935"/>
      <c r="BS155" s="935"/>
      <c r="BT155" s="935"/>
    </row>
    <row r="156" spans="1:72" x14ac:dyDescent="0.25">
      <c r="A156" s="935" t="s">
        <v>612</v>
      </c>
      <c r="B156" s="935"/>
      <c r="C156" s="935"/>
      <c r="D156" s="935"/>
      <c r="E156" s="935"/>
      <c r="F156" s="935"/>
      <c r="G156" s="935"/>
      <c r="H156" s="935"/>
      <c r="I156" s="935"/>
      <c r="J156" s="935"/>
      <c r="K156" s="935"/>
      <c r="L156" s="935"/>
      <c r="M156" s="935"/>
      <c r="N156" s="935"/>
      <c r="O156" s="935"/>
      <c r="P156" s="935"/>
      <c r="Q156" s="935"/>
      <c r="R156" s="935"/>
      <c r="S156" s="935"/>
      <c r="T156" s="935"/>
      <c r="U156" s="935"/>
      <c r="V156" s="935"/>
      <c r="W156" s="935"/>
      <c r="X156" s="935"/>
      <c r="Y156" s="935"/>
      <c r="Z156" s="935"/>
      <c r="AA156" s="935"/>
      <c r="AB156" s="935"/>
      <c r="AC156" s="935"/>
      <c r="AD156" s="935"/>
      <c r="AE156" s="935"/>
      <c r="AF156" s="935"/>
      <c r="AG156" s="935"/>
      <c r="AH156" s="935"/>
      <c r="AI156" s="935"/>
      <c r="AJ156" s="935"/>
      <c r="AK156" s="935"/>
      <c r="AL156" s="935"/>
      <c r="AM156" s="935"/>
      <c r="AN156" s="935"/>
      <c r="AO156" s="935"/>
      <c r="AP156" s="935"/>
      <c r="AQ156" s="935"/>
      <c r="AR156" s="935"/>
      <c r="AS156" s="935"/>
      <c r="AT156" s="935"/>
      <c r="AU156" s="935"/>
      <c r="AV156" s="935"/>
      <c r="AW156" s="935"/>
      <c r="AX156" s="935"/>
      <c r="AY156" s="935"/>
      <c r="AZ156" s="935"/>
      <c r="BA156" s="935"/>
      <c r="BB156" s="935"/>
      <c r="BC156" s="935"/>
      <c r="BD156" s="935"/>
      <c r="BE156" s="935"/>
      <c r="BF156" s="935"/>
      <c r="BG156" s="935"/>
      <c r="BH156" s="935"/>
      <c r="BI156" s="935"/>
      <c r="BJ156" s="935"/>
      <c r="BK156" s="935"/>
      <c r="BL156" s="935"/>
      <c r="BM156" s="935"/>
      <c r="BN156" s="935"/>
      <c r="BO156" s="935"/>
      <c r="BP156" s="935"/>
      <c r="BQ156" s="935"/>
      <c r="BR156" s="935"/>
      <c r="BS156" s="935"/>
      <c r="BT156" s="935"/>
    </row>
    <row r="157" spans="1:72" x14ac:dyDescent="0.25">
      <c r="A157" s="935" t="s">
        <v>609</v>
      </c>
      <c r="B157" s="935">
        <v>21.53</v>
      </c>
      <c r="C157" s="935">
        <v>24.2</v>
      </c>
      <c r="D157" s="935">
        <v>18.920000000000002</v>
      </c>
      <c r="E157" s="935">
        <v>18.920000000000002</v>
      </c>
      <c r="F157" s="935">
        <v>19.260000000000002</v>
      </c>
      <c r="G157" s="935">
        <v>20.76</v>
      </c>
      <c r="H157" s="935">
        <v>22.51</v>
      </c>
      <c r="I157" s="935">
        <v>24</v>
      </c>
      <c r="J157" s="935">
        <v>25.06</v>
      </c>
      <c r="K157" s="935">
        <v>26.38</v>
      </c>
      <c r="L157" s="935">
        <v>27.45</v>
      </c>
      <c r="M157" s="935">
        <v>28.6</v>
      </c>
      <c r="N157" s="935">
        <v>29.51</v>
      </c>
      <c r="O157" s="935">
        <v>30.38</v>
      </c>
      <c r="P157" s="935">
        <v>31.31</v>
      </c>
      <c r="Q157" s="935">
        <v>32.270000000000003</v>
      </c>
      <c r="R157" s="935">
        <v>33.340000000000003</v>
      </c>
      <c r="S157" s="935">
        <v>34.39</v>
      </c>
      <c r="T157" s="935">
        <v>35.450000000000003</v>
      </c>
      <c r="U157" s="935">
        <v>36.4</v>
      </c>
      <c r="V157" s="935">
        <v>37.549999999999997</v>
      </c>
      <c r="W157" s="935">
        <v>38.729999999999997</v>
      </c>
      <c r="X157" s="935">
        <v>40.1</v>
      </c>
      <c r="Y157" s="935">
        <v>41.33</v>
      </c>
      <c r="Z157" s="935">
        <v>42.81</v>
      </c>
      <c r="AA157" s="935">
        <v>44.29</v>
      </c>
      <c r="AB157" s="935">
        <v>45.9</v>
      </c>
      <c r="AC157" s="935">
        <v>47.5</v>
      </c>
      <c r="AD157" s="935">
        <v>49.15</v>
      </c>
      <c r="AE157" s="974">
        <v>2.7E-2</v>
      </c>
      <c r="AF157" s="935"/>
      <c r="AG157" s="935"/>
      <c r="AH157" s="935"/>
      <c r="AI157" s="935"/>
      <c r="AJ157" s="935"/>
      <c r="AK157" s="935"/>
      <c r="AL157" s="935"/>
      <c r="AM157" s="935"/>
      <c r="AN157" s="935"/>
      <c r="AO157" s="935"/>
      <c r="AP157" s="935"/>
      <c r="AQ157" s="935"/>
      <c r="AR157" s="935"/>
      <c r="AS157" s="935"/>
      <c r="AT157" s="935"/>
      <c r="AU157" s="935"/>
      <c r="AV157" s="935"/>
      <c r="AW157" s="935"/>
      <c r="AX157" s="935"/>
      <c r="AY157" s="935"/>
      <c r="AZ157" s="935"/>
      <c r="BA157" s="935"/>
      <c r="BB157" s="935"/>
      <c r="BC157" s="935"/>
      <c r="BD157" s="935"/>
      <c r="BE157" s="935"/>
      <c r="BF157" s="935"/>
      <c r="BG157" s="935"/>
      <c r="BH157" s="935"/>
      <c r="BI157" s="935"/>
      <c r="BJ157" s="935"/>
      <c r="BK157" s="935"/>
      <c r="BL157" s="935"/>
      <c r="BM157" s="935"/>
      <c r="BN157" s="935"/>
      <c r="BO157" s="935"/>
      <c r="BP157" s="935"/>
      <c r="BQ157" s="935"/>
      <c r="BR157" s="935"/>
      <c r="BS157" s="935"/>
      <c r="BT157" s="935"/>
    </row>
    <row r="158" spans="1:72" x14ac:dyDescent="0.25">
      <c r="A158" s="935" t="s">
        <v>610</v>
      </c>
      <c r="B158" s="935">
        <v>17.68</v>
      </c>
      <c r="C158" s="935">
        <v>22.31</v>
      </c>
      <c r="D158" s="935">
        <v>16.649999999999999</v>
      </c>
      <c r="E158" s="935">
        <v>14.82</v>
      </c>
      <c r="F158" s="935">
        <v>16.05</v>
      </c>
      <c r="G158" s="935">
        <v>17.52</v>
      </c>
      <c r="H158" s="935">
        <v>18.95</v>
      </c>
      <c r="I158" s="935">
        <v>20.07</v>
      </c>
      <c r="J158" s="935">
        <v>21.18</v>
      </c>
      <c r="K158" s="935">
        <v>22.46</v>
      </c>
      <c r="L158" s="935">
        <v>23.62</v>
      </c>
      <c r="M158" s="935">
        <v>24.81</v>
      </c>
      <c r="N158" s="935">
        <v>25.76</v>
      </c>
      <c r="O158" s="935">
        <v>26.68</v>
      </c>
      <c r="P158" s="935">
        <v>27.5</v>
      </c>
      <c r="Q158" s="935">
        <v>28.52</v>
      </c>
      <c r="R158" s="935">
        <v>29.39</v>
      </c>
      <c r="S158" s="935">
        <v>30.15</v>
      </c>
      <c r="T158" s="935">
        <v>31.18</v>
      </c>
      <c r="U158" s="935">
        <v>32.159999999999997</v>
      </c>
      <c r="V158" s="935">
        <v>33.21</v>
      </c>
      <c r="W158" s="935">
        <v>34.409999999999997</v>
      </c>
      <c r="X158" s="935">
        <v>35.770000000000003</v>
      </c>
      <c r="Y158" s="935">
        <v>36.83</v>
      </c>
      <c r="Z158" s="935">
        <v>38.33</v>
      </c>
      <c r="AA158" s="935">
        <v>39.83</v>
      </c>
      <c r="AB158" s="935">
        <v>41.25</v>
      </c>
      <c r="AC158" s="935">
        <v>42.82</v>
      </c>
      <c r="AD158" s="935">
        <v>44.51</v>
      </c>
      <c r="AE158" s="974">
        <v>2.5999999999999999E-2</v>
      </c>
      <c r="AF158" s="935"/>
      <c r="AG158" s="935"/>
      <c r="AH158" s="935"/>
      <c r="AI158" s="935"/>
      <c r="AJ158" s="935"/>
      <c r="AK158" s="935"/>
      <c r="AL158" s="935"/>
      <c r="AM158" s="935"/>
      <c r="AN158" s="935"/>
      <c r="AO158" s="935"/>
      <c r="AP158" s="935"/>
      <c r="AQ158" s="935"/>
      <c r="AR158" s="935"/>
      <c r="AS158" s="935"/>
      <c r="AT158" s="935"/>
      <c r="AU158" s="935"/>
      <c r="AV158" s="935"/>
      <c r="AW158" s="935"/>
      <c r="AX158" s="935"/>
      <c r="AY158" s="935"/>
      <c r="AZ158" s="935"/>
      <c r="BA158" s="935"/>
      <c r="BB158" s="935"/>
      <c r="BC158" s="935"/>
      <c r="BD158" s="935"/>
      <c r="BE158" s="935"/>
      <c r="BF158" s="935"/>
      <c r="BG158" s="935"/>
      <c r="BH158" s="935"/>
      <c r="BI158" s="935"/>
      <c r="BJ158" s="935"/>
      <c r="BK158" s="935"/>
      <c r="BL158" s="935"/>
      <c r="BM158" s="935"/>
      <c r="BN158" s="935"/>
      <c r="BO158" s="935"/>
      <c r="BP158" s="935"/>
      <c r="BQ158" s="935"/>
      <c r="BR158" s="935"/>
      <c r="BS158" s="935"/>
      <c r="BT158" s="935"/>
    </row>
    <row r="159" spans="1:72" x14ac:dyDescent="0.25">
      <c r="A159" s="935" t="s">
        <v>611</v>
      </c>
      <c r="B159" s="935">
        <v>8.65</v>
      </c>
      <c r="C159" s="935">
        <v>16.309999999999999</v>
      </c>
      <c r="D159" s="935">
        <v>9.89</v>
      </c>
      <c r="E159" s="935">
        <v>13.52</v>
      </c>
      <c r="F159" s="935">
        <v>13.82</v>
      </c>
      <c r="G159" s="935">
        <v>15.16</v>
      </c>
      <c r="H159" s="935">
        <v>16.489999999999998</v>
      </c>
      <c r="I159" s="935">
        <v>17.62</v>
      </c>
      <c r="J159" s="935">
        <v>18.350000000000001</v>
      </c>
      <c r="K159" s="935">
        <v>19.239999999999998</v>
      </c>
      <c r="L159" s="935">
        <v>20.059999999999999</v>
      </c>
      <c r="M159" s="935">
        <v>20.97</v>
      </c>
      <c r="N159" s="935">
        <v>21.68</v>
      </c>
      <c r="O159" s="935">
        <v>22.24</v>
      </c>
      <c r="P159" s="935">
        <v>23</v>
      </c>
      <c r="Q159" s="935">
        <v>23.74</v>
      </c>
      <c r="R159" s="935">
        <v>24.52</v>
      </c>
      <c r="S159" s="935">
        <v>25.31</v>
      </c>
      <c r="T159" s="935">
        <v>26.1</v>
      </c>
      <c r="U159" s="935">
        <v>26.74</v>
      </c>
      <c r="V159" s="935">
        <v>27.57</v>
      </c>
      <c r="W159" s="935">
        <v>28.51</v>
      </c>
      <c r="X159" s="935">
        <v>29.51</v>
      </c>
      <c r="Y159" s="935">
        <v>30.6</v>
      </c>
      <c r="Z159" s="935">
        <v>31.8</v>
      </c>
      <c r="AA159" s="935">
        <v>32.92</v>
      </c>
      <c r="AB159" s="935">
        <v>34.03</v>
      </c>
      <c r="AC159" s="935">
        <v>35.29</v>
      </c>
      <c r="AD159" s="935">
        <v>36.5</v>
      </c>
      <c r="AE159" s="974">
        <v>0.03</v>
      </c>
      <c r="AF159" s="935"/>
      <c r="AG159" s="935"/>
      <c r="AH159" s="935"/>
      <c r="AI159" s="935"/>
      <c r="AJ159" s="935"/>
      <c r="AK159" s="935"/>
      <c r="AL159" s="935"/>
      <c r="AM159" s="935"/>
      <c r="AN159" s="935"/>
      <c r="AO159" s="935"/>
      <c r="AP159" s="935"/>
      <c r="AQ159" s="935"/>
      <c r="AR159" s="935"/>
      <c r="AS159" s="935"/>
      <c r="AT159" s="935"/>
      <c r="AU159" s="935"/>
      <c r="AV159" s="935"/>
      <c r="AW159" s="935"/>
      <c r="AX159" s="935"/>
      <c r="AY159" s="935"/>
      <c r="AZ159" s="935"/>
      <c r="BA159" s="935"/>
      <c r="BB159" s="935"/>
      <c r="BC159" s="935"/>
      <c r="BD159" s="935"/>
      <c r="BE159" s="935"/>
      <c r="BF159" s="935"/>
      <c r="BG159" s="935"/>
      <c r="BH159" s="935"/>
      <c r="BI159" s="935"/>
      <c r="BJ159" s="935"/>
      <c r="BK159" s="935"/>
      <c r="BL159" s="935"/>
      <c r="BM159" s="935"/>
      <c r="BN159" s="935"/>
      <c r="BO159" s="935"/>
      <c r="BP159" s="935"/>
      <c r="BQ159" s="935"/>
      <c r="BR159" s="935"/>
      <c r="BS159" s="935"/>
      <c r="BT159" s="935"/>
    </row>
    <row r="160" spans="1:72" x14ac:dyDescent="0.25">
      <c r="A160" s="935" t="s">
        <v>613</v>
      </c>
      <c r="B160" s="935">
        <v>7.41</v>
      </c>
      <c r="C160" s="935">
        <v>9.11</v>
      </c>
      <c r="D160" s="935">
        <v>4.26</v>
      </c>
      <c r="E160" s="935">
        <v>5.0199999999999996</v>
      </c>
      <c r="F160" s="935">
        <v>6.23</v>
      </c>
      <c r="G160" s="935">
        <v>6.76</v>
      </c>
      <c r="H160" s="935">
        <v>6.82</v>
      </c>
      <c r="I160" s="935">
        <v>6.89</v>
      </c>
      <c r="J160" s="935">
        <v>7.18</v>
      </c>
      <c r="K160" s="935">
        <v>7.39</v>
      </c>
      <c r="L160" s="935">
        <v>7.52</v>
      </c>
      <c r="M160" s="935">
        <v>7.71</v>
      </c>
      <c r="N160" s="935">
        <v>7.91</v>
      </c>
      <c r="O160" s="935">
        <v>8.19</v>
      </c>
      <c r="P160" s="935">
        <v>8.4700000000000006</v>
      </c>
      <c r="Q160" s="935">
        <v>8.8800000000000008</v>
      </c>
      <c r="R160" s="935">
        <v>9.14</v>
      </c>
      <c r="S160" s="935">
        <v>9.26</v>
      </c>
      <c r="T160" s="935">
        <v>9.52</v>
      </c>
      <c r="U160" s="935">
        <v>9.9</v>
      </c>
      <c r="V160" s="935">
        <v>10.31</v>
      </c>
      <c r="W160" s="935">
        <v>10.85</v>
      </c>
      <c r="X160" s="935">
        <v>11.41</v>
      </c>
      <c r="Y160" s="935">
        <v>12.04</v>
      </c>
      <c r="Z160" s="935">
        <v>12.79</v>
      </c>
      <c r="AA160" s="935">
        <v>13.25</v>
      </c>
      <c r="AB160" s="935">
        <v>13.56</v>
      </c>
      <c r="AC160" s="935">
        <v>14.17</v>
      </c>
      <c r="AD160" s="935">
        <v>14.67</v>
      </c>
      <c r="AE160" s="974">
        <v>1.7999999999999999E-2</v>
      </c>
      <c r="AF160" s="935"/>
      <c r="AG160" s="935"/>
      <c r="AH160" s="935"/>
      <c r="AI160" s="935"/>
      <c r="AJ160" s="935"/>
      <c r="AK160" s="935"/>
      <c r="AL160" s="935"/>
      <c r="AM160" s="935"/>
      <c r="AN160" s="935"/>
      <c r="AO160" s="935"/>
      <c r="AP160" s="935"/>
      <c r="AQ160" s="935"/>
      <c r="AR160" s="935"/>
      <c r="AS160" s="935"/>
      <c r="AT160" s="935"/>
      <c r="AU160" s="935"/>
      <c r="AV160" s="935"/>
      <c r="AW160" s="935"/>
      <c r="AX160" s="935"/>
      <c r="AY160" s="935"/>
      <c r="AZ160" s="935"/>
      <c r="BA160" s="935"/>
      <c r="BB160" s="935"/>
      <c r="BC160" s="935"/>
      <c r="BD160" s="935"/>
      <c r="BE160" s="935"/>
      <c r="BF160" s="935"/>
      <c r="BG160" s="935"/>
      <c r="BH160" s="935"/>
      <c r="BI160" s="935"/>
      <c r="BJ160" s="935"/>
      <c r="BK160" s="935"/>
      <c r="BL160" s="935"/>
      <c r="BM160" s="935"/>
      <c r="BN160" s="935"/>
      <c r="BO160" s="935"/>
      <c r="BP160" s="935"/>
      <c r="BQ160" s="935"/>
      <c r="BR160" s="935"/>
      <c r="BS160" s="935"/>
      <c r="BT160" s="935"/>
    </row>
    <row r="161" spans="1:72" x14ac:dyDescent="0.25">
      <c r="A161" s="935" t="s">
        <v>614</v>
      </c>
      <c r="B161" s="935">
        <v>3.61</v>
      </c>
      <c r="C161" s="935">
        <v>4.49</v>
      </c>
      <c r="D161" s="935">
        <v>4.79</v>
      </c>
      <c r="E161" s="935">
        <v>4.9400000000000004</v>
      </c>
      <c r="F161" s="935">
        <v>5.07</v>
      </c>
      <c r="G161" s="935">
        <v>5.31</v>
      </c>
      <c r="H161" s="935">
        <v>5.44</v>
      </c>
      <c r="I161" s="935">
        <v>5.56</v>
      </c>
      <c r="J161" s="935">
        <v>5.66</v>
      </c>
      <c r="K161" s="935">
        <v>5.77</v>
      </c>
      <c r="L161" s="935">
        <v>5.97</v>
      </c>
      <c r="M161" s="935">
        <v>6.14</v>
      </c>
      <c r="N161" s="935">
        <v>6.34</v>
      </c>
      <c r="O161" s="935">
        <v>6.5</v>
      </c>
      <c r="P161" s="935">
        <v>6.68</v>
      </c>
      <c r="Q161" s="935">
        <v>6.84</v>
      </c>
      <c r="R161" s="935">
        <v>6.98</v>
      </c>
      <c r="S161" s="935">
        <v>7.07</v>
      </c>
      <c r="T161" s="935">
        <v>7.11</v>
      </c>
      <c r="U161" s="935">
        <v>7.15</v>
      </c>
      <c r="V161" s="935">
        <v>7.27</v>
      </c>
      <c r="W161" s="935">
        <v>7.43</v>
      </c>
      <c r="X161" s="935">
        <v>7.55</v>
      </c>
      <c r="Y161" s="935">
        <v>7.72</v>
      </c>
      <c r="Z161" s="935">
        <v>7.86</v>
      </c>
      <c r="AA161" s="935">
        <v>8.02</v>
      </c>
      <c r="AB161" s="935">
        <v>8.18</v>
      </c>
      <c r="AC161" s="935">
        <v>8.33</v>
      </c>
      <c r="AD161" s="935">
        <v>8.5</v>
      </c>
      <c r="AE161" s="974">
        <v>2.4E-2</v>
      </c>
      <c r="AF161" s="935"/>
      <c r="AG161" s="935"/>
      <c r="AH161" s="935"/>
      <c r="AI161" s="935"/>
      <c r="AJ161" s="935"/>
      <c r="AK161" s="935"/>
      <c r="AL161" s="935"/>
      <c r="AM161" s="935"/>
      <c r="AN161" s="935"/>
      <c r="AO161" s="935"/>
      <c r="AP161" s="935"/>
      <c r="AQ161" s="935"/>
      <c r="AR161" s="935"/>
      <c r="AS161" s="935"/>
      <c r="AT161" s="935"/>
      <c r="AU161" s="935"/>
      <c r="AV161" s="935"/>
      <c r="AW161" s="935"/>
      <c r="AX161" s="935"/>
      <c r="AY161" s="935"/>
      <c r="AZ161" s="935"/>
      <c r="BA161" s="935"/>
      <c r="BB161" s="935"/>
      <c r="BC161" s="935"/>
      <c r="BD161" s="935"/>
      <c r="BE161" s="935"/>
      <c r="BF161" s="935"/>
      <c r="BG161" s="935"/>
      <c r="BH161" s="935"/>
      <c r="BI161" s="935"/>
      <c r="BJ161" s="935"/>
      <c r="BK161" s="935"/>
      <c r="BL161" s="935"/>
      <c r="BM161" s="935"/>
      <c r="BN161" s="935"/>
      <c r="BO161" s="935"/>
      <c r="BP161" s="935"/>
      <c r="BQ161" s="935"/>
      <c r="BR161" s="935"/>
      <c r="BS161" s="935"/>
      <c r="BT161" s="935"/>
    </row>
    <row r="162" spans="1:72" x14ac:dyDescent="0.25">
      <c r="A162" s="935" t="s">
        <v>615</v>
      </c>
      <c r="B162" s="935">
        <v>2.4300000000000002</v>
      </c>
      <c r="C162" s="935">
        <v>2.84</v>
      </c>
      <c r="D162" s="935">
        <v>2.83</v>
      </c>
      <c r="E162" s="935">
        <v>2.77</v>
      </c>
      <c r="F162" s="935">
        <v>2.81</v>
      </c>
      <c r="G162" s="935">
        <v>2.85</v>
      </c>
      <c r="H162" s="935">
        <v>2.86</v>
      </c>
      <c r="I162" s="935">
        <v>2.93</v>
      </c>
      <c r="J162" s="935">
        <v>3</v>
      </c>
      <c r="K162" s="935">
        <v>3.04</v>
      </c>
      <c r="L162" s="935">
        <v>3.11</v>
      </c>
      <c r="M162" s="935">
        <v>3.16</v>
      </c>
      <c r="N162" s="935">
        <v>3.2</v>
      </c>
      <c r="O162" s="935">
        <v>3.26</v>
      </c>
      <c r="P162" s="935">
        <v>3.31</v>
      </c>
      <c r="Q162" s="935">
        <v>3.38</v>
      </c>
      <c r="R162" s="935">
        <v>3.43</v>
      </c>
      <c r="S162" s="935">
        <v>3.5</v>
      </c>
      <c r="T162" s="935">
        <v>3.56</v>
      </c>
      <c r="U162" s="935">
        <v>3.65</v>
      </c>
      <c r="V162" s="935">
        <v>3.72</v>
      </c>
      <c r="W162" s="935">
        <v>3.82</v>
      </c>
      <c r="X162" s="935">
        <v>3.91</v>
      </c>
      <c r="Y162" s="935">
        <v>4.01</v>
      </c>
      <c r="Z162" s="935">
        <v>4.12</v>
      </c>
      <c r="AA162" s="935">
        <v>4.21</v>
      </c>
      <c r="AB162" s="935">
        <v>4.33</v>
      </c>
      <c r="AC162" s="935">
        <v>4.4400000000000004</v>
      </c>
      <c r="AD162" s="935">
        <v>4.55</v>
      </c>
      <c r="AE162" s="974">
        <v>1.7999999999999999E-2</v>
      </c>
      <c r="AF162" s="935"/>
      <c r="AG162" s="935"/>
      <c r="AH162" s="935"/>
      <c r="AI162" s="935"/>
      <c r="AJ162" s="935"/>
      <c r="AK162" s="935"/>
      <c r="AL162" s="935"/>
      <c r="AM162" s="935"/>
      <c r="AN162" s="935"/>
      <c r="AO162" s="935"/>
      <c r="AP162" s="935"/>
      <c r="AQ162" s="935"/>
      <c r="AR162" s="935"/>
      <c r="AS162" s="935"/>
      <c r="AT162" s="935"/>
      <c r="AU162" s="935"/>
      <c r="AV162" s="935"/>
      <c r="AW162" s="935"/>
      <c r="AX162" s="935"/>
      <c r="AY162" s="935"/>
      <c r="AZ162" s="935"/>
      <c r="BA162" s="935"/>
      <c r="BB162" s="935"/>
      <c r="BC162" s="935"/>
      <c r="BD162" s="935"/>
      <c r="BE162" s="935"/>
      <c r="BF162" s="935"/>
      <c r="BG162" s="935"/>
      <c r="BH162" s="935"/>
      <c r="BI162" s="935"/>
      <c r="BJ162" s="935"/>
      <c r="BK162" s="935"/>
      <c r="BL162" s="935"/>
      <c r="BM162" s="935"/>
      <c r="BN162" s="935"/>
      <c r="BO162" s="935"/>
      <c r="BP162" s="935"/>
      <c r="BQ162" s="935"/>
      <c r="BR162" s="935"/>
      <c r="BS162" s="935"/>
      <c r="BT162" s="935"/>
    </row>
    <row r="163" spans="1:72" x14ac:dyDescent="0.25">
      <c r="A163" s="935" t="s">
        <v>616</v>
      </c>
      <c r="B163" s="935" t="s">
        <v>788</v>
      </c>
      <c r="C163" s="935" t="s">
        <v>788</v>
      </c>
      <c r="D163" s="935" t="s">
        <v>788</v>
      </c>
      <c r="E163" s="935" t="s">
        <v>788</v>
      </c>
      <c r="F163" s="935">
        <v>1.32</v>
      </c>
      <c r="G163" s="935">
        <v>1.1000000000000001</v>
      </c>
      <c r="H163" s="935">
        <v>1.1200000000000001</v>
      </c>
      <c r="I163" s="935">
        <v>1.55</v>
      </c>
      <c r="J163" s="935">
        <v>1.58</v>
      </c>
      <c r="K163" s="935">
        <v>1.65</v>
      </c>
      <c r="L163" s="935">
        <v>1.72</v>
      </c>
      <c r="M163" s="935">
        <v>1.74</v>
      </c>
      <c r="N163" s="935">
        <v>1.76</v>
      </c>
      <c r="O163" s="935">
        <v>1.79</v>
      </c>
      <c r="P163" s="935">
        <v>1.86</v>
      </c>
      <c r="Q163" s="935">
        <v>1.91</v>
      </c>
      <c r="R163" s="935">
        <v>1.98</v>
      </c>
      <c r="S163" s="935">
        <v>1.99</v>
      </c>
      <c r="T163" s="935">
        <v>2.02</v>
      </c>
      <c r="U163" s="935">
        <v>2.04</v>
      </c>
      <c r="V163" s="935">
        <v>2.0699999999999998</v>
      </c>
      <c r="W163" s="935">
        <v>2.1</v>
      </c>
      <c r="X163" s="935">
        <v>2.13</v>
      </c>
      <c r="Y163" s="935">
        <v>2.1800000000000002</v>
      </c>
      <c r="Z163" s="935">
        <v>2.2200000000000002</v>
      </c>
      <c r="AA163" s="935">
        <v>2.2799999999999998</v>
      </c>
      <c r="AB163" s="935">
        <v>2.35</v>
      </c>
      <c r="AC163" s="935">
        <v>2.44</v>
      </c>
      <c r="AD163" s="935">
        <v>2.5299999999999998</v>
      </c>
      <c r="AE163" s="935" t="s">
        <v>788</v>
      </c>
      <c r="AF163" s="935"/>
      <c r="AG163" s="935"/>
      <c r="AH163" s="935"/>
      <c r="AI163" s="935"/>
      <c r="AJ163" s="935"/>
      <c r="AK163" s="935"/>
      <c r="AL163" s="935"/>
      <c r="AM163" s="935"/>
      <c r="AN163" s="935"/>
      <c r="AO163" s="935"/>
      <c r="AP163" s="935"/>
      <c r="AQ163" s="935"/>
      <c r="AR163" s="935"/>
      <c r="AS163" s="935"/>
      <c r="AT163" s="935"/>
      <c r="AU163" s="935"/>
      <c r="AV163" s="935"/>
      <c r="AW163" s="935"/>
      <c r="AX163" s="935"/>
      <c r="AY163" s="935"/>
      <c r="AZ163" s="935"/>
      <c r="BA163" s="935"/>
      <c r="BB163" s="935"/>
      <c r="BC163" s="935"/>
      <c r="BD163" s="935"/>
      <c r="BE163" s="935"/>
      <c r="BF163" s="935"/>
      <c r="BG163" s="935"/>
      <c r="BH163" s="935"/>
      <c r="BI163" s="935"/>
      <c r="BJ163" s="935"/>
      <c r="BK163" s="935"/>
      <c r="BL163" s="935"/>
      <c r="BM163" s="935"/>
      <c r="BN163" s="935"/>
      <c r="BO163" s="935"/>
      <c r="BP163" s="935"/>
      <c r="BQ163" s="935"/>
      <c r="BR163" s="935"/>
      <c r="BS163" s="935"/>
      <c r="BT163" s="935"/>
    </row>
    <row r="164" spans="1:72" x14ac:dyDescent="0.25">
      <c r="A164" s="935" t="s">
        <v>479</v>
      </c>
      <c r="B164" s="935">
        <v>18.600000000000001</v>
      </c>
      <c r="C164" s="935">
        <v>20.21</v>
      </c>
      <c r="D164" s="935">
        <v>20.350000000000001</v>
      </c>
      <c r="E164" s="935">
        <v>19.73</v>
      </c>
      <c r="F164" s="935">
        <v>17.86</v>
      </c>
      <c r="G164" s="935">
        <v>18.77</v>
      </c>
      <c r="H164" s="935">
        <v>18.98</v>
      </c>
      <c r="I164" s="935">
        <v>19.010000000000002</v>
      </c>
      <c r="J164" s="935">
        <v>19.36</v>
      </c>
      <c r="K164" s="935">
        <v>19.989999999999998</v>
      </c>
      <c r="L164" s="935">
        <v>20.51</v>
      </c>
      <c r="M164" s="935">
        <v>20.91</v>
      </c>
      <c r="N164" s="935">
        <v>21.27</v>
      </c>
      <c r="O164" s="935">
        <v>21.9</v>
      </c>
      <c r="P164" s="935">
        <v>22.56</v>
      </c>
      <c r="Q164" s="935">
        <v>23.2</v>
      </c>
      <c r="R164" s="935">
        <v>23.95</v>
      </c>
      <c r="S164" s="935">
        <v>24.64</v>
      </c>
      <c r="T164" s="935">
        <v>25.11</v>
      </c>
      <c r="U164" s="935">
        <v>25.79</v>
      </c>
      <c r="V164" s="935">
        <v>26.57</v>
      </c>
      <c r="W164" s="935">
        <v>27.41</v>
      </c>
      <c r="X164" s="935">
        <v>28.5</v>
      </c>
      <c r="Y164" s="935">
        <v>29.55</v>
      </c>
      <c r="Z164" s="935">
        <v>30.67</v>
      </c>
      <c r="AA164" s="935">
        <v>31.8</v>
      </c>
      <c r="AB164" s="935">
        <v>32.71</v>
      </c>
      <c r="AC164" s="935">
        <v>33.76</v>
      </c>
      <c r="AD164" s="935">
        <v>34.799999999999997</v>
      </c>
      <c r="AE164" s="974">
        <v>0.02</v>
      </c>
      <c r="AF164" s="935"/>
      <c r="AG164" s="935"/>
      <c r="AH164" s="935"/>
      <c r="AI164" s="935"/>
      <c r="AJ164" s="935"/>
      <c r="AK164" s="935"/>
      <c r="AL164" s="935"/>
      <c r="AM164" s="935"/>
      <c r="AN164" s="935"/>
      <c r="AO164" s="935"/>
      <c r="AP164" s="935"/>
      <c r="AQ164" s="935"/>
      <c r="AR164" s="935"/>
      <c r="AS164" s="935"/>
      <c r="AT164" s="935"/>
      <c r="AU164" s="935"/>
      <c r="AV164" s="935"/>
      <c r="AW164" s="935"/>
      <c r="AX164" s="935"/>
      <c r="AY164" s="935"/>
      <c r="AZ164" s="935"/>
      <c r="BA164" s="935"/>
      <c r="BB164" s="935"/>
      <c r="BC164" s="935"/>
      <c r="BD164" s="935"/>
      <c r="BE164" s="935"/>
      <c r="BF164" s="935"/>
      <c r="BG164" s="935"/>
      <c r="BH164" s="935"/>
      <c r="BI164" s="935"/>
      <c r="BJ164" s="935"/>
      <c r="BK164" s="935"/>
      <c r="BL164" s="935"/>
      <c r="BM164" s="935"/>
      <c r="BN164" s="935"/>
      <c r="BO164" s="935"/>
      <c r="BP164" s="935"/>
      <c r="BQ164" s="935"/>
      <c r="BR164" s="935"/>
      <c r="BS164" s="935"/>
      <c r="BT164" s="935"/>
    </row>
    <row r="165" spans="1:72" x14ac:dyDescent="0.25">
      <c r="A165" s="935"/>
      <c r="B165" s="935"/>
      <c r="C165" s="935"/>
      <c r="D165" s="935"/>
      <c r="E165" s="935"/>
      <c r="F165" s="935"/>
      <c r="G165" s="935"/>
      <c r="H165" s="935"/>
      <c r="I165" s="935"/>
      <c r="J165" s="935"/>
      <c r="K165" s="935"/>
      <c r="L165" s="935"/>
      <c r="M165" s="935"/>
      <c r="N165" s="935"/>
      <c r="O165" s="935"/>
      <c r="P165" s="935"/>
      <c r="Q165" s="935"/>
      <c r="R165" s="935"/>
      <c r="S165" s="935"/>
      <c r="T165" s="935"/>
      <c r="U165" s="935"/>
      <c r="V165" s="935"/>
      <c r="W165" s="935"/>
      <c r="X165" s="935"/>
      <c r="Y165" s="935"/>
      <c r="Z165" s="935"/>
      <c r="AA165" s="935"/>
      <c r="AB165" s="935"/>
      <c r="AC165" s="935"/>
      <c r="AD165" s="935"/>
      <c r="AE165" s="935"/>
      <c r="AF165" s="935"/>
      <c r="AG165" s="935"/>
      <c r="AH165" s="935"/>
      <c r="AI165" s="935"/>
      <c r="AJ165" s="935"/>
      <c r="AK165" s="935"/>
      <c r="AL165" s="935"/>
      <c r="AM165" s="935"/>
      <c r="AN165" s="935"/>
      <c r="AO165" s="935"/>
      <c r="AP165" s="935"/>
      <c r="AQ165" s="935"/>
      <c r="AR165" s="935"/>
      <c r="AS165" s="935"/>
      <c r="AT165" s="935"/>
      <c r="AU165" s="935"/>
      <c r="AV165" s="935"/>
      <c r="AW165" s="935"/>
      <c r="AX165" s="935"/>
      <c r="AY165" s="935"/>
      <c r="AZ165" s="935"/>
      <c r="BA165" s="935"/>
      <c r="BB165" s="935"/>
      <c r="BC165" s="935"/>
      <c r="BD165" s="935"/>
      <c r="BE165" s="935"/>
      <c r="BF165" s="935"/>
      <c r="BG165" s="935"/>
      <c r="BH165" s="935"/>
      <c r="BI165" s="935"/>
      <c r="BJ165" s="935"/>
      <c r="BK165" s="935"/>
      <c r="BL165" s="935"/>
      <c r="BM165" s="935"/>
      <c r="BN165" s="935"/>
      <c r="BO165" s="935"/>
      <c r="BP165" s="935"/>
      <c r="BQ165" s="935"/>
      <c r="BR165" s="935"/>
      <c r="BS165" s="935"/>
      <c r="BT165" s="935"/>
    </row>
    <row r="166" spans="1:72" x14ac:dyDescent="0.25">
      <c r="A166" s="935" t="s">
        <v>487</v>
      </c>
      <c r="B166" s="935"/>
      <c r="C166" s="935"/>
      <c r="D166" s="935"/>
      <c r="E166" s="935"/>
      <c r="F166" s="935"/>
      <c r="G166" s="935"/>
      <c r="H166" s="935"/>
      <c r="I166" s="935"/>
      <c r="J166" s="935"/>
      <c r="K166" s="935"/>
      <c r="L166" s="935"/>
      <c r="M166" s="935"/>
      <c r="N166" s="935"/>
      <c r="O166" s="935"/>
      <c r="P166" s="935"/>
      <c r="Q166" s="935"/>
      <c r="R166" s="935"/>
      <c r="S166" s="935"/>
      <c r="T166" s="935"/>
      <c r="U166" s="935"/>
      <c r="V166" s="935"/>
      <c r="W166" s="935"/>
      <c r="X166" s="935"/>
      <c r="Y166" s="935"/>
      <c r="Z166" s="935"/>
      <c r="AA166" s="935"/>
      <c r="AB166" s="935"/>
      <c r="AC166" s="935"/>
      <c r="AD166" s="935"/>
      <c r="AE166" s="935"/>
      <c r="AF166" s="935"/>
      <c r="AG166" s="935"/>
      <c r="AH166" s="935"/>
      <c r="AI166" s="935"/>
      <c r="AJ166" s="935"/>
      <c r="AK166" s="935"/>
      <c r="AL166" s="935"/>
      <c r="AM166" s="935"/>
      <c r="AN166" s="935"/>
      <c r="AO166" s="935"/>
      <c r="AP166" s="935"/>
      <c r="AQ166" s="935"/>
      <c r="AR166" s="935"/>
      <c r="AS166" s="935"/>
      <c r="AT166" s="935"/>
      <c r="AU166" s="935"/>
      <c r="AV166" s="935"/>
      <c r="AW166" s="935"/>
      <c r="AX166" s="935"/>
      <c r="AY166" s="935"/>
      <c r="AZ166" s="935"/>
      <c r="BA166" s="935"/>
      <c r="BB166" s="935"/>
      <c r="BC166" s="935"/>
      <c r="BD166" s="935"/>
      <c r="BE166" s="935"/>
      <c r="BF166" s="935"/>
      <c r="BG166" s="935"/>
      <c r="BH166" s="935"/>
      <c r="BI166" s="935"/>
      <c r="BJ166" s="935"/>
      <c r="BK166" s="935"/>
      <c r="BL166" s="935"/>
      <c r="BM166" s="935"/>
      <c r="BN166" s="935"/>
      <c r="BO166" s="935"/>
      <c r="BP166" s="935"/>
      <c r="BQ166" s="935"/>
      <c r="BR166" s="935"/>
      <c r="BS166" s="935"/>
      <c r="BT166" s="935"/>
    </row>
    <row r="167" spans="1:72" x14ac:dyDescent="0.25">
      <c r="A167" s="935" t="s">
        <v>617</v>
      </c>
      <c r="B167" s="935">
        <v>23.31</v>
      </c>
      <c r="C167" s="935">
        <v>29.93</v>
      </c>
      <c r="D167" s="935">
        <v>25.58</v>
      </c>
      <c r="E167" s="935">
        <v>24.61</v>
      </c>
      <c r="F167" s="935">
        <v>25.02</v>
      </c>
      <c r="G167" s="935">
        <v>26.61</v>
      </c>
      <c r="H167" s="935">
        <v>28.36</v>
      </c>
      <c r="I167" s="935">
        <v>29.9</v>
      </c>
      <c r="J167" s="935">
        <v>31.07</v>
      </c>
      <c r="K167" s="935">
        <v>32.36</v>
      </c>
      <c r="L167" s="935">
        <v>33.58</v>
      </c>
      <c r="M167" s="935">
        <v>34.89</v>
      </c>
      <c r="N167" s="935">
        <v>35.840000000000003</v>
      </c>
      <c r="O167" s="935">
        <v>36.82</v>
      </c>
      <c r="P167" s="935">
        <v>37.89</v>
      </c>
      <c r="Q167" s="935">
        <v>38.979999999999997</v>
      </c>
      <c r="R167" s="935">
        <v>40.17</v>
      </c>
      <c r="S167" s="935">
        <v>41.36</v>
      </c>
      <c r="T167" s="935">
        <v>42.56</v>
      </c>
      <c r="U167" s="935">
        <v>43.64</v>
      </c>
      <c r="V167" s="935">
        <v>44.94</v>
      </c>
      <c r="W167" s="935">
        <v>46.27</v>
      </c>
      <c r="X167" s="935">
        <v>47.79</v>
      </c>
      <c r="Y167" s="935">
        <v>49.17</v>
      </c>
      <c r="Z167" s="935">
        <v>50.81</v>
      </c>
      <c r="AA167" s="935">
        <v>52.46</v>
      </c>
      <c r="AB167" s="935">
        <v>54.21</v>
      </c>
      <c r="AC167" s="935">
        <v>55.95</v>
      </c>
      <c r="AD167" s="935">
        <v>57.77</v>
      </c>
      <c r="AE167" s="974">
        <v>2.5000000000000001E-2</v>
      </c>
      <c r="AF167" s="935"/>
      <c r="AG167" s="935"/>
      <c r="AH167" s="935"/>
      <c r="AI167" s="935"/>
      <c r="AJ167" s="935"/>
      <c r="AK167" s="935"/>
      <c r="AL167" s="935"/>
      <c r="AM167" s="935"/>
      <c r="AN167" s="935"/>
      <c r="AO167" s="935"/>
      <c r="AP167" s="935"/>
      <c r="AQ167" s="935"/>
      <c r="AR167" s="935"/>
      <c r="AS167" s="935"/>
      <c r="AT167" s="935"/>
      <c r="AU167" s="935"/>
      <c r="AV167" s="935"/>
      <c r="AW167" s="935"/>
      <c r="AX167" s="935"/>
      <c r="AY167" s="935"/>
      <c r="AZ167" s="935"/>
      <c r="BA167" s="935"/>
      <c r="BB167" s="935"/>
      <c r="BC167" s="935"/>
      <c r="BD167" s="935"/>
      <c r="BE167" s="935"/>
      <c r="BF167" s="935"/>
      <c r="BG167" s="935"/>
      <c r="BH167" s="935"/>
      <c r="BI167" s="935"/>
      <c r="BJ167" s="935"/>
      <c r="BK167" s="935"/>
      <c r="BL167" s="935"/>
      <c r="BM167" s="935"/>
      <c r="BN167" s="935"/>
      <c r="BO167" s="935"/>
      <c r="BP167" s="935"/>
      <c r="BQ167" s="935"/>
      <c r="BR167" s="935"/>
      <c r="BS167" s="935"/>
      <c r="BT167" s="935"/>
    </row>
    <row r="168" spans="1:72" x14ac:dyDescent="0.25">
      <c r="A168" s="935" t="s">
        <v>618</v>
      </c>
      <c r="B168" s="935">
        <v>26.83</v>
      </c>
      <c r="C168" s="935">
        <v>26.93</v>
      </c>
      <c r="D168" s="935">
        <v>23.64</v>
      </c>
      <c r="E168" s="935">
        <v>21.26</v>
      </c>
      <c r="F168" s="935">
        <v>21.89</v>
      </c>
      <c r="G168" s="935">
        <v>23.43</v>
      </c>
      <c r="H168" s="935">
        <v>26.07</v>
      </c>
      <c r="I168" s="935">
        <v>27.64</v>
      </c>
      <c r="J168" s="935">
        <v>28.47</v>
      </c>
      <c r="K168" s="935">
        <v>28.45</v>
      </c>
      <c r="L168" s="935">
        <v>29.92</v>
      </c>
      <c r="M168" s="935">
        <v>31.23</v>
      </c>
      <c r="N168" s="935">
        <v>31.97</v>
      </c>
      <c r="O168" s="935">
        <v>32.94</v>
      </c>
      <c r="P168" s="935">
        <v>34.090000000000003</v>
      </c>
      <c r="Q168" s="935">
        <v>35.479999999999997</v>
      </c>
      <c r="R168" s="935">
        <v>36.880000000000003</v>
      </c>
      <c r="S168" s="935">
        <v>37.979999999999997</v>
      </c>
      <c r="T168" s="935">
        <v>39.17</v>
      </c>
      <c r="U168" s="935">
        <v>40.479999999999997</v>
      </c>
      <c r="V168" s="935">
        <v>41.72</v>
      </c>
      <c r="W168" s="935">
        <v>43.4</v>
      </c>
      <c r="X168" s="935">
        <v>44.96</v>
      </c>
      <c r="Y168" s="935">
        <v>46.25</v>
      </c>
      <c r="Z168" s="935">
        <v>47.62</v>
      </c>
      <c r="AA168" s="935">
        <v>49.36</v>
      </c>
      <c r="AB168" s="935">
        <v>50.75</v>
      </c>
      <c r="AC168" s="935">
        <v>52.29</v>
      </c>
      <c r="AD168" s="935">
        <v>54.17</v>
      </c>
      <c r="AE168" s="974">
        <v>2.5999999999999999E-2</v>
      </c>
      <c r="AF168" s="935"/>
      <c r="AG168" s="935"/>
      <c r="AH168" s="935"/>
      <c r="AI168" s="935"/>
      <c r="AJ168" s="935"/>
      <c r="AK168" s="935"/>
      <c r="AL168" s="935"/>
      <c r="AM168" s="935"/>
      <c r="AN168" s="935"/>
      <c r="AO168" s="935"/>
      <c r="AP168" s="935"/>
      <c r="AQ168" s="935"/>
      <c r="AR168" s="935"/>
      <c r="AS168" s="935"/>
      <c r="AT168" s="935"/>
      <c r="AU168" s="935"/>
      <c r="AV168" s="935"/>
      <c r="AW168" s="935"/>
      <c r="AX168" s="935"/>
      <c r="AY168" s="935"/>
      <c r="AZ168" s="935"/>
      <c r="BA168" s="935"/>
      <c r="BB168" s="935"/>
      <c r="BC168" s="935"/>
      <c r="BD168" s="935"/>
      <c r="BE168" s="935"/>
      <c r="BF168" s="935"/>
      <c r="BG168" s="935"/>
      <c r="BH168" s="935"/>
      <c r="BI168" s="935"/>
      <c r="BJ168" s="935"/>
      <c r="BK168" s="935"/>
      <c r="BL168" s="935"/>
      <c r="BM168" s="935"/>
      <c r="BN168" s="935"/>
      <c r="BO168" s="935"/>
      <c r="BP168" s="935"/>
      <c r="BQ168" s="935"/>
      <c r="BR168" s="935"/>
      <c r="BS168" s="935"/>
      <c r="BT168" s="935"/>
    </row>
    <row r="169" spans="1:72" x14ac:dyDescent="0.25">
      <c r="A169" s="935" t="s">
        <v>619</v>
      </c>
      <c r="B169" s="935">
        <v>23.15</v>
      </c>
      <c r="C169" s="935">
        <v>26.76</v>
      </c>
      <c r="D169" s="935">
        <v>19.43</v>
      </c>
      <c r="E169" s="935">
        <v>21.17</v>
      </c>
      <c r="F169" s="935">
        <v>21.79</v>
      </c>
      <c r="G169" s="935">
        <v>23.32</v>
      </c>
      <c r="H169" s="935">
        <v>25.87</v>
      </c>
      <c r="I169" s="935">
        <v>27.33</v>
      </c>
      <c r="J169" s="935">
        <v>28.27</v>
      </c>
      <c r="K169" s="935">
        <v>29.42</v>
      </c>
      <c r="L169" s="935">
        <v>30.58</v>
      </c>
      <c r="M169" s="935">
        <v>31.65</v>
      </c>
      <c r="N169" s="935">
        <v>32.6</v>
      </c>
      <c r="O169" s="935">
        <v>33.72</v>
      </c>
      <c r="P169" s="935">
        <v>34.72</v>
      </c>
      <c r="Q169" s="935">
        <v>35.94</v>
      </c>
      <c r="R169" s="935">
        <v>37.020000000000003</v>
      </c>
      <c r="S169" s="935">
        <v>37.96</v>
      </c>
      <c r="T169" s="935">
        <v>39.18</v>
      </c>
      <c r="U169" s="935">
        <v>40.44</v>
      </c>
      <c r="V169" s="935">
        <v>41.69</v>
      </c>
      <c r="W169" s="935">
        <v>43.21</v>
      </c>
      <c r="X169" s="935">
        <v>44.7</v>
      </c>
      <c r="Y169" s="935">
        <v>45.91</v>
      </c>
      <c r="Z169" s="935">
        <v>47.47</v>
      </c>
      <c r="AA169" s="935">
        <v>49.16</v>
      </c>
      <c r="AB169" s="935">
        <v>50.66</v>
      </c>
      <c r="AC169" s="935">
        <v>52.36</v>
      </c>
      <c r="AD169" s="935">
        <v>54.33</v>
      </c>
      <c r="AE169" s="974">
        <v>2.7E-2</v>
      </c>
      <c r="AF169" s="935"/>
      <c r="AG169" s="935"/>
      <c r="AH169" s="935"/>
      <c r="AI169" s="935"/>
      <c r="AJ169" s="935"/>
      <c r="AK169" s="935"/>
      <c r="AL169" s="935"/>
      <c r="AM169" s="935"/>
      <c r="AN169" s="935"/>
      <c r="AO169" s="935"/>
      <c r="AP169" s="935"/>
      <c r="AQ169" s="935"/>
      <c r="AR169" s="935"/>
      <c r="AS169" s="935"/>
      <c r="AT169" s="935"/>
      <c r="AU169" s="935"/>
      <c r="AV169" s="935"/>
      <c r="AW169" s="935"/>
      <c r="AX169" s="935"/>
      <c r="AY169" s="935"/>
      <c r="AZ169" s="935"/>
      <c r="BA169" s="935"/>
      <c r="BB169" s="935"/>
      <c r="BC169" s="935"/>
      <c r="BD169" s="935"/>
      <c r="BE169" s="935"/>
      <c r="BF169" s="935"/>
      <c r="BG169" s="935"/>
      <c r="BH169" s="935"/>
      <c r="BI169" s="935"/>
      <c r="BJ169" s="935"/>
      <c r="BK169" s="935"/>
      <c r="BL169" s="935"/>
      <c r="BM169" s="935"/>
      <c r="BN169" s="935"/>
      <c r="BO169" s="935"/>
      <c r="BP169" s="935"/>
      <c r="BQ169" s="935"/>
      <c r="BR169" s="935"/>
      <c r="BS169" s="935"/>
      <c r="BT169" s="935"/>
    </row>
    <row r="170" spans="1:72" x14ac:dyDescent="0.25">
      <c r="A170" s="935" t="s">
        <v>620</v>
      </c>
      <c r="B170" s="935">
        <v>15.42</v>
      </c>
      <c r="C170" s="935">
        <v>22.71</v>
      </c>
      <c r="D170" s="935">
        <v>12.92</v>
      </c>
      <c r="E170" s="935">
        <v>15.23</v>
      </c>
      <c r="F170" s="935">
        <v>15.82</v>
      </c>
      <c r="G170" s="935">
        <v>17.510000000000002</v>
      </c>
      <c r="H170" s="935">
        <v>19.05</v>
      </c>
      <c r="I170" s="935">
        <v>20.23</v>
      </c>
      <c r="J170" s="935">
        <v>21.21</v>
      </c>
      <c r="K170" s="935">
        <v>22.42</v>
      </c>
      <c r="L170" s="935">
        <v>23.58</v>
      </c>
      <c r="M170" s="935">
        <v>24.67</v>
      </c>
      <c r="N170" s="935">
        <v>25.58</v>
      </c>
      <c r="O170" s="935">
        <v>26.51</v>
      </c>
      <c r="P170" s="935">
        <v>27.27</v>
      </c>
      <c r="Q170" s="935">
        <v>28.18</v>
      </c>
      <c r="R170" s="935">
        <v>29.2</v>
      </c>
      <c r="S170" s="935">
        <v>30.07</v>
      </c>
      <c r="T170" s="935">
        <v>31.1</v>
      </c>
      <c r="U170" s="935">
        <v>32.130000000000003</v>
      </c>
      <c r="V170" s="935">
        <v>33.21</v>
      </c>
      <c r="W170" s="935">
        <v>34.54</v>
      </c>
      <c r="X170" s="935">
        <v>35.83</v>
      </c>
      <c r="Y170" s="935">
        <v>36.99</v>
      </c>
      <c r="Z170" s="935">
        <v>38.42</v>
      </c>
      <c r="AA170" s="935">
        <v>39.92</v>
      </c>
      <c r="AB170" s="935">
        <v>41.32</v>
      </c>
      <c r="AC170" s="935">
        <v>42.87</v>
      </c>
      <c r="AD170" s="935">
        <v>44.51</v>
      </c>
      <c r="AE170" s="974">
        <v>2.5000000000000001E-2</v>
      </c>
      <c r="AF170" s="935"/>
      <c r="AG170" s="935"/>
      <c r="AH170" s="935"/>
      <c r="AI170" s="935"/>
      <c r="AJ170" s="935"/>
      <c r="AK170" s="935"/>
      <c r="AL170" s="935"/>
      <c r="AM170" s="935"/>
      <c r="AN170" s="935"/>
      <c r="AO170" s="935"/>
      <c r="AP170" s="935"/>
      <c r="AQ170" s="935"/>
      <c r="AR170" s="935"/>
      <c r="AS170" s="935"/>
      <c r="AT170" s="935"/>
      <c r="AU170" s="935"/>
      <c r="AV170" s="935"/>
      <c r="AW170" s="935"/>
      <c r="AX170" s="935"/>
      <c r="AY170" s="935"/>
      <c r="AZ170" s="935"/>
      <c r="BA170" s="935"/>
      <c r="BB170" s="935"/>
      <c r="BC170" s="935"/>
      <c r="BD170" s="935"/>
      <c r="BE170" s="935"/>
      <c r="BF170" s="935"/>
      <c r="BG170" s="935"/>
      <c r="BH170" s="935"/>
      <c r="BI170" s="935"/>
      <c r="BJ170" s="935"/>
      <c r="BK170" s="935"/>
      <c r="BL170" s="935"/>
      <c r="BM170" s="935"/>
      <c r="BN170" s="935"/>
      <c r="BO170" s="935"/>
      <c r="BP170" s="935"/>
      <c r="BQ170" s="935"/>
      <c r="BR170" s="935"/>
      <c r="BS170" s="935"/>
      <c r="BT170" s="935"/>
    </row>
    <row r="171" spans="1:72" x14ac:dyDescent="0.25">
      <c r="A171" s="935" t="s">
        <v>724</v>
      </c>
      <c r="B171" s="935">
        <v>21.08</v>
      </c>
      <c r="C171" s="935">
        <v>27.65</v>
      </c>
      <c r="D171" s="935">
        <v>18.04</v>
      </c>
      <c r="E171" s="935">
        <v>19.7</v>
      </c>
      <c r="F171" s="935">
        <v>20.149999999999999</v>
      </c>
      <c r="G171" s="935">
        <v>21.71</v>
      </c>
      <c r="H171" s="935">
        <v>23.2</v>
      </c>
      <c r="I171" s="935">
        <v>24.38</v>
      </c>
      <c r="J171" s="935">
        <v>25.56</v>
      </c>
      <c r="K171" s="935">
        <v>26.86</v>
      </c>
      <c r="L171" s="935">
        <v>28.03</v>
      </c>
      <c r="M171" s="935">
        <v>29.31</v>
      </c>
      <c r="N171" s="935">
        <v>30.31</v>
      </c>
      <c r="O171" s="935">
        <v>31.28</v>
      </c>
      <c r="P171" s="935">
        <v>32.19</v>
      </c>
      <c r="Q171" s="935">
        <v>33.32</v>
      </c>
      <c r="R171" s="935">
        <v>34.22</v>
      </c>
      <c r="S171" s="935">
        <v>35.03</v>
      </c>
      <c r="T171" s="935">
        <v>36.130000000000003</v>
      </c>
      <c r="U171" s="935">
        <v>37.17</v>
      </c>
      <c r="V171" s="935">
        <v>38.32</v>
      </c>
      <c r="W171" s="935">
        <v>39.61</v>
      </c>
      <c r="X171" s="935">
        <v>41.05</v>
      </c>
      <c r="Y171" s="935">
        <v>42.2</v>
      </c>
      <c r="Z171" s="935">
        <v>43.79</v>
      </c>
      <c r="AA171" s="935">
        <v>45.41</v>
      </c>
      <c r="AB171" s="935">
        <v>46.88</v>
      </c>
      <c r="AC171" s="935">
        <v>48.53</v>
      </c>
      <c r="AD171" s="935">
        <v>50.35</v>
      </c>
      <c r="AE171" s="974">
        <v>2.1999999999999999E-2</v>
      </c>
      <c r="AF171" s="935"/>
      <c r="AG171" s="935"/>
      <c r="AH171" s="935"/>
      <c r="AI171" s="935"/>
      <c r="AJ171" s="935"/>
      <c r="AK171" s="935"/>
      <c r="AL171" s="935"/>
      <c r="AM171" s="935"/>
      <c r="AN171" s="935"/>
      <c r="AO171" s="935"/>
      <c r="AP171" s="935"/>
      <c r="AQ171" s="935"/>
      <c r="AR171" s="935"/>
      <c r="AS171" s="935"/>
      <c r="AT171" s="935"/>
      <c r="AU171" s="935"/>
      <c r="AV171" s="935"/>
      <c r="AW171" s="935"/>
      <c r="AX171" s="935"/>
      <c r="AY171" s="935"/>
      <c r="AZ171" s="935"/>
      <c r="BA171" s="935"/>
      <c r="BB171" s="935"/>
      <c r="BC171" s="935"/>
      <c r="BD171" s="935"/>
      <c r="BE171" s="935"/>
      <c r="BF171" s="935"/>
      <c r="BG171" s="935"/>
      <c r="BH171" s="935"/>
      <c r="BI171" s="935"/>
      <c r="BJ171" s="935"/>
      <c r="BK171" s="935"/>
      <c r="BL171" s="935"/>
      <c r="BM171" s="935"/>
      <c r="BN171" s="935"/>
      <c r="BO171" s="935"/>
      <c r="BP171" s="935"/>
      <c r="BQ171" s="935"/>
      <c r="BR171" s="935"/>
      <c r="BS171" s="935"/>
      <c r="BT171" s="935"/>
    </row>
    <row r="172" spans="1:72" x14ac:dyDescent="0.25">
      <c r="A172" s="935" t="s">
        <v>611</v>
      </c>
      <c r="B172" s="935">
        <v>8.99</v>
      </c>
      <c r="C172" s="935">
        <v>14.49</v>
      </c>
      <c r="D172" s="935">
        <v>9</v>
      </c>
      <c r="E172" s="935">
        <v>10.51</v>
      </c>
      <c r="F172" s="935">
        <v>10.77</v>
      </c>
      <c r="G172" s="935">
        <v>12.17</v>
      </c>
      <c r="H172" s="935">
        <v>13.4</v>
      </c>
      <c r="I172" s="935">
        <v>14.45</v>
      </c>
      <c r="J172" s="935">
        <v>15.13</v>
      </c>
      <c r="K172" s="935">
        <v>15.77</v>
      </c>
      <c r="L172" s="935">
        <v>16.670000000000002</v>
      </c>
      <c r="M172" s="935">
        <v>17.43</v>
      </c>
      <c r="N172" s="935">
        <v>17.940000000000001</v>
      </c>
      <c r="O172" s="935">
        <v>18.32</v>
      </c>
      <c r="P172" s="935">
        <v>19</v>
      </c>
      <c r="Q172" s="935">
        <v>19.57</v>
      </c>
      <c r="R172" s="935">
        <v>20.260000000000002</v>
      </c>
      <c r="S172" s="935">
        <v>20.94</v>
      </c>
      <c r="T172" s="935">
        <v>21.63</v>
      </c>
      <c r="U172" s="935">
        <v>22.13</v>
      </c>
      <c r="V172" s="935">
        <v>23.02</v>
      </c>
      <c r="W172" s="935">
        <v>23.85</v>
      </c>
      <c r="X172" s="935">
        <v>24.8</v>
      </c>
      <c r="Y172" s="935">
        <v>25.81</v>
      </c>
      <c r="Z172" s="935">
        <v>26.88</v>
      </c>
      <c r="AA172" s="935">
        <v>27.91</v>
      </c>
      <c r="AB172" s="935">
        <v>28.9</v>
      </c>
      <c r="AC172" s="935">
        <v>30.02</v>
      </c>
      <c r="AD172" s="935">
        <v>31.26</v>
      </c>
      <c r="AE172" s="974">
        <v>2.9000000000000001E-2</v>
      </c>
      <c r="AF172" s="935"/>
      <c r="AG172" s="935"/>
      <c r="AH172" s="935"/>
      <c r="AI172" s="935"/>
      <c r="AJ172" s="935"/>
      <c r="AK172" s="935"/>
      <c r="AL172" s="935"/>
      <c r="AM172" s="935"/>
      <c r="AN172" s="935"/>
      <c r="AO172" s="935"/>
      <c r="AP172" s="935"/>
      <c r="AQ172" s="935"/>
      <c r="AR172" s="935"/>
      <c r="AS172" s="935"/>
      <c r="AT172" s="935"/>
      <c r="AU172" s="935"/>
      <c r="AV172" s="935"/>
      <c r="AW172" s="935"/>
      <c r="AX172" s="935"/>
      <c r="AY172" s="935"/>
      <c r="AZ172" s="935"/>
      <c r="BA172" s="935"/>
      <c r="BB172" s="935"/>
      <c r="BC172" s="935"/>
      <c r="BD172" s="935"/>
      <c r="BE172" s="935"/>
      <c r="BF172" s="935"/>
      <c r="BG172" s="935"/>
      <c r="BH172" s="935"/>
      <c r="BI172" s="935"/>
      <c r="BJ172" s="935"/>
      <c r="BK172" s="935"/>
      <c r="BL172" s="935"/>
      <c r="BM172" s="935"/>
      <c r="BN172" s="935"/>
      <c r="BO172" s="935"/>
      <c r="BP172" s="935"/>
      <c r="BQ172" s="935"/>
      <c r="BR172" s="935"/>
      <c r="BS172" s="935"/>
      <c r="BT172" s="935"/>
    </row>
    <row r="173" spans="1:72" x14ac:dyDescent="0.25">
      <c r="A173" s="935" t="s">
        <v>622</v>
      </c>
      <c r="B173" s="935">
        <v>13.54</v>
      </c>
      <c r="C173" s="935">
        <v>15.96</v>
      </c>
      <c r="D173" s="935">
        <v>11.54</v>
      </c>
      <c r="E173" s="935">
        <v>12.36</v>
      </c>
      <c r="F173" s="935">
        <v>13.66</v>
      </c>
      <c r="G173" s="935">
        <v>14.28</v>
      </c>
      <c r="H173" s="935">
        <v>14.39</v>
      </c>
      <c r="I173" s="935">
        <v>14.52</v>
      </c>
      <c r="J173" s="935">
        <v>14.9</v>
      </c>
      <c r="K173" s="935">
        <v>15.21</v>
      </c>
      <c r="L173" s="935">
        <v>15.46</v>
      </c>
      <c r="M173" s="935">
        <v>15.74</v>
      </c>
      <c r="N173" s="935">
        <v>16.04</v>
      </c>
      <c r="O173" s="935">
        <v>16.43</v>
      </c>
      <c r="P173" s="935">
        <v>16.8</v>
      </c>
      <c r="Q173" s="935">
        <v>17.32</v>
      </c>
      <c r="R173" s="935">
        <v>17.64</v>
      </c>
      <c r="S173" s="935">
        <v>17.829999999999998</v>
      </c>
      <c r="T173" s="935">
        <v>18.23</v>
      </c>
      <c r="U173" s="935">
        <v>18.760000000000002</v>
      </c>
      <c r="V173" s="935">
        <v>19.309999999999999</v>
      </c>
      <c r="W173" s="935">
        <v>19.98</v>
      </c>
      <c r="X173" s="935">
        <v>20.67</v>
      </c>
      <c r="Y173" s="935">
        <v>21.42</v>
      </c>
      <c r="Z173" s="935">
        <v>22.31</v>
      </c>
      <c r="AA173" s="935">
        <v>22.94</v>
      </c>
      <c r="AB173" s="935">
        <v>23.44</v>
      </c>
      <c r="AC173" s="935">
        <v>24.19</v>
      </c>
      <c r="AD173" s="935">
        <v>24.84</v>
      </c>
      <c r="AE173" s="974">
        <v>1.7000000000000001E-2</v>
      </c>
      <c r="AF173" s="935"/>
      <c r="AG173" s="935"/>
      <c r="AH173" s="935"/>
      <c r="AI173" s="935"/>
      <c r="AJ173" s="935"/>
      <c r="AK173" s="935"/>
      <c r="AL173" s="935"/>
      <c r="AM173" s="935"/>
      <c r="AN173" s="935"/>
      <c r="AO173" s="935"/>
      <c r="AP173" s="935"/>
      <c r="AQ173" s="935"/>
      <c r="AR173" s="935"/>
      <c r="AS173" s="935"/>
      <c r="AT173" s="935"/>
      <c r="AU173" s="935"/>
      <c r="AV173" s="935"/>
      <c r="AW173" s="935"/>
      <c r="AX173" s="935"/>
      <c r="AY173" s="935"/>
      <c r="AZ173" s="935"/>
      <c r="BA173" s="935"/>
      <c r="BB173" s="935"/>
      <c r="BC173" s="935"/>
      <c r="BD173" s="935"/>
      <c r="BE173" s="935"/>
      <c r="BF173" s="935"/>
      <c r="BG173" s="935"/>
      <c r="BH173" s="935"/>
      <c r="BI173" s="935"/>
      <c r="BJ173" s="935"/>
      <c r="BK173" s="935"/>
      <c r="BL173" s="935"/>
      <c r="BM173" s="935"/>
      <c r="BN173" s="935"/>
      <c r="BO173" s="935"/>
      <c r="BP173" s="935"/>
      <c r="BQ173" s="935"/>
      <c r="BR173" s="935"/>
      <c r="BS173" s="935"/>
      <c r="BT173" s="935"/>
    </row>
    <row r="174" spans="1:72" x14ac:dyDescent="0.25">
      <c r="A174" s="935" t="s">
        <v>479</v>
      </c>
      <c r="B174" s="935">
        <v>31.32</v>
      </c>
      <c r="C174" s="935">
        <v>33.729999999999997</v>
      </c>
      <c r="D174" s="935">
        <v>32.79</v>
      </c>
      <c r="E174" s="935">
        <v>31.2</v>
      </c>
      <c r="F174" s="935">
        <v>28.83</v>
      </c>
      <c r="G174" s="935">
        <v>31.39</v>
      </c>
      <c r="H174" s="935">
        <v>32.01</v>
      </c>
      <c r="I174" s="935">
        <v>31.85</v>
      </c>
      <c r="J174" s="935">
        <v>32.08</v>
      </c>
      <c r="K174" s="935">
        <v>32.909999999999997</v>
      </c>
      <c r="L174" s="935">
        <v>33.549999999999997</v>
      </c>
      <c r="M174" s="935">
        <v>33.97</v>
      </c>
      <c r="N174" s="935">
        <v>34.26</v>
      </c>
      <c r="O174" s="935">
        <v>34.89</v>
      </c>
      <c r="P174" s="935">
        <v>35.61</v>
      </c>
      <c r="Q174" s="935">
        <v>36.26</v>
      </c>
      <c r="R174" s="935">
        <v>37.11</v>
      </c>
      <c r="S174" s="935">
        <v>38.1</v>
      </c>
      <c r="T174" s="935">
        <v>38.86</v>
      </c>
      <c r="U174" s="935">
        <v>40</v>
      </c>
      <c r="V174" s="935">
        <v>41.47</v>
      </c>
      <c r="W174" s="935">
        <v>43.05</v>
      </c>
      <c r="X174" s="935">
        <v>45.05</v>
      </c>
      <c r="Y174" s="935">
        <v>46.8</v>
      </c>
      <c r="Z174" s="935">
        <v>48.78</v>
      </c>
      <c r="AA174" s="935">
        <v>50.72</v>
      </c>
      <c r="AB174" s="935">
        <v>52.33</v>
      </c>
      <c r="AC174" s="935">
        <v>54.13</v>
      </c>
      <c r="AD174" s="935">
        <v>55.89</v>
      </c>
      <c r="AE174" s="974">
        <v>1.9E-2</v>
      </c>
      <c r="AF174" s="935"/>
      <c r="AG174" s="935"/>
      <c r="AH174" s="935"/>
      <c r="AI174" s="935"/>
      <c r="AJ174" s="935"/>
      <c r="AK174" s="935"/>
      <c r="AL174" s="935"/>
      <c r="AM174" s="935"/>
      <c r="AN174" s="935"/>
      <c r="AO174" s="935"/>
      <c r="AP174" s="935"/>
      <c r="AQ174" s="935"/>
      <c r="AR174" s="935"/>
      <c r="AS174" s="935"/>
      <c r="AT174" s="935"/>
      <c r="AU174" s="935"/>
      <c r="AV174" s="935"/>
      <c r="AW174" s="935"/>
      <c r="AX174" s="935"/>
      <c r="AY174" s="935"/>
      <c r="AZ174" s="935"/>
      <c r="BA174" s="935"/>
      <c r="BB174" s="935"/>
      <c r="BC174" s="935"/>
      <c r="BD174" s="935"/>
      <c r="BE174" s="935"/>
      <c r="BF174" s="935"/>
      <c r="BG174" s="935"/>
      <c r="BH174" s="935"/>
      <c r="BI174" s="935"/>
      <c r="BJ174" s="935"/>
      <c r="BK174" s="935"/>
      <c r="BL174" s="935"/>
      <c r="BM174" s="935"/>
      <c r="BN174" s="935"/>
      <c r="BO174" s="935"/>
      <c r="BP174" s="935"/>
      <c r="BQ174" s="935"/>
      <c r="BR174" s="935"/>
      <c r="BS174" s="935"/>
      <c r="BT174" s="935"/>
    </row>
    <row r="175" spans="1:72" x14ac:dyDescent="0.25">
      <c r="A175" s="935"/>
      <c r="B175" s="935"/>
      <c r="C175" s="935"/>
      <c r="D175" s="935"/>
      <c r="E175" s="935"/>
      <c r="F175" s="935"/>
      <c r="G175" s="935"/>
      <c r="H175" s="935"/>
      <c r="I175" s="935"/>
      <c r="J175" s="935"/>
      <c r="K175" s="935"/>
      <c r="L175" s="935"/>
      <c r="M175" s="935"/>
      <c r="N175" s="935"/>
      <c r="O175" s="935"/>
      <c r="P175" s="935"/>
      <c r="Q175" s="935"/>
      <c r="R175" s="935"/>
      <c r="S175" s="935"/>
      <c r="T175" s="935"/>
      <c r="U175" s="935"/>
      <c r="V175" s="935"/>
      <c r="W175" s="935"/>
      <c r="X175" s="935"/>
      <c r="Y175" s="935"/>
      <c r="Z175" s="935"/>
      <c r="AA175" s="935"/>
      <c r="AB175" s="935"/>
      <c r="AC175" s="935"/>
      <c r="AD175" s="935"/>
      <c r="AE175" s="935"/>
      <c r="AF175" s="935"/>
      <c r="AG175" s="935"/>
      <c r="AH175" s="935"/>
      <c r="AI175" s="935"/>
      <c r="AJ175" s="935"/>
      <c r="AK175" s="935"/>
      <c r="AL175" s="935"/>
      <c r="AM175" s="935"/>
      <c r="AN175" s="935"/>
      <c r="AO175" s="935"/>
      <c r="AP175" s="935"/>
      <c r="AQ175" s="935"/>
      <c r="AR175" s="935"/>
      <c r="AS175" s="935"/>
      <c r="AT175" s="935"/>
      <c r="AU175" s="935"/>
      <c r="AV175" s="935"/>
      <c r="AW175" s="935"/>
      <c r="AX175" s="935"/>
      <c r="AY175" s="935"/>
      <c r="AZ175" s="935"/>
      <c r="BA175" s="935"/>
      <c r="BB175" s="935"/>
      <c r="BC175" s="935"/>
      <c r="BD175" s="935"/>
      <c r="BE175" s="935"/>
      <c r="BF175" s="935"/>
      <c r="BG175" s="935"/>
      <c r="BH175" s="935"/>
      <c r="BI175" s="935"/>
      <c r="BJ175" s="935"/>
      <c r="BK175" s="935"/>
      <c r="BL175" s="935"/>
      <c r="BM175" s="935"/>
      <c r="BN175" s="935"/>
      <c r="BO175" s="935"/>
      <c r="BP175" s="935"/>
      <c r="BQ175" s="935"/>
      <c r="BR175" s="935"/>
      <c r="BS175" s="935"/>
      <c r="BT175" s="935"/>
    </row>
    <row r="176" spans="1:72" x14ac:dyDescent="0.25">
      <c r="A176" s="935" t="s">
        <v>623</v>
      </c>
      <c r="B176" s="935"/>
      <c r="C176" s="935"/>
      <c r="D176" s="935"/>
      <c r="E176" s="935"/>
      <c r="F176" s="935"/>
      <c r="G176" s="935"/>
      <c r="H176" s="935"/>
      <c r="I176" s="935"/>
      <c r="J176" s="935"/>
      <c r="K176" s="935"/>
      <c r="L176" s="935"/>
      <c r="M176" s="935"/>
      <c r="N176" s="935"/>
      <c r="O176" s="935"/>
      <c r="P176" s="935"/>
      <c r="Q176" s="935"/>
      <c r="R176" s="935"/>
      <c r="S176" s="935"/>
      <c r="T176" s="935"/>
      <c r="U176" s="935"/>
      <c r="V176" s="935"/>
      <c r="W176" s="935"/>
      <c r="X176" s="935"/>
      <c r="Y176" s="935"/>
      <c r="Z176" s="935"/>
      <c r="AA176" s="935"/>
      <c r="AB176" s="935"/>
      <c r="AC176" s="935"/>
      <c r="AD176" s="935"/>
      <c r="AE176" s="935"/>
      <c r="AF176" s="935"/>
      <c r="AG176" s="935"/>
      <c r="AH176" s="935"/>
      <c r="AI176" s="935"/>
      <c r="AJ176" s="935"/>
      <c r="AK176" s="935"/>
      <c r="AL176" s="935"/>
      <c r="AM176" s="935"/>
      <c r="AN176" s="935"/>
      <c r="AO176" s="935"/>
      <c r="AP176" s="935"/>
      <c r="AQ176" s="935"/>
      <c r="AR176" s="935"/>
      <c r="AS176" s="935"/>
      <c r="AT176" s="935"/>
      <c r="AU176" s="935"/>
      <c r="AV176" s="935"/>
      <c r="AW176" s="935"/>
      <c r="AX176" s="935"/>
      <c r="AY176" s="935"/>
      <c r="AZ176" s="935"/>
      <c r="BA176" s="935"/>
      <c r="BB176" s="935"/>
      <c r="BC176" s="935"/>
      <c r="BD176" s="935"/>
      <c r="BE176" s="935"/>
      <c r="BF176" s="935"/>
      <c r="BG176" s="935"/>
      <c r="BH176" s="935"/>
      <c r="BI176" s="935"/>
      <c r="BJ176" s="935"/>
      <c r="BK176" s="935"/>
      <c r="BL176" s="935"/>
      <c r="BM176" s="935"/>
      <c r="BN176" s="935"/>
      <c r="BO176" s="935"/>
      <c r="BP176" s="935"/>
      <c r="BQ176" s="935"/>
      <c r="BR176" s="935"/>
      <c r="BS176" s="935"/>
      <c r="BT176" s="935"/>
    </row>
    <row r="177" spans="1:72" x14ac:dyDescent="0.25">
      <c r="A177" s="935" t="s">
        <v>610</v>
      </c>
      <c r="B177" s="935">
        <v>15.41</v>
      </c>
      <c r="C177" s="935">
        <v>19.37</v>
      </c>
      <c r="D177" s="935">
        <v>14.46</v>
      </c>
      <c r="E177" s="935">
        <v>14.33</v>
      </c>
      <c r="F177" s="935">
        <v>14.68</v>
      </c>
      <c r="G177" s="935">
        <v>16.09</v>
      </c>
      <c r="H177" s="935">
        <v>17.46</v>
      </c>
      <c r="I177" s="935">
        <v>18.510000000000002</v>
      </c>
      <c r="J177" s="935">
        <v>19.350000000000001</v>
      </c>
      <c r="K177" s="935">
        <v>20.67</v>
      </c>
      <c r="L177" s="935">
        <v>21.81</v>
      </c>
      <c r="M177" s="935">
        <v>22.96</v>
      </c>
      <c r="N177" s="935">
        <v>23.88</v>
      </c>
      <c r="O177" s="935">
        <v>24.75</v>
      </c>
      <c r="P177" s="935">
        <v>25.46</v>
      </c>
      <c r="Q177" s="935">
        <v>26.24</v>
      </c>
      <c r="R177" s="935">
        <v>27.22</v>
      </c>
      <c r="S177" s="935">
        <v>28.03</v>
      </c>
      <c r="T177" s="935">
        <v>28.98</v>
      </c>
      <c r="U177" s="935">
        <v>29.93</v>
      </c>
      <c r="V177" s="935">
        <v>30.88</v>
      </c>
      <c r="W177" s="935">
        <v>32</v>
      </c>
      <c r="X177" s="935">
        <v>33.28</v>
      </c>
      <c r="Y177" s="935">
        <v>34.28</v>
      </c>
      <c r="Z177" s="935">
        <v>35.71</v>
      </c>
      <c r="AA177" s="935">
        <v>37.130000000000003</v>
      </c>
      <c r="AB177" s="935">
        <v>38.46</v>
      </c>
      <c r="AC177" s="935">
        <v>39.950000000000003</v>
      </c>
      <c r="AD177" s="935">
        <v>41.52</v>
      </c>
      <c r="AE177" s="974">
        <v>2.9000000000000001E-2</v>
      </c>
      <c r="AF177" s="935"/>
      <c r="AG177" s="935"/>
      <c r="AH177" s="935"/>
      <c r="AI177" s="935"/>
      <c r="AJ177" s="935"/>
      <c r="AK177" s="935"/>
      <c r="AL177" s="935"/>
      <c r="AM177" s="935"/>
      <c r="AN177" s="935"/>
      <c r="AO177" s="935"/>
      <c r="AP177" s="935"/>
      <c r="AQ177" s="935"/>
      <c r="AR177" s="935"/>
      <c r="AS177" s="935"/>
      <c r="AT177" s="935"/>
      <c r="AU177" s="935"/>
      <c r="AV177" s="935"/>
      <c r="AW177" s="935"/>
      <c r="AX177" s="935"/>
      <c r="AY177" s="935"/>
      <c r="AZ177" s="935"/>
      <c r="BA177" s="935"/>
      <c r="BB177" s="935"/>
      <c r="BC177" s="935"/>
      <c r="BD177" s="935"/>
      <c r="BE177" s="935"/>
      <c r="BF177" s="935"/>
      <c r="BG177" s="935"/>
      <c r="BH177" s="935"/>
      <c r="BI177" s="935"/>
      <c r="BJ177" s="935"/>
      <c r="BK177" s="935"/>
      <c r="BL177" s="935"/>
      <c r="BM177" s="935"/>
      <c r="BN177" s="935"/>
      <c r="BO177" s="935"/>
      <c r="BP177" s="935"/>
      <c r="BQ177" s="935"/>
      <c r="BR177" s="935"/>
      <c r="BS177" s="935"/>
      <c r="BT177" s="935"/>
    </row>
    <row r="178" spans="1:72" x14ac:dyDescent="0.25">
      <c r="A178" s="935" t="s">
        <v>611</v>
      </c>
      <c r="B178" s="935">
        <v>8.84</v>
      </c>
      <c r="C178" s="935">
        <v>14.56</v>
      </c>
      <c r="D178" s="935">
        <v>8.92</v>
      </c>
      <c r="E178" s="935">
        <v>12.37</v>
      </c>
      <c r="F178" s="935">
        <v>12.7</v>
      </c>
      <c r="G178" s="935">
        <v>14.13</v>
      </c>
      <c r="H178" s="935">
        <v>15.48</v>
      </c>
      <c r="I178" s="935">
        <v>16.55</v>
      </c>
      <c r="J178" s="935">
        <v>17.3</v>
      </c>
      <c r="K178" s="935">
        <v>18.07</v>
      </c>
      <c r="L178" s="935">
        <v>19.010000000000002</v>
      </c>
      <c r="M178" s="935">
        <v>19.88</v>
      </c>
      <c r="N178" s="935">
        <v>20.54</v>
      </c>
      <c r="O178" s="935">
        <v>21.05</v>
      </c>
      <c r="P178" s="935">
        <v>21.8</v>
      </c>
      <c r="Q178" s="935">
        <v>22.48</v>
      </c>
      <c r="R178" s="935">
        <v>23.26</v>
      </c>
      <c r="S178" s="935">
        <v>24.05</v>
      </c>
      <c r="T178" s="935">
        <v>24.83</v>
      </c>
      <c r="U178" s="935">
        <v>25.46</v>
      </c>
      <c r="V178" s="935">
        <v>26.42</v>
      </c>
      <c r="W178" s="935">
        <v>27.37</v>
      </c>
      <c r="X178" s="935">
        <v>28.4</v>
      </c>
      <c r="Y178" s="935">
        <v>29.5</v>
      </c>
      <c r="Z178" s="935">
        <v>30.7</v>
      </c>
      <c r="AA178" s="935">
        <v>31.85</v>
      </c>
      <c r="AB178" s="935">
        <v>32.92</v>
      </c>
      <c r="AC178" s="935">
        <v>34.19</v>
      </c>
      <c r="AD178" s="935">
        <v>35.49</v>
      </c>
      <c r="AE178" s="974">
        <v>3.4000000000000002E-2</v>
      </c>
      <c r="AF178" s="935"/>
      <c r="AG178" s="935"/>
      <c r="AH178" s="935"/>
      <c r="AI178" s="935"/>
      <c r="AJ178" s="935"/>
      <c r="AK178" s="935"/>
      <c r="AL178" s="935"/>
      <c r="AM178" s="935"/>
      <c r="AN178" s="935"/>
      <c r="AO178" s="935"/>
      <c r="AP178" s="935"/>
      <c r="AQ178" s="935"/>
      <c r="AR178" s="935"/>
      <c r="AS178" s="935"/>
      <c r="AT178" s="935"/>
      <c r="AU178" s="935"/>
      <c r="AV178" s="935"/>
      <c r="AW178" s="935"/>
      <c r="AX178" s="935"/>
      <c r="AY178" s="935"/>
      <c r="AZ178" s="935"/>
      <c r="BA178" s="935"/>
      <c r="BB178" s="935"/>
      <c r="BC178" s="935"/>
      <c r="BD178" s="935"/>
      <c r="BE178" s="935"/>
      <c r="BF178" s="935"/>
      <c r="BG178" s="935"/>
      <c r="BH178" s="935"/>
      <c r="BI178" s="935"/>
      <c r="BJ178" s="935"/>
      <c r="BK178" s="935"/>
      <c r="BL178" s="935"/>
      <c r="BM178" s="935"/>
      <c r="BN178" s="935"/>
      <c r="BO178" s="935"/>
      <c r="BP178" s="935"/>
      <c r="BQ178" s="935"/>
      <c r="BR178" s="935"/>
      <c r="BS178" s="935"/>
      <c r="BT178" s="935"/>
    </row>
    <row r="179" spans="1:72" x14ac:dyDescent="0.25">
      <c r="A179" s="935" t="s">
        <v>510</v>
      </c>
      <c r="B179" s="935">
        <v>7.1</v>
      </c>
      <c r="C179" s="935">
        <v>9.09</v>
      </c>
      <c r="D179" s="935">
        <v>4.2</v>
      </c>
      <c r="E179" s="935">
        <v>4.99</v>
      </c>
      <c r="F179" s="935">
        <v>6.07</v>
      </c>
      <c r="G179" s="935">
        <v>6.53</v>
      </c>
      <c r="H179" s="935">
        <v>6.4</v>
      </c>
      <c r="I179" s="935">
        <v>6.47</v>
      </c>
      <c r="J179" s="935">
        <v>6.77</v>
      </c>
      <c r="K179" s="935">
        <v>6.99</v>
      </c>
      <c r="L179" s="935">
        <v>7.13</v>
      </c>
      <c r="M179" s="935">
        <v>7.32</v>
      </c>
      <c r="N179" s="935">
        <v>7.53</v>
      </c>
      <c r="O179" s="935">
        <v>7.85</v>
      </c>
      <c r="P179" s="935">
        <v>8.1300000000000008</v>
      </c>
      <c r="Q179" s="935">
        <v>8.5399999999999991</v>
      </c>
      <c r="R179" s="935">
        <v>8.7799999999999994</v>
      </c>
      <c r="S179" s="935">
        <v>8.91</v>
      </c>
      <c r="T179" s="935">
        <v>9.17</v>
      </c>
      <c r="U179" s="935">
        <v>9.57</v>
      </c>
      <c r="V179" s="935">
        <v>9.9700000000000006</v>
      </c>
      <c r="W179" s="935">
        <v>10.51</v>
      </c>
      <c r="X179" s="935">
        <v>11.09</v>
      </c>
      <c r="Y179" s="935">
        <v>11.66</v>
      </c>
      <c r="Z179" s="935">
        <v>12.38</v>
      </c>
      <c r="AA179" s="935">
        <v>12.84</v>
      </c>
      <c r="AB179" s="935">
        <v>13.16</v>
      </c>
      <c r="AC179" s="935">
        <v>13.75</v>
      </c>
      <c r="AD179" s="935">
        <v>14.22</v>
      </c>
      <c r="AE179" s="974">
        <v>1.7000000000000001E-2</v>
      </c>
      <c r="AF179" s="935"/>
      <c r="AG179" s="935"/>
      <c r="AH179" s="935"/>
      <c r="AI179" s="935"/>
      <c r="AJ179" s="935"/>
      <c r="AK179" s="935"/>
      <c r="AL179" s="935"/>
      <c r="AM179" s="935"/>
      <c r="AN179" s="935"/>
      <c r="AO179" s="935"/>
      <c r="AP179" s="935"/>
      <c r="AQ179" s="935"/>
      <c r="AR179" s="935"/>
      <c r="AS179" s="935"/>
      <c r="AT179" s="935"/>
      <c r="AU179" s="935"/>
      <c r="AV179" s="935"/>
      <c r="AW179" s="935"/>
      <c r="AX179" s="935"/>
      <c r="AY179" s="935"/>
      <c r="AZ179" s="935"/>
      <c r="BA179" s="935"/>
      <c r="BB179" s="935"/>
      <c r="BC179" s="935"/>
      <c r="BD179" s="935"/>
      <c r="BE179" s="935"/>
      <c r="BF179" s="935"/>
      <c r="BG179" s="935"/>
      <c r="BH179" s="935"/>
      <c r="BI179" s="935"/>
      <c r="BJ179" s="935"/>
      <c r="BK179" s="935"/>
      <c r="BL179" s="935"/>
      <c r="BM179" s="935"/>
      <c r="BN179" s="935"/>
      <c r="BO179" s="935"/>
      <c r="BP179" s="935"/>
      <c r="BQ179" s="935"/>
      <c r="BR179" s="935"/>
      <c r="BS179" s="935"/>
      <c r="BT179" s="935"/>
    </row>
    <row r="180" spans="1:72" x14ac:dyDescent="0.25">
      <c r="A180" s="935" t="s">
        <v>624</v>
      </c>
      <c r="B180" s="935">
        <v>1.76</v>
      </c>
      <c r="C180" s="935">
        <v>2.0499999999999998</v>
      </c>
      <c r="D180" s="935">
        <v>2.1800000000000002</v>
      </c>
      <c r="E180" s="935">
        <v>2.0499999999999998</v>
      </c>
      <c r="F180" s="935">
        <v>2.0699999999999998</v>
      </c>
      <c r="G180" s="935">
        <v>2.1</v>
      </c>
      <c r="H180" s="935">
        <v>2.15</v>
      </c>
      <c r="I180" s="935">
        <v>2.19</v>
      </c>
      <c r="J180" s="935">
        <v>2.2400000000000002</v>
      </c>
      <c r="K180" s="935">
        <v>2.2599999999999998</v>
      </c>
      <c r="L180" s="935">
        <v>2.31</v>
      </c>
      <c r="M180" s="935">
        <v>2.34</v>
      </c>
      <c r="N180" s="935">
        <v>2.38</v>
      </c>
      <c r="O180" s="935">
        <v>2.42</v>
      </c>
      <c r="P180" s="935">
        <v>2.4700000000000002</v>
      </c>
      <c r="Q180" s="935">
        <v>2.54</v>
      </c>
      <c r="R180" s="935">
        <v>2.59</v>
      </c>
      <c r="S180" s="935">
        <v>2.65</v>
      </c>
      <c r="T180" s="935">
        <v>2.69</v>
      </c>
      <c r="U180" s="935">
        <v>2.77</v>
      </c>
      <c r="V180" s="935">
        <v>2.82</v>
      </c>
      <c r="W180" s="935">
        <v>2.9</v>
      </c>
      <c r="X180" s="935">
        <v>2.98</v>
      </c>
      <c r="Y180" s="935">
        <v>3.06</v>
      </c>
      <c r="Z180" s="935">
        <v>3.15</v>
      </c>
      <c r="AA180" s="935">
        <v>3.23</v>
      </c>
      <c r="AB180" s="935">
        <v>3.32</v>
      </c>
      <c r="AC180" s="935">
        <v>3.41</v>
      </c>
      <c r="AD180" s="935">
        <v>3.51</v>
      </c>
      <c r="AE180" s="974">
        <v>0.02</v>
      </c>
      <c r="AF180" s="935"/>
      <c r="AG180" s="935"/>
      <c r="AH180" s="935"/>
      <c r="AI180" s="935"/>
      <c r="AJ180" s="935"/>
      <c r="AK180" s="935"/>
      <c r="AL180" s="935"/>
      <c r="AM180" s="935"/>
      <c r="AN180" s="935"/>
      <c r="AO180" s="935"/>
      <c r="AP180" s="935"/>
      <c r="AQ180" s="935"/>
      <c r="AR180" s="935"/>
      <c r="AS180" s="935"/>
      <c r="AT180" s="935"/>
      <c r="AU180" s="935"/>
      <c r="AV180" s="935"/>
      <c r="AW180" s="935"/>
      <c r="AX180" s="935"/>
      <c r="AY180" s="935"/>
      <c r="AZ180" s="935"/>
      <c r="BA180" s="935"/>
      <c r="BB180" s="935"/>
      <c r="BC180" s="935"/>
      <c r="BD180" s="935"/>
      <c r="BE180" s="935"/>
      <c r="BF180" s="935"/>
      <c r="BG180" s="935"/>
      <c r="BH180" s="935"/>
      <c r="BI180" s="935"/>
      <c r="BJ180" s="935"/>
      <c r="BK180" s="935"/>
      <c r="BL180" s="935"/>
      <c r="BM180" s="935"/>
      <c r="BN180" s="935"/>
      <c r="BO180" s="935"/>
      <c r="BP180" s="935"/>
      <c r="BQ180" s="935"/>
      <c r="BR180" s="935"/>
      <c r="BS180" s="935"/>
      <c r="BT180" s="935"/>
    </row>
    <row r="181" spans="1:72" x14ac:dyDescent="0.25">
      <c r="A181" s="935"/>
      <c r="B181" s="935"/>
      <c r="C181" s="935"/>
      <c r="D181" s="935"/>
      <c r="E181" s="935"/>
      <c r="F181" s="935"/>
      <c r="G181" s="935"/>
      <c r="H181" s="935"/>
      <c r="I181" s="935"/>
      <c r="J181" s="935"/>
      <c r="K181" s="935"/>
      <c r="L181" s="935"/>
      <c r="M181" s="935"/>
      <c r="N181" s="935"/>
      <c r="O181" s="935"/>
      <c r="P181" s="935"/>
      <c r="Q181" s="935"/>
      <c r="R181" s="935"/>
      <c r="S181" s="935"/>
      <c r="T181" s="935"/>
      <c r="U181" s="935"/>
      <c r="V181" s="935"/>
      <c r="W181" s="935"/>
      <c r="X181" s="935"/>
      <c r="Y181" s="935"/>
      <c r="Z181" s="935"/>
      <c r="AA181" s="935"/>
      <c r="AB181" s="935"/>
      <c r="AC181" s="935"/>
      <c r="AD181" s="935"/>
      <c r="AE181" s="935"/>
      <c r="AF181" s="935"/>
      <c r="AG181" s="935"/>
      <c r="AH181" s="935"/>
      <c r="AI181" s="935"/>
      <c r="AJ181" s="935"/>
      <c r="AK181" s="935"/>
      <c r="AL181" s="935"/>
      <c r="AM181" s="935"/>
      <c r="AN181" s="935"/>
      <c r="AO181" s="935"/>
      <c r="AP181" s="935"/>
      <c r="AQ181" s="935"/>
      <c r="AR181" s="935"/>
      <c r="AS181" s="935"/>
      <c r="AT181" s="935"/>
      <c r="AU181" s="935"/>
      <c r="AV181" s="935"/>
      <c r="AW181" s="935"/>
      <c r="AX181" s="935"/>
      <c r="AY181" s="935"/>
      <c r="AZ181" s="935"/>
      <c r="BA181" s="935"/>
      <c r="BB181" s="935"/>
      <c r="BC181" s="935"/>
      <c r="BD181" s="935"/>
      <c r="BE181" s="935"/>
      <c r="BF181" s="935"/>
      <c r="BG181" s="935"/>
      <c r="BH181" s="935"/>
      <c r="BI181" s="935"/>
      <c r="BJ181" s="935"/>
      <c r="BK181" s="935"/>
      <c r="BL181" s="935"/>
      <c r="BM181" s="935"/>
      <c r="BN181" s="935"/>
      <c r="BO181" s="935"/>
      <c r="BP181" s="935"/>
      <c r="BQ181" s="935"/>
      <c r="BR181" s="935"/>
      <c r="BS181" s="935"/>
      <c r="BT181" s="935"/>
    </row>
    <row r="182" spans="1:72" x14ac:dyDescent="0.25">
      <c r="A182" s="935" t="s">
        <v>625</v>
      </c>
      <c r="B182" s="935"/>
      <c r="C182" s="935"/>
      <c r="D182" s="935"/>
      <c r="E182" s="935"/>
      <c r="F182" s="935"/>
      <c r="G182" s="935"/>
      <c r="H182" s="935"/>
      <c r="I182" s="935"/>
      <c r="J182" s="935"/>
      <c r="K182" s="935"/>
      <c r="L182" s="935"/>
      <c r="M182" s="935"/>
      <c r="N182" s="935"/>
      <c r="O182" s="935"/>
      <c r="P182" s="935"/>
      <c r="Q182" s="935"/>
      <c r="R182" s="935"/>
      <c r="S182" s="935"/>
      <c r="T182" s="935"/>
      <c r="U182" s="935"/>
      <c r="V182" s="935"/>
      <c r="W182" s="935"/>
      <c r="X182" s="935"/>
      <c r="Y182" s="935"/>
      <c r="Z182" s="935"/>
      <c r="AA182" s="935"/>
      <c r="AB182" s="935"/>
      <c r="AC182" s="935"/>
      <c r="AD182" s="935"/>
      <c r="AE182" s="935"/>
      <c r="AF182" s="935"/>
      <c r="AG182" s="935"/>
      <c r="AH182" s="935"/>
      <c r="AI182" s="935"/>
      <c r="AJ182" s="935"/>
      <c r="AK182" s="935"/>
      <c r="AL182" s="935"/>
      <c r="AM182" s="935"/>
      <c r="AN182" s="935"/>
      <c r="AO182" s="935"/>
      <c r="AP182" s="935"/>
      <c r="AQ182" s="935"/>
      <c r="AR182" s="935"/>
      <c r="AS182" s="935"/>
      <c r="AT182" s="935"/>
      <c r="AU182" s="935"/>
      <c r="AV182" s="935"/>
      <c r="AW182" s="935"/>
      <c r="AX182" s="935"/>
      <c r="AY182" s="935"/>
      <c r="AZ182" s="935"/>
      <c r="BA182" s="935"/>
      <c r="BB182" s="935"/>
      <c r="BC182" s="935"/>
      <c r="BD182" s="935"/>
      <c r="BE182" s="935"/>
      <c r="BF182" s="935"/>
      <c r="BG182" s="935"/>
      <c r="BH182" s="935"/>
      <c r="BI182" s="935"/>
      <c r="BJ182" s="935"/>
      <c r="BK182" s="935"/>
      <c r="BL182" s="935"/>
      <c r="BM182" s="935"/>
      <c r="BN182" s="935"/>
      <c r="BO182" s="935"/>
      <c r="BP182" s="935"/>
      <c r="BQ182" s="935"/>
      <c r="BR182" s="935"/>
      <c r="BS182" s="935"/>
      <c r="BT182" s="935"/>
    </row>
    <row r="183" spans="1:72" x14ac:dyDescent="0.25">
      <c r="A183" s="935" t="s">
        <v>609</v>
      </c>
      <c r="B183" s="935">
        <v>18.53</v>
      </c>
      <c r="C183" s="935">
        <v>20.190000000000001</v>
      </c>
      <c r="D183" s="935">
        <v>18.64</v>
      </c>
      <c r="E183" s="935">
        <v>17.36</v>
      </c>
      <c r="F183" s="935">
        <v>17.61</v>
      </c>
      <c r="G183" s="935">
        <v>18.920000000000002</v>
      </c>
      <c r="H183" s="935">
        <v>20.43</v>
      </c>
      <c r="I183" s="935">
        <v>21.72</v>
      </c>
      <c r="J183" s="935">
        <v>22.62</v>
      </c>
      <c r="K183" s="935">
        <v>23.64</v>
      </c>
      <c r="L183" s="935">
        <v>24.56</v>
      </c>
      <c r="M183" s="935">
        <v>25.55</v>
      </c>
      <c r="N183" s="935">
        <v>26.28</v>
      </c>
      <c r="O183" s="935">
        <v>27.06</v>
      </c>
      <c r="P183" s="935">
        <v>27.91</v>
      </c>
      <c r="Q183" s="935">
        <v>28.78</v>
      </c>
      <c r="R183" s="935">
        <v>29.75</v>
      </c>
      <c r="S183" s="935">
        <v>30.7</v>
      </c>
      <c r="T183" s="935">
        <v>31.68</v>
      </c>
      <c r="U183" s="935">
        <v>32.54</v>
      </c>
      <c r="V183" s="935">
        <v>33.6</v>
      </c>
      <c r="W183" s="935">
        <v>34.69</v>
      </c>
      <c r="X183" s="935">
        <v>35.950000000000003</v>
      </c>
      <c r="Y183" s="935">
        <v>37.049999999999997</v>
      </c>
      <c r="Z183" s="935">
        <v>38.44</v>
      </c>
      <c r="AA183" s="935">
        <v>39.83</v>
      </c>
      <c r="AB183" s="935">
        <v>41.29</v>
      </c>
      <c r="AC183" s="935">
        <v>42.77</v>
      </c>
      <c r="AD183" s="935">
        <v>44.32</v>
      </c>
      <c r="AE183" s="974">
        <v>0.03</v>
      </c>
      <c r="AF183" s="935"/>
      <c r="AG183" s="935"/>
      <c r="AH183" s="935"/>
      <c r="AI183" s="935"/>
      <c r="AJ183" s="935"/>
      <c r="AK183" s="935"/>
      <c r="AL183" s="935"/>
      <c r="AM183" s="935"/>
      <c r="AN183" s="935"/>
      <c r="AO183" s="935"/>
      <c r="AP183" s="935"/>
      <c r="AQ183" s="935"/>
      <c r="AR183" s="935"/>
      <c r="AS183" s="935"/>
      <c r="AT183" s="935"/>
      <c r="AU183" s="935"/>
      <c r="AV183" s="935"/>
      <c r="AW183" s="935"/>
      <c r="AX183" s="935"/>
      <c r="AY183" s="935"/>
      <c r="AZ183" s="935"/>
      <c r="BA183" s="935"/>
      <c r="BB183" s="935"/>
      <c r="BC183" s="935"/>
      <c r="BD183" s="935"/>
      <c r="BE183" s="935"/>
      <c r="BF183" s="935"/>
      <c r="BG183" s="935"/>
      <c r="BH183" s="935"/>
      <c r="BI183" s="935"/>
      <c r="BJ183" s="935"/>
      <c r="BK183" s="935"/>
      <c r="BL183" s="935"/>
      <c r="BM183" s="935"/>
      <c r="BN183" s="935"/>
      <c r="BO183" s="935"/>
      <c r="BP183" s="935"/>
      <c r="BQ183" s="935"/>
      <c r="BR183" s="935"/>
      <c r="BS183" s="935"/>
      <c r="BT183" s="935"/>
    </row>
    <row r="184" spans="1:72" x14ac:dyDescent="0.25">
      <c r="A184" s="935" t="s">
        <v>618</v>
      </c>
      <c r="B184" s="935">
        <v>26.83</v>
      </c>
      <c r="C184" s="935">
        <v>26.93</v>
      </c>
      <c r="D184" s="935">
        <v>23.64</v>
      </c>
      <c r="E184" s="935">
        <v>21.26</v>
      </c>
      <c r="F184" s="935">
        <v>21.89</v>
      </c>
      <c r="G184" s="935">
        <v>23.43</v>
      </c>
      <c r="H184" s="935">
        <v>26.07</v>
      </c>
      <c r="I184" s="935">
        <v>27.64</v>
      </c>
      <c r="J184" s="935">
        <v>28.47</v>
      </c>
      <c r="K184" s="935">
        <v>28.45</v>
      </c>
      <c r="L184" s="935">
        <v>29.92</v>
      </c>
      <c r="M184" s="935">
        <v>31.23</v>
      </c>
      <c r="N184" s="935">
        <v>31.97</v>
      </c>
      <c r="O184" s="935">
        <v>32.94</v>
      </c>
      <c r="P184" s="935">
        <v>34.090000000000003</v>
      </c>
      <c r="Q184" s="935">
        <v>35.479999999999997</v>
      </c>
      <c r="R184" s="935">
        <v>36.880000000000003</v>
      </c>
      <c r="S184" s="935">
        <v>37.979999999999997</v>
      </c>
      <c r="T184" s="935">
        <v>39.17</v>
      </c>
      <c r="U184" s="935">
        <v>40.479999999999997</v>
      </c>
      <c r="V184" s="935">
        <v>41.72</v>
      </c>
      <c r="W184" s="935">
        <v>43.4</v>
      </c>
      <c r="X184" s="935">
        <v>44.96</v>
      </c>
      <c r="Y184" s="935">
        <v>46.25</v>
      </c>
      <c r="Z184" s="935">
        <v>47.62</v>
      </c>
      <c r="AA184" s="935">
        <v>49.36</v>
      </c>
      <c r="AB184" s="935">
        <v>50.75</v>
      </c>
      <c r="AC184" s="935">
        <v>52.29</v>
      </c>
      <c r="AD184" s="935">
        <v>54.17</v>
      </c>
      <c r="AE184" s="974">
        <v>2.5999999999999999E-2</v>
      </c>
      <c r="AF184" s="935"/>
      <c r="AG184" s="935"/>
      <c r="AH184" s="935"/>
      <c r="AI184" s="935"/>
      <c r="AJ184" s="935"/>
      <c r="AK184" s="935"/>
      <c r="AL184" s="935"/>
      <c r="AM184" s="935"/>
      <c r="AN184" s="935"/>
      <c r="AO184" s="935"/>
      <c r="AP184" s="935"/>
      <c r="AQ184" s="935"/>
      <c r="AR184" s="935"/>
      <c r="AS184" s="935"/>
      <c r="AT184" s="935"/>
      <c r="AU184" s="935"/>
      <c r="AV184" s="935"/>
      <c r="AW184" s="935"/>
      <c r="AX184" s="935"/>
      <c r="AY184" s="935"/>
      <c r="AZ184" s="935"/>
      <c r="BA184" s="935"/>
      <c r="BB184" s="935"/>
      <c r="BC184" s="935"/>
      <c r="BD184" s="935"/>
      <c r="BE184" s="935"/>
      <c r="BF184" s="935"/>
      <c r="BG184" s="935"/>
      <c r="BH184" s="935"/>
      <c r="BI184" s="935"/>
      <c r="BJ184" s="935"/>
      <c r="BK184" s="935"/>
      <c r="BL184" s="935"/>
      <c r="BM184" s="935"/>
      <c r="BN184" s="935"/>
      <c r="BO184" s="935"/>
      <c r="BP184" s="935"/>
      <c r="BQ184" s="935"/>
      <c r="BR184" s="935"/>
      <c r="BS184" s="935"/>
      <c r="BT184" s="935"/>
    </row>
    <row r="185" spans="1:72" x14ac:dyDescent="0.25">
      <c r="A185" s="935" t="s">
        <v>619</v>
      </c>
      <c r="B185" s="935">
        <v>23.03</v>
      </c>
      <c r="C185" s="935">
        <v>26.54</v>
      </c>
      <c r="D185" s="935">
        <v>19.440000000000001</v>
      </c>
      <c r="E185" s="935">
        <v>21.17</v>
      </c>
      <c r="F185" s="935">
        <v>21.79</v>
      </c>
      <c r="G185" s="935">
        <v>23.32</v>
      </c>
      <c r="H185" s="935">
        <v>25.87</v>
      </c>
      <c r="I185" s="935">
        <v>27.33</v>
      </c>
      <c r="J185" s="935">
        <v>28.27</v>
      </c>
      <c r="K185" s="935">
        <v>29.42</v>
      </c>
      <c r="L185" s="935">
        <v>30.58</v>
      </c>
      <c r="M185" s="935">
        <v>31.64</v>
      </c>
      <c r="N185" s="935">
        <v>32.6</v>
      </c>
      <c r="O185" s="935">
        <v>33.71</v>
      </c>
      <c r="P185" s="935">
        <v>34.71</v>
      </c>
      <c r="Q185" s="935">
        <v>35.93</v>
      </c>
      <c r="R185" s="935">
        <v>37.020000000000003</v>
      </c>
      <c r="S185" s="935">
        <v>37.950000000000003</v>
      </c>
      <c r="T185" s="935">
        <v>39.17</v>
      </c>
      <c r="U185" s="935">
        <v>40.43</v>
      </c>
      <c r="V185" s="935">
        <v>41.68</v>
      </c>
      <c r="W185" s="935">
        <v>43.21</v>
      </c>
      <c r="X185" s="935">
        <v>44.69</v>
      </c>
      <c r="Y185" s="935">
        <v>45.9</v>
      </c>
      <c r="Z185" s="935">
        <v>47.46</v>
      </c>
      <c r="AA185" s="935">
        <v>49.15</v>
      </c>
      <c r="AB185" s="935">
        <v>50.65</v>
      </c>
      <c r="AC185" s="935">
        <v>52.35</v>
      </c>
      <c r="AD185" s="935">
        <v>54.32</v>
      </c>
      <c r="AE185" s="974">
        <v>2.7E-2</v>
      </c>
      <c r="AF185" s="935"/>
      <c r="AG185" s="935"/>
      <c r="AH185" s="935"/>
      <c r="AI185" s="935"/>
      <c r="AJ185" s="935"/>
      <c r="AK185" s="935"/>
      <c r="AL185" s="935"/>
      <c r="AM185" s="935"/>
      <c r="AN185" s="935"/>
      <c r="AO185" s="935"/>
      <c r="AP185" s="935"/>
      <c r="AQ185" s="935"/>
      <c r="AR185" s="935"/>
      <c r="AS185" s="935"/>
      <c r="AT185" s="935"/>
      <c r="AU185" s="935"/>
      <c r="AV185" s="935"/>
      <c r="AW185" s="935"/>
      <c r="AX185" s="935"/>
      <c r="AY185" s="935"/>
      <c r="AZ185" s="935"/>
      <c r="BA185" s="935"/>
      <c r="BB185" s="935"/>
      <c r="BC185" s="935"/>
      <c r="BD185" s="935"/>
      <c r="BE185" s="935"/>
      <c r="BF185" s="935"/>
      <c r="BG185" s="935"/>
      <c r="BH185" s="935"/>
      <c r="BI185" s="935"/>
      <c r="BJ185" s="935"/>
      <c r="BK185" s="935"/>
      <c r="BL185" s="935"/>
      <c r="BM185" s="935"/>
      <c r="BN185" s="935"/>
      <c r="BO185" s="935"/>
      <c r="BP185" s="935"/>
      <c r="BQ185" s="935"/>
      <c r="BR185" s="935"/>
      <c r="BS185" s="935"/>
      <c r="BT185" s="935"/>
    </row>
    <row r="186" spans="1:72" x14ac:dyDescent="0.25">
      <c r="A186" s="935" t="s">
        <v>626</v>
      </c>
      <c r="B186" s="935">
        <v>15.42</v>
      </c>
      <c r="C186" s="935">
        <v>22.71</v>
      </c>
      <c r="D186" s="935">
        <v>12.92</v>
      </c>
      <c r="E186" s="935">
        <v>15.23</v>
      </c>
      <c r="F186" s="935">
        <v>15.82</v>
      </c>
      <c r="G186" s="935">
        <v>17.510000000000002</v>
      </c>
      <c r="H186" s="935">
        <v>19.05</v>
      </c>
      <c r="I186" s="935">
        <v>20.23</v>
      </c>
      <c r="J186" s="935">
        <v>21.21</v>
      </c>
      <c r="K186" s="935">
        <v>22.42</v>
      </c>
      <c r="L186" s="935">
        <v>23.58</v>
      </c>
      <c r="M186" s="935">
        <v>24.67</v>
      </c>
      <c r="N186" s="935">
        <v>25.58</v>
      </c>
      <c r="O186" s="935">
        <v>26.51</v>
      </c>
      <c r="P186" s="935">
        <v>27.27</v>
      </c>
      <c r="Q186" s="935">
        <v>28.18</v>
      </c>
      <c r="R186" s="935">
        <v>29.2</v>
      </c>
      <c r="S186" s="935">
        <v>30.07</v>
      </c>
      <c r="T186" s="935">
        <v>31.1</v>
      </c>
      <c r="U186" s="935">
        <v>32.130000000000003</v>
      </c>
      <c r="V186" s="935">
        <v>33.21</v>
      </c>
      <c r="W186" s="935">
        <v>34.54</v>
      </c>
      <c r="X186" s="935">
        <v>35.83</v>
      </c>
      <c r="Y186" s="935">
        <v>36.99</v>
      </c>
      <c r="Z186" s="935">
        <v>38.42</v>
      </c>
      <c r="AA186" s="935">
        <v>39.92</v>
      </c>
      <c r="AB186" s="935">
        <v>41.32</v>
      </c>
      <c r="AC186" s="935">
        <v>42.87</v>
      </c>
      <c r="AD186" s="935">
        <v>44.51</v>
      </c>
      <c r="AE186" s="974">
        <v>2.5000000000000001E-2</v>
      </c>
      <c r="AF186" s="935"/>
      <c r="AG186" s="935"/>
      <c r="AH186" s="935"/>
      <c r="AI186" s="935"/>
      <c r="AJ186" s="935"/>
      <c r="AK186" s="935"/>
      <c r="AL186" s="935"/>
      <c r="AM186" s="935"/>
      <c r="AN186" s="935"/>
      <c r="AO186" s="935"/>
      <c r="AP186" s="935"/>
      <c r="AQ186" s="935"/>
      <c r="AR186" s="935"/>
      <c r="AS186" s="935"/>
      <c r="AT186" s="935"/>
      <c r="AU186" s="935"/>
      <c r="AV186" s="935"/>
      <c r="AW186" s="935"/>
      <c r="AX186" s="935"/>
      <c r="AY186" s="935"/>
      <c r="AZ186" s="935"/>
      <c r="BA186" s="935"/>
      <c r="BB186" s="935"/>
      <c r="BC186" s="935"/>
      <c r="BD186" s="935"/>
      <c r="BE186" s="935"/>
      <c r="BF186" s="935"/>
      <c r="BG186" s="935"/>
      <c r="BH186" s="935"/>
      <c r="BI186" s="935"/>
      <c r="BJ186" s="935"/>
      <c r="BK186" s="935"/>
      <c r="BL186" s="935"/>
      <c r="BM186" s="935"/>
      <c r="BN186" s="935"/>
      <c r="BO186" s="935"/>
      <c r="BP186" s="935"/>
      <c r="BQ186" s="935"/>
      <c r="BR186" s="935"/>
      <c r="BS186" s="935"/>
      <c r="BT186" s="935"/>
    </row>
    <row r="187" spans="1:72" x14ac:dyDescent="0.25">
      <c r="A187" s="935" t="s">
        <v>610</v>
      </c>
      <c r="B187" s="935">
        <v>20.260000000000002</v>
      </c>
      <c r="C187" s="935">
        <v>26.27</v>
      </c>
      <c r="D187" s="935">
        <v>17.73</v>
      </c>
      <c r="E187" s="935">
        <v>18.260000000000002</v>
      </c>
      <c r="F187" s="935">
        <v>18.940000000000001</v>
      </c>
      <c r="G187" s="935">
        <v>20.58</v>
      </c>
      <c r="H187" s="935">
        <v>22.21</v>
      </c>
      <c r="I187" s="935">
        <v>23.39</v>
      </c>
      <c r="J187" s="935">
        <v>24.55</v>
      </c>
      <c r="K187" s="935">
        <v>25.86</v>
      </c>
      <c r="L187" s="935">
        <v>27.09</v>
      </c>
      <c r="M187" s="935">
        <v>28.33</v>
      </c>
      <c r="N187" s="935">
        <v>29.33</v>
      </c>
      <c r="O187" s="935">
        <v>30.3</v>
      </c>
      <c r="P187" s="935">
        <v>31.19</v>
      </c>
      <c r="Q187" s="935">
        <v>32.29</v>
      </c>
      <c r="R187" s="935">
        <v>33.22</v>
      </c>
      <c r="S187" s="935">
        <v>34.04</v>
      </c>
      <c r="T187" s="935">
        <v>35.14</v>
      </c>
      <c r="U187" s="935">
        <v>36.19</v>
      </c>
      <c r="V187" s="935">
        <v>37.31</v>
      </c>
      <c r="W187" s="935">
        <v>38.6</v>
      </c>
      <c r="X187" s="935">
        <v>40.04</v>
      </c>
      <c r="Y187" s="935">
        <v>41.2</v>
      </c>
      <c r="Z187" s="935">
        <v>42.78</v>
      </c>
      <c r="AA187" s="935">
        <v>44.38</v>
      </c>
      <c r="AB187" s="935">
        <v>45.87</v>
      </c>
      <c r="AC187" s="935">
        <v>47.52</v>
      </c>
      <c r="AD187" s="935">
        <v>49.31</v>
      </c>
      <c r="AE187" s="974">
        <v>2.4E-2</v>
      </c>
      <c r="AF187" s="935"/>
      <c r="AG187" s="935"/>
      <c r="AH187" s="935"/>
      <c r="AI187" s="935"/>
      <c r="AJ187" s="935"/>
      <c r="AK187" s="935"/>
      <c r="AL187" s="935"/>
      <c r="AM187" s="935"/>
      <c r="AN187" s="935"/>
      <c r="AO187" s="935"/>
      <c r="AP187" s="935"/>
      <c r="AQ187" s="935"/>
      <c r="AR187" s="935"/>
      <c r="AS187" s="935"/>
      <c r="AT187" s="935"/>
      <c r="AU187" s="935"/>
      <c r="AV187" s="935"/>
      <c r="AW187" s="935"/>
      <c r="AX187" s="935"/>
      <c r="AY187" s="935"/>
      <c r="AZ187" s="935"/>
      <c r="BA187" s="935"/>
      <c r="BB187" s="935"/>
      <c r="BC187" s="935"/>
      <c r="BD187" s="935"/>
      <c r="BE187" s="935"/>
      <c r="BF187" s="935"/>
      <c r="BG187" s="935"/>
      <c r="BH187" s="935"/>
      <c r="BI187" s="935"/>
      <c r="BJ187" s="935"/>
      <c r="BK187" s="935"/>
      <c r="BL187" s="935"/>
      <c r="BM187" s="935"/>
      <c r="BN187" s="935"/>
      <c r="BO187" s="935"/>
      <c r="BP187" s="935"/>
      <c r="BQ187" s="935"/>
      <c r="BR187" s="935"/>
      <c r="BS187" s="935"/>
      <c r="BT187" s="935"/>
    </row>
    <row r="188" spans="1:72" x14ac:dyDescent="0.25">
      <c r="A188" s="935" t="s">
        <v>611</v>
      </c>
      <c r="B188" s="935">
        <v>8.8699999999999992</v>
      </c>
      <c r="C188" s="935">
        <v>14.77</v>
      </c>
      <c r="D188" s="935">
        <v>9.1</v>
      </c>
      <c r="E188" s="935">
        <v>11.22</v>
      </c>
      <c r="F188" s="935">
        <v>11.49</v>
      </c>
      <c r="G188" s="935">
        <v>12.89</v>
      </c>
      <c r="H188" s="935">
        <v>14.14</v>
      </c>
      <c r="I188" s="935">
        <v>15.19</v>
      </c>
      <c r="J188" s="935">
        <v>15.89</v>
      </c>
      <c r="K188" s="935">
        <v>16.600000000000001</v>
      </c>
      <c r="L188" s="935">
        <v>17.5</v>
      </c>
      <c r="M188" s="935">
        <v>18.3</v>
      </c>
      <c r="N188" s="935">
        <v>18.89</v>
      </c>
      <c r="O188" s="935">
        <v>19.329999999999998</v>
      </c>
      <c r="P188" s="935">
        <v>20.03</v>
      </c>
      <c r="Q188" s="935">
        <v>20.64</v>
      </c>
      <c r="R188" s="935">
        <v>21.36</v>
      </c>
      <c r="S188" s="935">
        <v>22.08</v>
      </c>
      <c r="T188" s="935">
        <v>22.8</v>
      </c>
      <c r="U188" s="935">
        <v>23.35</v>
      </c>
      <c r="V188" s="935">
        <v>24.24</v>
      </c>
      <c r="W188" s="935">
        <v>25.11</v>
      </c>
      <c r="X188" s="935">
        <v>26.08</v>
      </c>
      <c r="Y188" s="935">
        <v>27.11</v>
      </c>
      <c r="Z188" s="935">
        <v>28.23</v>
      </c>
      <c r="AA188" s="935">
        <v>29.29</v>
      </c>
      <c r="AB188" s="935">
        <v>30.29</v>
      </c>
      <c r="AC188" s="935">
        <v>31.46</v>
      </c>
      <c r="AD188" s="935">
        <v>32.700000000000003</v>
      </c>
      <c r="AE188" s="974">
        <v>0.03</v>
      </c>
      <c r="AF188" s="935"/>
      <c r="AG188" s="935"/>
      <c r="AH188" s="935"/>
      <c r="AI188" s="935"/>
      <c r="AJ188" s="935"/>
      <c r="AK188" s="935"/>
      <c r="AL188" s="935"/>
      <c r="AM188" s="935"/>
      <c r="AN188" s="935"/>
      <c r="AO188" s="935"/>
      <c r="AP188" s="935"/>
      <c r="AQ188" s="935"/>
      <c r="AR188" s="935"/>
      <c r="AS188" s="935"/>
      <c r="AT188" s="935"/>
      <c r="AU188" s="935"/>
      <c r="AV188" s="935"/>
      <c r="AW188" s="935"/>
      <c r="AX188" s="935"/>
      <c r="AY188" s="935"/>
      <c r="AZ188" s="935"/>
      <c r="BA188" s="935"/>
      <c r="BB188" s="935"/>
      <c r="BC188" s="935"/>
      <c r="BD188" s="935"/>
      <c r="BE188" s="935"/>
      <c r="BF188" s="935"/>
      <c r="BG188" s="935"/>
      <c r="BH188" s="935"/>
      <c r="BI188" s="935"/>
      <c r="BJ188" s="935"/>
      <c r="BK188" s="935"/>
      <c r="BL188" s="935"/>
      <c r="BM188" s="935"/>
      <c r="BN188" s="935"/>
      <c r="BO188" s="935"/>
      <c r="BP188" s="935"/>
      <c r="BQ188" s="935"/>
      <c r="BR188" s="935"/>
      <c r="BS188" s="935"/>
      <c r="BT188" s="935"/>
    </row>
    <row r="189" spans="1:72" x14ac:dyDescent="0.25">
      <c r="A189" s="935" t="s">
        <v>510</v>
      </c>
      <c r="B189" s="935">
        <v>8.99</v>
      </c>
      <c r="C189" s="935">
        <v>10.53</v>
      </c>
      <c r="D189" s="935">
        <v>6.67</v>
      </c>
      <c r="E189" s="935">
        <v>7.08</v>
      </c>
      <c r="F189" s="935">
        <v>8.2100000000000009</v>
      </c>
      <c r="G189" s="935">
        <v>8.68</v>
      </c>
      <c r="H189" s="935">
        <v>8.67</v>
      </c>
      <c r="I189" s="935">
        <v>8.7799999999999994</v>
      </c>
      <c r="J189" s="935">
        <v>9.07</v>
      </c>
      <c r="K189" s="935">
        <v>9.33</v>
      </c>
      <c r="L189" s="935">
        <v>9.5</v>
      </c>
      <c r="M189" s="935">
        <v>9.73</v>
      </c>
      <c r="N189" s="935">
        <v>9.98</v>
      </c>
      <c r="O189" s="935">
        <v>10.32</v>
      </c>
      <c r="P189" s="935">
        <v>10.67</v>
      </c>
      <c r="Q189" s="935">
        <v>11.14</v>
      </c>
      <c r="R189" s="935">
        <v>11.42</v>
      </c>
      <c r="S189" s="935">
        <v>11.55</v>
      </c>
      <c r="T189" s="935">
        <v>11.88</v>
      </c>
      <c r="U189" s="935">
        <v>12.31</v>
      </c>
      <c r="V189" s="935">
        <v>12.79</v>
      </c>
      <c r="W189" s="935">
        <v>13.39</v>
      </c>
      <c r="X189" s="935">
        <v>14.02</v>
      </c>
      <c r="Y189" s="935">
        <v>14.7</v>
      </c>
      <c r="Z189" s="935">
        <v>15.51</v>
      </c>
      <c r="AA189" s="935">
        <v>16.05</v>
      </c>
      <c r="AB189" s="935">
        <v>16.46</v>
      </c>
      <c r="AC189" s="935">
        <v>17.12</v>
      </c>
      <c r="AD189" s="935">
        <v>17.71</v>
      </c>
      <c r="AE189" s="974">
        <v>1.9E-2</v>
      </c>
      <c r="AF189" s="935"/>
      <c r="AG189" s="935"/>
      <c r="AH189" s="935"/>
      <c r="AI189" s="935"/>
      <c r="AJ189" s="935"/>
      <c r="AK189" s="935"/>
      <c r="AL189" s="935"/>
      <c r="AM189" s="935"/>
      <c r="AN189" s="935"/>
      <c r="AO189" s="935"/>
      <c r="AP189" s="935"/>
      <c r="AQ189" s="935"/>
      <c r="AR189" s="935"/>
      <c r="AS189" s="935"/>
      <c r="AT189" s="935"/>
      <c r="AU189" s="935"/>
      <c r="AV189" s="935"/>
      <c r="AW189" s="935"/>
      <c r="AX189" s="935"/>
      <c r="AY189" s="935"/>
      <c r="AZ189" s="935"/>
      <c r="BA189" s="935"/>
      <c r="BB189" s="935"/>
      <c r="BC189" s="935"/>
      <c r="BD189" s="935"/>
      <c r="BE189" s="935"/>
      <c r="BF189" s="935"/>
      <c r="BG189" s="935"/>
      <c r="BH189" s="935"/>
      <c r="BI189" s="935"/>
      <c r="BJ189" s="935"/>
      <c r="BK189" s="935"/>
      <c r="BL189" s="935"/>
      <c r="BM189" s="935"/>
      <c r="BN189" s="935"/>
      <c r="BO189" s="935"/>
      <c r="BP189" s="935"/>
      <c r="BQ189" s="935"/>
      <c r="BR189" s="935"/>
      <c r="BS189" s="935"/>
      <c r="BT189" s="935"/>
    </row>
    <row r="190" spans="1:72" x14ac:dyDescent="0.25">
      <c r="A190" s="935" t="s">
        <v>614</v>
      </c>
      <c r="B190" s="935">
        <v>3.61</v>
      </c>
      <c r="C190" s="935">
        <v>4.49</v>
      </c>
      <c r="D190" s="935">
        <v>4.79</v>
      </c>
      <c r="E190" s="935">
        <v>4.9400000000000004</v>
      </c>
      <c r="F190" s="935">
        <v>5.07</v>
      </c>
      <c r="G190" s="935">
        <v>5.31</v>
      </c>
      <c r="H190" s="935">
        <v>5.44</v>
      </c>
      <c r="I190" s="935">
        <v>5.56</v>
      </c>
      <c r="J190" s="935">
        <v>5.66</v>
      </c>
      <c r="K190" s="935">
        <v>5.77</v>
      </c>
      <c r="L190" s="935">
        <v>5.97</v>
      </c>
      <c r="M190" s="935">
        <v>6.14</v>
      </c>
      <c r="N190" s="935">
        <v>6.34</v>
      </c>
      <c r="O190" s="935">
        <v>6.5</v>
      </c>
      <c r="P190" s="935">
        <v>6.68</v>
      </c>
      <c r="Q190" s="935">
        <v>6.84</v>
      </c>
      <c r="R190" s="935">
        <v>6.98</v>
      </c>
      <c r="S190" s="935">
        <v>7.07</v>
      </c>
      <c r="T190" s="935">
        <v>7.11</v>
      </c>
      <c r="U190" s="935">
        <v>7.15</v>
      </c>
      <c r="V190" s="935">
        <v>7.27</v>
      </c>
      <c r="W190" s="935">
        <v>7.43</v>
      </c>
      <c r="X190" s="935">
        <v>7.55</v>
      </c>
      <c r="Y190" s="935">
        <v>7.72</v>
      </c>
      <c r="Z190" s="935">
        <v>7.86</v>
      </c>
      <c r="AA190" s="935">
        <v>8.02</v>
      </c>
      <c r="AB190" s="935">
        <v>8.18</v>
      </c>
      <c r="AC190" s="935">
        <v>8.33</v>
      </c>
      <c r="AD190" s="935">
        <v>8.5</v>
      </c>
      <c r="AE190" s="974">
        <v>2.4E-2</v>
      </c>
      <c r="AF190" s="935"/>
      <c r="AG190" s="935"/>
      <c r="AH190" s="935"/>
      <c r="AI190" s="935"/>
      <c r="AJ190" s="935"/>
      <c r="AK190" s="935"/>
      <c r="AL190" s="935"/>
      <c r="AM190" s="935"/>
      <c r="AN190" s="935"/>
      <c r="AO190" s="935"/>
      <c r="AP190" s="935"/>
      <c r="AQ190" s="935"/>
      <c r="AR190" s="935"/>
      <c r="AS190" s="935"/>
      <c r="AT190" s="935"/>
      <c r="AU190" s="935"/>
      <c r="AV190" s="935"/>
      <c r="AW190" s="935"/>
      <c r="AX190" s="935"/>
      <c r="AY190" s="935"/>
      <c r="AZ190" s="935"/>
      <c r="BA190" s="935"/>
      <c r="BB190" s="935"/>
      <c r="BC190" s="935"/>
      <c r="BD190" s="935"/>
      <c r="BE190" s="935"/>
      <c r="BF190" s="935"/>
      <c r="BG190" s="935"/>
      <c r="BH190" s="935"/>
      <c r="BI190" s="935"/>
      <c r="BJ190" s="935"/>
      <c r="BK190" s="935"/>
      <c r="BL190" s="935"/>
      <c r="BM190" s="935"/>
      <c r="BN190" s="935"/>
      <c r="BO190" s="935"/>
      <c r="BP190" s="935"/>
      <c r="BQ190" s="935"/>
      <c r="BR190" s="935"/>
      <c r="BS190" s="935"/>
      <c r="BT190" s="935"/>
    </row>
    <row r="191" spans="1:72" x14ac:dyDescent="0.25">
      <c r="A191" s="935" t="s">
        <v>627</v>
      </c>
      <c r="B191" s="935">
        <v>1.8</v>
      </c>
      <c r="C191" s="935">
        <v>2.1</v>
      </c>
      <c r="D191" s="935">
        <v>2.2200000000000002</v>
      </c>
      <c r="E191" s="935">
        <v>2.09</v>
      </c>
      <c r="F191" s="935">
        <v>2.11</v>
      </c>
      <c r="G191" s="935">
        <v>2.14</v>
      </c>
      <c r="H191" s="935">
        <v>2.19</v>
      </c>
      <c r="I191" s="935">
        <v>2.23</v>
      </c>
      <c r="J191" s="935">
        <v>2.2799999999999998</v>
      </c>
      <c r="K191" s="935">
        <v>2.2999999999999998</v>
      </c>
      <c r="L191" s="935">
        <v>2.35</v>
      </c>
      <c r="M191" s="935">
        <v>2.39</v>
      </c>
      <c r="N191" s="935">
        <v>2.4300000000000002</v>
      </c>
      <c r="O191" s="935">
        <v>2.4700000000000002</v>
      </c>
      <c r="P191" s="935">
        <v>2.52</v>
      </c>
      <c r="Q191" s="935">
        <v>2.58</v>
      </c>
      <c r="R191" s="935">
        <v>2.64</v>
      </c>
      <c r="S191" s="935">
        <v>2.69</v>
      </c>
      <c r="T191" s="935">
        <v>2.74</v>
      </c>
      <c r="U191" s="935">
        <v>2.81</v>
      </c>
      <c r="V191" s="935">
        <v>2.87</v>
      </c>
      <c r="W191" s="935">
        <v>2.95</v>
      </c>
      <c r="X191" s="935">
        <v>3.03</v>
      </c>
      <c r="Y191" s="935">
        <v>3.11</v>
      </c>
      <c r="Z191" s="935">
        <v>3.2</v>
      </c>
      <c r="AA191" s="935">
        <v>3.28</v>
      </c>
      <c r="AB191" s="935">
        <v>3.37</v>
      </c>
      <c r="AC191" s="935">
        <v>3.46</v>
      </c>
      <c r="AD191" s="935">
        <v>3.56</v>
      </c>
      <c r="AE191" s="974">
        <v>0.02</v>
      </c>
      <c r="AF191" s="935"/>
      <c r="AG191" s="935"/>
      <c r="AH191" s="935"/>
      <c r="AI191" s="935"/>
      <c r="AJ191" s="935"/>
      <c r="AK191" s="935"/>
      <c r="AL191" s="935"/>
      <c r="AM191" s="935"/>
      <c r="AN191" s="935"/>
      <c r="AO191" s="935"/>
      <c r="AP191" s="935"/>
      <c r="AQ191" s="935"/>
      <c r="AR191" s="935"/>
      <c r="AS191" s="935"/>
      <c r="AT191" s="935"/>
      <c r="AU191" s="935"/>
      <c r="AV191" s="935"/>
      <c r="AW191" s="935"/>
      <c r="AX191" s="935"/>
      <c r="AY191" s="935"/>
      <c r="AZ191" s="935"/>
      <c r="BA191" s="935"/>
      <c r="BB191" s="935"/>
      <c r="BC191" s="935"/>
      <c r="BD191" s="935"/>
      <c r="BE191" s="935"/>
      <c r="BF191" s="935"/>
      <c r="BG191" s="935"/>
      <c r="BH191" s="935"/>
      <c r="BI191" s="935"/>
      <c r="BJ191" s="935"/>
      <c r="BK191" s="935"/>
      <c r="BL191" s="935"/>
      <c r="BM191" s="935"/>
      <c r="BN191" s="935"/>
      <c r="BO191" s="935"/>
      <c r="BP191" s="935"/>
      <c r="BQ191" s="935"/>
      <c r="BR191" s="935"/>
      <c r="BS191" s="935"/>
      <c r="BT191" s="935"/>
    </row>
    <row r="192" spans="1:72" x14ac:dyDescent="0.25">
      <c r="A192" s="935" t="s">
        <v>616</v>
      </c>
      <c r="B192" s="935" t="s">
        <v>788</v>
      </c>
      <c r="C192" s="935" t="s">
        <v>788</v>
      </c>
      <c r="D192" s="935" t="s">
        <v>788</v>
      </c>
      <c r="E192" s="935" t="s">
        <v>788</v>
      </c>
      <c r="F192" s="935">
        <v>1.32</v>
      </c>
      <c r="G192" s="935">
        <v>1.1000000000000001</v>
      </c>
      <c r="H192" s="935">
        <v>1.1200000000000001</v>
      </c>
      <c r="I192" s="935">
        <v>1.55</v>
      </c>
      <c r="J192" s="935">
        <v>1.58</v>
      </c>
      <c r="K192" s="935">
        <v>1.65</v>
      </c>
      <c r="L192" s="935">
        <v>1.72</v>
      </c>
      <c r="M192" s="935">
        <v>1.74</v>
      </c>
      <c r="N192" s="935">
        <v>1.76</v>
      </c>
      <c r="O192" s="935">
        <v>1.79</v>
      </c>
      <c r="P192" s="935">
        <v>1.86</v>
      </c>
      <c r="Q192" s="935">
        <v>1.91</v>
      </c>
      <c r="R192" s="935">
        <v>1.98</v>
      </c>
      <c r="S192" s="935">
        <v>1.99</v>
      </c>
      <c r="T192" s="935">
        <v>2.02</v>
      </c>
      <c r="U192" s="935">
        <v>2.04</v>
      </c>
      <c r="V192" s="935">
        <v>2.0699999999999998</v>
      </c>
      <c r="W192" s="935">
        <v>2.1</v>
      </c>
      <c r="X192" s="935">
        <v>2.13</v>
      </c>
      <c r="Y192" s="935">
        <v>2.1800000000000002</v>
      </c>
      <c r="Z192" s="935">
        <v>2.2200000000000002</v>
      </c>
      <c r="AA192" s="935">
        <v>2.2799999999999998</v>
      </c>
      <c r="AB192" s="935">
        <v>2.35</v>
      </c>
      <c r="AC192" s="935">
        <v>2.44</v>
      </c>
      <c r="AD192" s="935">
        <v>2.5299999999999998</v>
      </c>
      <c r="AE192" s="935" t="s">
        <v>788</v>
      </c>
      <c r="AF192" s="935"/>
      <c r="AG192" s="935"/>
      <c r="AH192" s="935"/>
      <c r="AI192" s="935"/>
      <c r="AJ192" s="935"/>
      <c r="AK192" s="935"/>
      <c r="AL192" s="935"/>
      <c r="AM192" s="935"/>
      <c r="AN192" s="935"/>
      <c r="AO192" s="935"/>
      <c r="AP192" s="935"/>
      <c r="AQ192" s="935"/>
      <c r="AR192" s="935"/>
      <c r="AS192" s="935"/>
      <c r="AT192" s="935"/>
      <c r="AU192" s="935"/>
      <c r="AV192" s="935"/>
      <c r="AW192" s="935"/>
      <c r="AX192" s="935"/>
      <c r="AY192" s="935"/>
      <c r="AZ192" s="935"/>
      <c r="BA192" s="935"/>
      <c r="BB192" s="935"/>
      <c r="BC192" s="935"/>
      <c r="BD192" s="935"/>
      <c r="BE192" s="935"/>
      <c r="BF192" s="935"/>
      <c r="BG192" s="935"/>
      <c r="BH192" s="935"/>
      <c r="BI192" s="935"/>
      <c r="BJ192" s="935"/>
      <c r="BK192" s="935"/>
      <c r="BL192" s="935"/>
      <c r="BM192" s="935"/>
      <c r="BN192" s="935"/>
      <c r="BO192" s="935"/>
      <c r="BP192" s="935"/>
      <c r="BQ192" s="935"/>
      <c r="BR192" s="935"/>
      <c r="BS192" s="935"/>
      <c r="BT192" s="935"/>
    </row>
    <row r="193" spans="1:72" x14ac:dyDescent="0.25">
      <c r="A193" s="935" t="s">
        <v>479</v>
      </c>
      <c r="B193" s="935">
        <v>26.66</v>
      </c>
      <c r="C193" s="935">
        <v>28.81</v>
      </c>
      <c r="D193" s="935">
        <v>28.5</v>
      </c>
      <c r="E193" s="935">
        <v>27.58</v>
      </c>
      <c r="F193" s="935">
        <v>26.29</v>
      </c>
      <c r="G193" s="935">
        <v>27.63</v>
      </c>
      <c r="H193" s="935">
        <v>28.19</v>
      </c>
      <c r="I193" s="935">
        <v>28.46</v>
      </c>
      <c r="J193" s="935">
        <v>28.92</v>
      </c>
      <c r="K193" s="935">
        <v>29.72</v>
      </c>
      <c r="L193" s="935">
        <v>30.45</v>
      </c>
      <c r="M193" s="935">
        <v>31.03</v>
      </c>
      <c r="N193" s="935">
        <v>31.53</v>
      </c>
      <c r="O193" s="935">
        <v>32.4</v>
      </c>
      <c r="P193" s="935">
        <v>33.33</v>
      </c>
      <c r="Q193" s="935">
        <v>34.229999999999997</v>
      </c>
      <c r="R193" s="935">
        <v>35.22</v>
      </c>
      <c r="S193" s="935">
        <v>36.159999999999997</v>
      </c>
      <c r="T193" s="935">
        <v>36.869999999999997</v>
      </c>
      <c r="U193" s="935">
        <v>37.86</v>
      </c>
      <c r="V193" s="935">
        <v>38.94</v>
      </c>
      <c r="W193" s="935">
        <v>40.090000000000003</v>
      </c>
      <c r="X193" s="935">
        <v>41.58</v>
      </c>
      <c r="Y193" s="935">
        <v>43</v>
      </c>
      <c r="Z193" s="935">
        <v>44.53</v>
      </c>
      <c r="AA193" s="935">
        <v>46.07</v>
      </c>
      <c r="AB193" s="935">
        <v>47.34</v>
      </c>
      <c r="AC193" s="935">
        <v>48.78</v>
      </c>
      <c r="AD193" s="935">
        <v>50.19</v>
      </c>
      <c r="AE193" s="974">
        <v>2.1000000000000001E-2</v>
      </c>
      <c r="AF193" s="935"/>
      <c r="AG193" s="935"/>
      <c r="AH193" s="935"/>
      <c r="AI193" s="935"/>
      <c r="AJ193" s="935"/>
      <c r="AK193" s="935"/>
      <c r="AL193" s="935"/>
      <c r="AM193" s="935"/>
      <c r="AN193" s="935"/>
      <c r="AO193" s="935"/>
      <c r="AP193" s="935"/>
      <c r="AQ193" s="935"/>
      <c r="AR193" s="935"/>
      <c r="AS193" s="935"/>
      <c r="AT193" s="935"/>
      <c r="AU193" s="935"/>
      <c r="AV193" s="935"/>
      <c r="AW193" s="935"/>
      <c r="AX193" s="935"/>
      <c r="AY193" s="935"/>
      <c r="AZ193" s="935"/>
      <c r="BA193" s="935"/>
      <c r="BB193" s="935"/>
      <c r="BC193" s="935"/>
      <c r="BD193" s="935"/>
      <c r="BE193" s="935"/>
      <c r="BF193" s="935"/>
      <c r="BG193" s="935"/>
      <c r="BH193" s="935"/>
      <c r="BI193" s="935"/>
      <c r="BJ193" s="935"/>
      <c r="BK193" s="935"/>
      <c r="BL193" s="935"/>
      <c r="BM193" s="935"/>
      <c r="BN193" s="935"/>
      <c r="BO193" s="935"/>
      <c r="BP193" s="935"/>
      <c r="BQ193" s="935"/>
      <c r="BR193" s="935"/>
      <c r="BS193" s="935"/>
      <c r="BT193" s="935"/>
    </row>
    <row r="194" spans="1:72" x14ac:dyDescent="0.25">
      <c r="A194" s="935"/>
      <c r="B194" s="935"/>
      <c r="C194" s="935"/>
      <c r="D194" s="935"/>
      <c r="E194" s="935"/>
      <c r="F194" s="935"/>
      <c r="G194" s="935"/>
      <c r="H194" s="935"/>
      <c r="I194" s="935"/>
      <c r="J194" s="935"/>
      <c r="K194" s="935"/>
      <c r="L194" s="935"/>
      <c r="M194" s="935"/>
      <c r="N194" s="935"/>
      <c r="O194" s="935"/>
      <c r="P194" s="935"/>
      <c r="Q194" s="935"/>
      <c r="R194" s="935"/>
      <c r="S194" s="935"/>
      <c r="T194" s="935"/>
      <c r="U194" s="935"/>
      <c r="V194" s="935"/>
      <c r="W194" s="935"/>
      <c r="X194" s="935"/>
      <c r="Y194" s="935"/>
      <c r="Z194" s="935"/>
      <c r="AA194" s="935"/>
      <c r="AB194" s="935"/>
      <c r="AC194" s="935"/>
      <c r="AD194" s="935"/>
      <c r="AE194" s="935"/>
      <c r="AF194" s="935"/>
      <c r="AG194" s="935"/>
      <c r="AH194" s="935"/>
      <c r="AI194" s="935"/>
      <c r="AJ194" s="935"/>
      <c r="AK194" s="935"/>
      <c r="AL194" s="935"/>
      <c r="AM194" s="935"/>
      <c r="AN194" s="935"/>
      <c r="AO194" s="935"/>
      <c r="AP194" s="935"/>
      <c r="AQ194" s="935"/>
      <c r="AR194" s="935"/>
      <c r="AS194" s="935"/>
      <c r="AT194" s="935"/>
      <c r="AU194" s="935"/>
      <c r="AV194" s="935"/>
      <c r="AW194" s="935"/>
      <c r="AX194" s="935"/>
      <c r="AY194" s="935"/>
      <c r="AZ194" s="935"/>
      <c r="BA194" s="935"/>
      <c r="BB194" s="935"/>
      <c r="BC194" s="935"/>
      <c r="BD194" s="935"/>
      <c r="BE194" s="935"/>
      <c r="BF194" s="935"/>
      <c r="BG194" s="935"/>
      <c r="BH194" s="935"/>
      <c r="BI194" s="935"/>
      <c r="BJ194" s="935"/>
      <c r="BK194" s="935"/>
      <c r="BL194" s="935"/>
      <c r="BM194" s="935"/>
      <c r="BN194" s="935"/>
      <c r="BO194" s="935"/>
      <c r="BP194" s="935"/>
      <c r="BQ194" s="935"/>
      <c r="BR194" s="935"/>
      <c r="BS194" s="935"/>
      <c r="BT194" s="935"/>
    </row>
    <row r="195" spans="1:72" x14ac:dyDescent="0.25">
      <c r="A195" s="935" t="s">
        <v>513</v>
      </c>
      <c r="B195" s="935"/>
      <c r="C195" s="935"/>
      <c r="D195" s="935"/>
      <c r="E195" s="935"/>
      <c r="F195" s="935"/>
      <c r="G195" s="935"/>
      <c r="H195" s="935"/>
      <c r="I195" s="935"/>
      <c r="J195" s="935"/>
      <c r="K195" s="935"/>
      <c r="L195" s="935"/>
      <c r="M195" s="935"/>
      <c r="N195" s="935"/>
      <c r="O195" s="935"/>
      <c r="P195" s="935"/>
      <c r="Q195" s="935"/>
      <c r="R195" s="935"/>
      <c r="S195" s="935"/>
      <c r="T195" s="935"/>
      <c r="U195" s="935"/>
      <c r="V195" s="935"/>
      <c r="W195" s="935"/>
      <c r="X195" s="935"/>
      <c r="Y195" s="935"/>
      <c r="Z195" s="935"/>
      <c r="AA195" s="935"/>
      <c r="AB195" s="935"/>
      <c r="AC195" s="935"/>
      <c r="AD195" s="935"/>
      <c r="AE195" s="935"/>
      <c r="AF195" s="935"/>
      <c r="AG195" s="935"/>
      <c r="AH195" s="935"/>
      <c r="AI195" s="935"/>
      <c r="AJ195" s="935"/>
      <c r="AK195" s="935"/>
      <c r="AL195" s="935"/>
      <c r="AM195" s="935"/>
      <c r="AN195" s="935"/>
      <c r="AO195" s="935"/>
      <c r="AP195" s="935"/>
      <c r="AQ195" s="935"/>
      <c r="AR195" s="935"/>
      <c r="AS195" s="935"/>
      <c r="AT195" s="935"/>
      <c r="AU195" s="935"/>
      <c r="AV195" s="935"/>
      <c r="AW195" s="935"/>
      <c r="AX195" s="935"/>
      <c r="AY195" s="935"/>
      <c r="AZ195" s="935"/>
      <c r="BA195" s="935"/>
      <c r="BB195" s="935"/>
      <c r="BC195" s="935"/>
      <c r="BD195" s="935"/>
      <c r="BE195" s="935"/>
      <c r="BF195" s="935"/>
      <c r="BG195" s="935"/>
      <c r="BH195" s="935"/>
      <c r="BI195" s="935"/>
      <c r="BJ195" s="935"/>
      <c r="BK195" s="935"/>
      <c r="BL195" s="935"/>
      <c r="BM195" s="935"/>
      <c r="BN195" s="935"/>
      <c r="BO195" s="935"/>
      <c r="BP195" s="935"/>
      <c r="BQ195" s="935"/>
      <c r="BR195" s="935"/>
      <c r="BS195" s="935"/>
      <c r="BT195" s="935"/>
    </row>
    <row r="196" spans="1:72" x14ac:dyDescent="0.25">
      <c r="A196" s="935" t="s">
        <v>727</v>
      </c>
      <c r="B196" s="935"/>
      <c r="C196" s="935"/>
      <c r="D196" s="935"/>
      <c r="E196" s="935"/>
      <c r="F196" s="935"/>
      <c r="G196" s="935"/>
      <c r="H196" s="935"/>
      <c r="I196" s="935"/>
      <c r="J196" s="935"/>
      <c r="K196" s="935"/>
      <c r="L196" s="935"/>
      <c r="M196" s="935"/>
      <c r="N196" s="935"/>
      <c r="O196" s="935"/>
      <c r="P196" s="935"/>
      <c r="Q196" s="935"/>
      <c r="R196" s="935"/>
      <c r="S196" s="935"/>
      <c r="T196" s="935"/>
      <c r="U196" s="935"/>
      <c r="V196" s="935"/>
      <c r="W196" s="935"/>
      <c r="X196" s="935"/>
      <c r="Y196" s="935"/>
      <c r="Z196" s="935"/>
      <c r="AA196" s="935"/>
      <c r="AB196" s="935"/>
      <c r="AC196" s="935"/>
      <c r="AD196" s="935"/>
      <c r="AE196" s="935"/>
      <c r="AF196" s="935"/>
      <c r="AG196" s="935"/>
      <c r="AH196" s="935"/>
      <c r="AI196" s="935"/>
      <c r="AJ196" s="935"/>
      <c r="AK196" s="935"/>
      <c r="AL196" s="935"/>
      <c r="AM196" s="935"/>
      <c r="AN196" s="935"/>
      <c r="AO196" s="935"/>
      <c r="AP196" s="935"/>
      <c r="AQ196" s="935"/>
      <c r="AR196" s="935"/>
      <c r="AS196" s="935"/>
      <c r="AT196" s="935"/>
      <c r="AU196" s="935"/>
      <c r="AV196" s="935"/>
      <c r="AW196" s="935"/>
      <c r="AX196" s="935"/>
      <c r="AY196" s="935"/>
      <c r="AZ196" s="935"/>
      <c r="BA196" s="935"/>
      <c r="BB196" s="935"/>
      <c r="BC196" s="935"/>
      <c r="BD196" s="935"/>
      <c r="BE196" s="935"/>
      <c r="BF196" s="935"/>
      <c r="BG196" s="935"/>
      <c r="BH196" s="935"/>
      <c r="BI196" s="935"/>
      <c r="BJ196" s="935"/>
      <c r="BK196" s="935"/>
      <c r="BL196" s="935"/>
      <c r="BM196" s="935"/>
      <c r="BN196" s="935"/>
      <c r="BO196" s="935"/>
      <c r="BP196" s="935"/>
      <c r="BQ196" s="935"/>
      <c r="BR196" s="935"/>
      <c r="BS196" s="935"/>
      <c r="BT196" s="935"/>
    </row>
    <row r="197" spans="1:72" x14ac:dyDescent="0.25">
      <c r="A197" s="935" t="s">
        <v>473</v>
      </c>
      <c r="B197" s="935">
        <v>236.38</v>
      </c>
      <c r="C197" s="935">
        <v>254.66</v>
      </c>
      <c r="D197" s="935">
        <v>235.17</v>
      </c>
      <c r="E197" s="935">
        <v>230.51</v>
      </c>
      <c r="F197" s="935">
        <v>232.31</v>
      </c>
      <c r="G197" s="935">
        <v>244.12</v>
      </c>
      <c r="H197" s="935">
        <v>246.57</v>
      </c>
      <c r="I197" s="935">
        <v>251.37</v>
      </c>
      <c r="J197" s="935">
        <v>257.29000000000002</v>
      </c>
      <c r="K197" s="935">
        <v>266.02999999999997</v>
      </c>
      <c r="L197" s="935">
        <v>273.52999999999997</v>
      </c>
      <c r="M197" s="935">
        <v>281.39999999999998</v>
      </c>
      <c r="N197" s="935">
        <v>289.27</v>
      </c>
      <c r="O197" s="935">
        <v>299.58999999999997</v>
      </c>
      <c r="P197" s="935">
        <v>309.45</v>
      </c>
      <c r="Q197" s="935">
        <v>320.3</v>
      </c>
      <c r="R197" s="935">
        <v>330.83</v>
      </c>
      <c r="S197" s="935">
        <v>341.36</v>
      </c>
      <c r="T197" s="935">
        <v>351.09</v>
      </c>
      <c r="U197" s="935">
        <v>363.72</v>
      </c>
      <c r="V197" s="935">
        <v>377.1</v>
      </c>
      <c r="W197" s="935">
        <v>392.03</v>
      </c>
      <c r="X197" s="935">
        <v>407.27</v>
      </c>
      <c r="Y197" s="935">
        <v>423.22</v>
      </c>
      <c r="Z197" s="935">
        <v>441.01</v>
      </c>
      <c r="AA197" s="935">
        <v>458.4</v>
      </c>
      <c r="AB197" s="935">
        <v>471.99</v>
      </c>
      <c r="AC197" s="935">
        <v>489.06</v>
      </c>
      <c r="AD197" s="935">
        <v>506.03</v>
      </c>
      <c r="AE197" s="974">
        <v>2.5999999999999999E-2</v>
      </c>
      <c r="AF197" s="935"/>
      <c r="AG197" s="935"/>
      <c r="AH197" s="935"/>
      <c r="AI197" s="935"/>
      <c r="AJ197" s="935"/>
      <c r="AK197" s="935"/>
      <c r="AL197" s="935"/>
      <c r="AM197" s="935"/>
      <c r="AN197" s="935"/>
      <c r="AO197" s="935"/>
      <c r="AP197" s="935"/>
      <c r="AQ197" s="935"/>
      <c r="AR197" s="935"/>
      <c r="AS197" s="935"/>
      <c r="AT197" s="935"/>
      <c r="AU197" s="935"/>
      <c r="AV197" s="935"/>
      <c r="AW197" s="935"/>
      <c r="AX197" s="935"/>
      <c r="AY197" s="935"/>
      <c r="AZ197" s="935"/>
      <c r="BA197" s="935"/>
      <c r="BB197" s="935"/>
      <c r="BC197" s="935"/>
      <c r="BD197" s="935"/>
      <c r="BE197" s="935"/>
      <c r="BF197" s="935"/>
      <c r="BG197" s="935"/>
      <c r="BH197" s="935"/>
      <c r="BI197" s="935"/>
      <c r="BJ197" s="935"/>
      <c r="BK197" s="935"/>
      <c r="BL197" s="935"/>
      <c r="BM197" s="935"/>
      <c r="BN197" s="935"/>
      <c r="BO197" s="935"/>
      <c r="BP197" s="935"/>
      <c r="BQ197" s="935"/>
      <c r="BR197" s="935"/>
      <c r="BS197" s="935"/>
      <c r="BT197" s="935"/>
    </row>
    <row r="198" spans="1:72" x14ac:dyDescent="0.25">
      <c r="A198" s="935" t="s">
        <v>480</v>
      </c>
      <c r="B198" s="935">
        <v>172.75</v>
      </c>
      <c r="C198" s="935">
        <v>191.19</v>
      </c>
      <c r="D198" s="935">
        <v>171.27</v>
      </c>
      <c r="E198" s="935">
        <v>168.36</v>
      </c>
      <c r="F198" s="935">
        <v>170.83</v>
      </c>
      <c r="G198" s="935">
        <v>182.74</v>
      </c>
      <c r="H198" s="935">
        <v>187.26</v>
      </c>
      <c r="I198" s="935">
        <v>190.86</v>
      </c>
      <c r="J198" s="935">
        <v>197.13</v>
      </c>
      <c r="K198" s="935">
        <v>205.11</v>
      </c>
      <c r="L198" s="935">
        <v>212.7</v>
      </c>
      <c r="M198" s="935">
        <v>219.88</v>
      </c>
      <c r="N198" s="935">
        <v>226.94</v>
      </c>
      <c r="O198" s="935">
        <v>236.05</v>
      </c>
      <c r="P198" s="935">
        <v>245.65</v>
      </c>
      <c r="Q198" s="935">
        <v>255.58</v>
      </c>
      <c r="R198" s="935">
        <v>265.91000000000003</v>
      </c>
      <c r="S198" s="935">
        <v>275.66000000000003</v>
      </c>
      <c r="T198" s="935">
        <v>285.08999999999997</v>
      </c>
      <c r="U198" s="935">
        <v>296.79000000000002</v>
      </c>
      <c r="V198" s="935">
        <v>309.27</v>
      </c>
      <c r="W198" s="935">
        <v>322.77</v>
      </c>
      <c r="X198" s="935">
        <v>338.69</v>
      </c>
      <c r="Y198" s="935">
        <v>354.37</v>
      </c>
      <c r="Z198" s="935">
        <v>371.75</v>
      </c>
      <c r="AA198" s="935">
        <v>388.64</v>
      </c>
      <c r="AB198" s="935">
        <v>403.84</v>
      </c>
      <c r="AC198" s="935">
        <v>421.34</v>
      </c>
      <c r="AD198" s="935">
        <v>438.74</v>
      </c>
      <c r="AE198" s="974">
        <v>3.1E-2</v>
      </c>
      <c r="AF198" s="935"/>
      <c r="AG198" s="935"/>
      <c r="AH198" s="935"/>
      <c r="AI198" s="935"/>
      <c r="AJ198" s="935"/>
      <c r="AK198" s="935"/>
      <c r="AL198" s="935"/>
      <c r="AM198" s="935"/>
      <c r="AN198" s="935"/>
      <c r="AO198" s="935"/>
      <c r="AP198" s="935"/>
      <c r="AQ198" s="935"/>
      <c r="AR198" s="935"/>
      <c r="AS198" s="935"/>
      <c r="AT198" s="935"/>
      <c r="AU198" s="935"/>
      <c r="AV198" s="935"/>
      <c r="AW198" s="935"/>
      <c r="AX198" s="935"/>
      <c r="AY198" s="935"/>
      <c r="AZ198" s="935"/>
      <c r="BA198" s="935"/>
      <c r="BB198" s="935"/>
      <c r="BC198" s="935"/>
      <c r="BD198" s="935"/>
      <c r="BE198" s="935"/>
      <c r="BF198" s="935"/>
      <c r="BG198" s="935"/>
      <c r="BH198" s="935"/>
      <c r="BI198" s="935"/>
      <c r="BJ198" s="935"/>
      <c r="BK198" s="935"/>
      <c r="BL198" s="935"/>
      <c r="BM198" s="935"/>
      <c r="BN198" s="935"/>
      <c r="BO198" s="935"/>
      <c r="BP198" s="935"/>
      <c r="BQ198" s="935"/>
      <c r="BR198" s="935"/>
      <c r="BS198" s="935"/>
      <c r="BT198" s="935"/>
    </row>
    <row r="199" spans="1:72" x14ac:dyDescent="0.25">
      <c r="A199" s="935" t="s">
        <v>515</v>
      </c>
      <c r="B199" s="935">
        <v>214.89</v>
      </c>
      <c r="C199" s="935">
        <v>244.81</v>
      </c>
      <c r="D199" s="935">
        <v>178.09</v>
      </c>
      <c r="E199" s="935">
        <v>168.16</v>
      </c>
      <c r="F199" s="935">
        <v>181.07</v>
      </c>
      <c r="G199" s="935">
        <v>202.87</v>
      </c>
      <c r="H199" s="935">
        <v>217.07</v>
      </c>
      <c r="I199" s="935">
        <v>227.35</v>
      </c>
      <c r="J199" s="935">
        <v>237.51</v>
      </c>
      <c r="K199" s="935">
        <v>248.26</v>
      </c>
      <c r="L199" s="935">
        <v>257.8</v>
      </c>
      <c r="M199" s="935">
        <v>268.36</v>
      </c>
      <c r="N199" s="935">
        <v>277.25</v>
      </c>
      <c r="O199" s="935">
        <v>287.02999999999997</v>
      </c>
      <c r="P199" s="935">
        <v>295.06</v>
      </c>
      <c r="Q199" s="935">
        <v>303.12</v>
      </c>
      <c r="R199" s="935">
        <v>311.48</v>
      </c>
      <c r="S199" s="935">
        <v>319.60000000000002</v>
      </c>
      <c r="T199" s="935">
        <v>328.09</v>
      </c>
      <c r="U199" s="935">
        <v>336.58</v>
      </c>
      <c r="V199" s="935">
        <v>346.81</v>
      </c>
      <c r="W199" s="935">
        <v>357.93</v>
      </c>
      <c r="X199" s="935">
        <v>370.58</v>
      </c>
      <c r="Y199" s="935">
        <v>382.62</v>
      </c>
      <c r="Z199" s="935">
        <v>397.61</v>
      </c>
      <c r="AA199" s="935">
        <v>409.44</v>
      </c>
      <c r="AB199" s="935">
        <v>421.52</v>
      </c>
      <c r="AC199" s="935">
        <v>436.23</v>
      </c>
      <c r="AD199" s="935">
        <v>449</v>
      </c>
      <c r="AE199" s="974">
        <v>2.3E-2</v>
      </c>
      <c r="AF199" s="935"/>
      <c r="AG199" s="935"/>
      <c r="AH199" s="935"/>
      <c r="AI199" s="935"/>
      <c r="AJ199" s="935"/>
      <c r="AK199" s="935"/>
      <c r="AL199" s="935"/>
      <c r="AM199" s="935"/>
      <c r="AN199" s="935"/>
      <c r="AO199" s="935"/>
      <c r="AP199" s="935"/>
      <c r="AQ199" s="935"/>
      <c r="AR199" s="935"/>
      <c r="AS199" s="935"/>
      <c r="AT199" s="935"/>
      <c r="AU199" s="935"/>
      <c r="AV199" s="935"/>
      <c r="AW199" s="935"/>
      <c r="AX199" s="935"/>
      <c r="AY199" s="935"/>
      <c r="AZ199" s="935"/>
      <c r="BA199" s="935"/>
      <c r="BB199" s="935"/>
      <c r="BC199" s="935"/>
      <c r="BD199" s="935"/>
      <c r="BE199" s="935"/>
      <c r="BF199" s="935"/>
      <c r="BG199" s="935"/>
      <c r="BH199" s="935"/>
      <c r="BI199" s="935"/>
      <c r="BJ199" s="935"/>
      <c r="BK199" s="935"/>
      <c r="BL199" s="935"/>
      <c r="BM199" s="935"/>
      <c r="BN199" s="935"/>
      <c r="BO199" s="935"/>
      <c r="BP199" s="935"/>
      <c r="BQ199" s="935"/>
      <c r="BR199" s="935"/>
      <c r="BS199" s="935"/>
      <c r="BT199" s="935"/>
    </row>
    <row r="200" spans="1:72" x14ac:dyDescent="0.25">
      <c r="A200" s="935" t="s">
        <v>487</v>
      </c>
      <c r="B200" s="935">
        <v>599.94000000000005</v>
      </c>
      <c r="C200" s="935">
        <v>705.86</v>
      </c>
      <c r="D200" s="935">
        <v>472.76</v>
      </c>
      <c r="E200" s="935">
        <v>523.54</v>
      </c>
      <c r="F200" s="935">
        <v>551.54</v>
      </c>
      <c r="G200" s="935">
        <v>600.52</v>
      </c>
      <c r="H200" s="935">
        <v>663.3</v>
      </c>
      <c r="I200" s="935">
        <v>702.29</v>
      </c>
      <c r="J200" s="935">
        <v>730.78</v>
      </c>
      <c r="K200" s="935">
        <v>762.17</v>
      </c>
      <c r="L200" s="935">
        <v>797.53</v>
      </c>
      <c r="M200" s="935">
        <v>828.81</v>
      </c>
      <c r="N200" s="935">
        <v>859.4</v>
      </c>
      <c r="O200" s="935">
        <v>891.87</v>
      </c>
      <c r="P200" s="935">
        <v>920.68</v>
      </c>
      <c r="Q200" s="935">
        <v>948.26</v>
      </c>
      <c r="R200" s="935">
        <v>986.59</v>
      </c>
      <c r="S200" s="935">
        <v>1021.27</v>
      </c>
      <c r="T200" s="935">
        <v>1062.24</v>
      </c>
      <c r="U200" s="935">
        <v>1101.69</v>
      </c>
      <c r="V200" s="935">
        <v>1143.03</v>
      </c>
      <c r="W200" s="935">
        <v>1188</v>
      </c>
      <c r="X200" s="935">
        <v>1232.23</v>
      </c>
      <c r="Y200" s="935">
        <v>1277.8499999999999</v>
      </c>
      <c r="Z200" s="935">
        <v>1321.12</v>
      </c>
      <c r="AA200" s="935">
        <v>1371.03</v>
      </c>
      <c r="AB200" s="935">
        <v>1423.78</v>
      </c>
      <c r="AC200" s="935">
        <v>1471.43</v>
      </c>
      <c r="AD200" s="935">
        <v>1525.95</v>
      </c>
      <c r="AE200" s="974">
        <v>2.9000000000000001E-2</v>
      </c>
      <c r="AF200" s="935"/>
      <c r="AG200" s="935"/>
      <c r="AH200" s="935"/>
      <c r="AI200" s="935"/>
      <c r="AJ200" s="935"/>
      <c r="AK200" s="935"/>
      <c r="AL200" s="935"/>
      <c r="AM200" s="935"/>
      <c r="AN200" s="935"/>
      <c r="AO200" s="935"/>
      <c r="AP200" s="935"/>
      <c r="AQ200" s="935"/>
      <c r="AR200" s="935"/>
      <c r="AS200" s="935"/>
      <c r="AT200" s="935"/>
      <c r="AU200" s="935"/>
      <c r="AV200" s="935"/>
      <c r="AW200" s="935"/>
      <c r="AX200" s="935"/>
      <c r="AY200" s="935"/>
      <c r="AZ200" s="935"/>
      <c r="BA200" s="935"/>
      <c r="BB200" s="935"/>
      <c r="BC200" s="935"/>
      <c r="BD200" s="935"/>
      <c r="BE200" s="935"/>
      <c r="BF200" s="935"/>
      <c r="BG200" s="935"/>
      <c r="BH200" s="935"/>
      <c r="BI200" s="935"/>
      <c r="BJ200" s="935"/>
      <c r="BK200" s="935"/>
      <c r="BL200" s="935"/>
      <c r="BM200" s="935"/>
      <c r="BN200" s="935"/>
      <c r="BO200" s="935"/>
      <c r="BP200" s="935"/>
      <c r="BQ200" s="935"/>
      <c r="BR200" s="935"/>
      <c r="BS200" s="935"/>
      <c r="BT200" s="935"/>
    </row>
    <row r="201" spans="1:72" x14ac:dyDescent="0.25">
      <c r="A201" s="935" t="s">
        <v>516</v>
      </c>
      <c r="B201" s="935">
        <v>1223.96</v>
      </c>
      <c r="C201" s="935">
        <v>1396.52</v>
      </c>
      <c r="D201" s="935">
        <v>1057.29</v>
      </c>
      <c r="E201" s="935">
        <v>1090.58</v>
      </c>
      <c r="F201" s="935">
        <v>1135.76</v>
      </c>
      <c r="G201" s="935">
        <v>1230.25</v>
      </c>
      <c r="H201" s="935">
        <v>1314.19</v>
      </c>
      <c r="I201" s="935">
        <v>1371.86</v>
      </c>
      <c r="J201" s="935">
        <v>1422.72</v>
      </c>
      <c r="K201" s="935">
        <v>1481.57</v>
      </c>
      <c r="L201" s="935">
        <v>1541.56</v>
      </c>
      <c r="M201" s="935">
        <v>1598.45</v>
      </c>
      <c r="N201" s="935">
        <v>1652.86</v>
      </c>
      <c r="O201" s="935">
        <v>1714.54</v>
      </c>
      <c r="P201" s="935">
        <v>1770.84</v>
      </c>
      <c r="Q201" s="935">
        <v>1827.25</v>
      </c>
      <c r="R201" s="935">
        <v>1894.81</v>
      </c>
      <c r="S201" s="935">
        <v>1957.89</v>
      </c>
      <c r="T201" s="935">
        <v>2026.51</v>
      </c>
      <c r="U201" s="935">
        <v>2098.7800000000002</v>
      </c>
      <c r="V201" s="935">
        <v>2176.1999999999998</v>
      </c>
      <c r="W201" s="935">
        <v>2260.73</v>
      </c>
      <c r="X201" s="935">
        <v>2348.7600000000002</v>
      </c>
      <c r="Y201" s="935">
        <v>2438.06</v>
      </c>
      <c r="Z201" s="935">
        <v>2531.5</v>
      </c>
      <c r="AA201" s="935">
        <v>2627.51</v>
      </c>
      <c r="AB201" s="935">
        <v>2721.14</v>
      </c>
      <c r="AC201" s="935">
        <v>2818.06</v>
      </c>
      <c r="AD201" s="935">
        <v>2919.72</v>
      </c>
      <c r="AE201" s="974">
        <v>2.8000000000000001E-2</v>
      </c>
      <c r="AF201" s="935"/>
      <c r="AG201" s="935"/>
      <c r="AH201" s="935"/>
      <c r="AI201" s="935"/>
      <c r="AJ201" s="935"/>
      <c r="AK201" s="935"/>
      <c r="AL201" s="935"/>
      <c r="AM201" s="935"/>
      <c r="AN201" s="935"/>
      <c r="AO201" s="935"/>
      <c r="AP201" s="935"/>
      <c r="AQ201" s="935"/>
      <c r="AR201" s="935"/>
      <c r="AS201" s="935"/>
      <c r="AT201" s="935"/>
      <c r="AU201" s="935"/>
      <c r="AV201" s="935"/>
      <c r="AW201" s="935"/>
      <c r="AX201" s="935"/>
      <c r="AY201" s="935"/>
      <c r="AZ201" s="935"/>
      <c r="BA201" s="935"/>
      <c r="BB201" s="935"/>
      <c r="BC201" s="935"/>
      <c r="BD201" s="935"/>
      <c r="BE201" s="935"/>
      <c r="BF201" s="935"/>
      <c r="BG201" s="935"/>
      <c r="BH201" s="935"/>
      <c r="BI201" s="935"/>
      <c r="BJ201" s="935"/>
      <c r="BK201" s="935"/>
      <c r="BL201" s="935"/>
      <c r="BM201" s="935"/>
      <c r="BN201" s="935"/>
      <c r="BO201" s="935"/>
      <c r="BP201" s="935"/>
      <c r="BQ201" s="935"/>
      <c r="BR201" s="935"/>
      <c r="BS201" s="935"/>
      <c r="BT201" s="935"/>
    </row>
    <row r="202" spans="1:72" x14ac:dyDescent="0.25">
      <c r="A202" s="935" t="s">
        <v>629</v>
      </c>
      <c r="B202" s="935">
        <v>0.04</v>
      </c>
      <c r="C202" s="935">
        <v>0.17</v>
      </c>
      <c r="D202" s="935">
        <v>0.04</v>
      </c>
      <c r="E202" s="935">
        <v>0.09</v>
      </c>
      <c r="F202" s="935">
        <v>0.11</v>
      </c>
      <c r="G202" s="935">
        <v>0.13</v>
      </c>
      <c r="H202" s="935">
        <v>0.16</v>
      </c>
      <c r="I202" s="935">
        <v>0.18</v>
      </c>
      <c r="J202" s="935">
        <v>0.24</v>
      </c>
      <c r="K202" s="935">
        <v>2.65</v>
      </c>
      <c r="L202" s="935">
        <v>3.64</v>
      </c>
      <c r="M202" s="935">
        <v>4.71</v>
      </c>
      <c r="N202" s="935">
        <v>6.36</v>
      </c>
      <c r="O202" s="935">
        <v>8.6999999999999993</v>
      </c>
      <c r="P202" s="935">
        <v>11.96</v>
      </c>
      <c r="Q202" s="935">
        <v>22.18</v>
      </c>
      <c r="R202" s="935">
        <v>20.28</v>
      </c>
      <c r="S202" s="935">
        <v>19.329999999999998</v>
      </c>
      <c r="T202" s="935">
        <v>20.440000000000001</v>
      </c>
      <c r="U202" s="935">
        <v>23.52</v>
      </c>
      <c r="V202" s="935">
        <v>26.81</v>
      </c>
      <c r="W202" s="935">
        <v>29.72</v>
      </c>
      <c r="X202" s="935">
        <v>34.94</v>
      </c>
      <c r="Y202" s="935">
        <v>37.81</v>
      </c>
      <c r="Z202" s="935">
        <v>49.23</v>
      </c>
      <c r="AA202" s="935">
        <v>57.96</v>
      </c>
      <c r="AB202" s="935">
        <v>65.66</v>
      </c>
      <c r="AC202" s="935">
        <v>79.569999999999993</v>
      </c>
      <c r="AD202" s="935">
        <v>94.81</v>
      </c>
      <c r="AE202" s="974">
        <v>0.26500000000000001</v>
      </c>
      <c r="AF202" s="935"/>
      <c r="AG202" s="935"/>
      <c r="AH202" s="935"/>
      <c r="AI202" s="935"/>
      <c r="AJ202" s="935"/>
      <c r="AK202" s="935"/>
      <c r="AL202" s="935"/>
      <c r="AM202" s="935"/>
      <c r="AN202" s="935"/>
      <c r="AO202" s="935"/>
      <c r="AP202" s="935"/>
      <c r="AQ202" s="935"/>
      <c r="AR202" s="935"/>
      <c r="AS202" s="935"/>
      <c r="AT202" s="935"/>
      <c r="AU202" s="935"/>
      <c r="AV202" s="935"/>
      <c r="AW202" s="935"/>
      <c r="AX202" s="935"/>
      <c r="AY202" s="935"/>
      <c r="AZ202" s="935"/>
      <c r="BA202" s="935"/>
      <c r="BB202" s="935"/>
      <c r="BC202" s="935"/>
      <c r="BD202" s="935"/>
      <c r="BE202" s="935"/>
      <c r="BF202" s="935"/>
      <c r="BG202" s="935"/>
      <c r="BH202" s="935"/>
      <c r="BI202" s="935"/>
      <c r="BJ202" s="935"/>
      <c r="BK202" s="935"/>
      <c r="BL202" s="935"/>
      <c r="BM202" s="935"/>
      <c r="BN202" s="935"/>
      <c r="BO202" s="935"/>
      <c r="BP202" s="935"/>
      <c r="BQ202" s="935"/>
      <c r="BR202" s="935"/>
      <c r="BS202" s="935"/>
      <c r="BT202" s="935"/>
    </row>
    <row r="203" spans="1:72" x14ac:dyDescent="0.25">
      <c r="A203" s="935" t="s">
        <v>518</v>
      </c>
      <c r="B203" s="935">
        <v>1224</v>
      </c>
      <c r="C203" s="935">
        <v>1396.69</v>
      </c>
      <c r="D203" s="935">
        <v>1057.33</v>
      </c>
      <c r="E203" s="935">
        <v>1090.67</v>
      </c>
      <c r="F203" s="935">
        <v>1135.8699999999999</v>
      </c>
      <c r="G203" s="935">
        <v>1230.3800000000001</v>
      </c>
      <c r="H203" s="935">
        <v>1314.36</v>
      </c>
      <c r="I203" s="935">
        <v>1372.05</v>
      </c>
      <c r="J203" s="935">
        <v>1422.95</v>
      </c>
      <c r="K203" s="935">
        <v>1484.22</v>
      </c>
      <c r="L203" s="935">
        <v>1545.2</v>
      </c>
      <c r="M203" s="935">
        <v>1603.16</v>
      </c>
      <c r="N203" s="935">
        <v>1659.22</v>
      </c>
      <c r="O203" s="935">
        <v>1723.24</v>
      </c>
      <c r="P203" s="935">
        <v>1782.8</v>
      </c>
      <c r="Q203" s="935">
        <v>1849.44</v>
      </c>
      <c r="R203" s="935">
        <v>1915.09</v>
      </c>
      <c r="S203" s="935">
        <v>1977.22</v>
      </c>
      <c r="T203" s="935">
        <v>2046.94</v>
      </c>
      <c r="U203" s="935">
        <v>2122.3000000000002</v>
      </c>
      <c r="V203" s="935">
        <v>2203.0100000000002</v>
      </c>
      <c r="W203" s="935">
        <v>2290.46</v>
      </c>
      <c r="X203" s="935">
        <v>2383.6999999999998</v>
      </c>
      <c r="Y203" s="935">
        <v>2475.87</v>
      </c>
      <c r="Z203" s="935">
        <v>2580.73</v>
      </c>
      <c r="AA203" s="935">
        <v>2685.47</v>
      </c>
      <c r="AB203" s="935">
        <v>2786.79</v>
      </c>
      <c r="AC203" s="935">
        <v>2897.63</v>
      </c>
      <c r="AD203" s="935">
        <v>3014.53</v>
      </c>
      <c r="AE203" s="974">
        <v>2.9000000000000001E-2</v>
      </c>
      <c r="AF203" s="935"/>
      <c r="AG203" s="935"/>
      <c r="AH203" s="935"/>
      <c r="AI203" s="935"/>
      <c r="AJ203" s="935"/>
      <c r="AK203" s="935"/>
      <c r="AL203" s="935"/>
      <c r="AM203" s="935"/>
      <c r="AN203" s="935"/>
      <c r="AO203" s="935"/>
      <c r="AP203" s="935"/>
      <c r="AQ203" s="935"/>
      <c r="AR203" s="935"/>
      <c r="AS203" s="935"/>
      <c r="AT203" s="935"/>
      <c r="AU203" s="935"/>
      <c r="AV203" s="935"/>
      <c r="AW203" s="935"/>
      <c r="AX203" s="935"/>
      <c r="AY203" s="935"/>
      <c r="AZ203" s="935"/>
      <c r="BA203" s="935"/>
      <c r="BB203" s="935"/>
      <c r="BC203" s="935"/>
      <c r="BD203" s="935"/>
      <c r="BE203" s="935"/>
      <c r="BF203" s="935"/>
      <c r="BG203" s="935"/>
      <c r="BH203" s="935"/>
      <c r="BI203" s="935"/>
      <c r="BJ203" s="935"/>
      <c r="BK203" s="935"/>
      <c r="BL203" s="935"/>
      <c r="BM203" s="935"/>
      <c r="BN203" s="935"/>
      <c r="BO203" s="935"/>
      <c r="BP203" s="935"/>
      <c r="BQ203" s="935"/>
      <c r="BR203" s="935"/>
      <c r="BS203" s="935"/>
      <c r="BT203" s="935"/>
    </row>
    <row r="204" spans="1:72" x14ac:dyDescent="0.25">
      <c r="A204" s="935"/>
      <c r="B204" s="935"/>
      <c r="C204" s="935"/>
      <c r="D204" s="935"/>
      <c r="E204" s="935"/>
      <c r="F204" s="935"/>
      <c r="G204" s="935"/>
      <c r="H204" s="935"/>
      <c r="I204" s="935"/>
      <c r="J204" s="935"/>
      <c r="K204" s="935"/>
      <c r="L204" s="935"/>
      <c r="M204" s="935"/>
      <c r="N204" s="935"/>
      <c r="O204" s="935"/>
      <c r="P204" s="935"/>
      <c r="Q204" s="935"/>
      <c r="R204" s="935"/>
      <c r="S204" s="935"/>
      <c r="T204" s="935"/>
      <c r="U204" s="935"/>
      <c r="V204" s="935"/>
      <c r="W204" s="935"/>
      <c r="X204" s="935"/>
      <c r="Y204" s="935"/>
      <c r="Z204" s="935"/>
      <c r="AA204" s="935"/>
      <c r="AB204" s="935"/>
      <c r="AC204" s="935"/>
      <c r="AD204" s="935"/>
      <c r="AE204" s="935"/>
      <c r="AF204" s="935"/>
      <c r="AG204" s="935"/>
      <c r="AH204" s="935"/>
      <c r="AI204" s="935"/>
      <c r="AJ204" s="935"/>
      <c r="AK204" s="935"/>
      <c r="AL204" s="935"/>
      <c r="AM204" s="935"/>
      <c r="AN204" s="935"/>
      <c r="AO204" s="935"/>
      <c r="AP204" s="935"/>
      <c r="AQ204" s="935"/>
      <c r="AR204" s="935"/>
      <c r="AS204" s="935"/>
      <c r="AT204" s="935"/>
      <c r="AU204" s="935"/>
      <c r="AV204" s="935"/>
      <c r="AW204" s="935"/>
      <c r="AX204" s="935"/>
      <c r="AY204" s="935"/>
      <c r="AZ204" s="935"/>
      <c r="BA204" s="935"/>
      <c r="BB204" s="935"/>
      <c r="BC204" s="935"/>
      <c r="BD204" s="935"/>
      <c r="BE204" s="935"/>
      <c r="BF204" s="935"/>
      <c r="BG204" s="935"/>
      <c r="BH204" s="935"/>
      <c r="BI204" s="935"/>
      <c r="BJ204" s="935"/>
      <c r="BK204" s="935"/>
      <c r="BL204" s="935"/>
      <c r="BM204" s="935"/>
      <c r="BN204" s="935"/>
      <c r="BO204" s="935"/>
      <c r="BP204" s="935"/>
      <c r="BQ204" s="935"/>
      <c r="BR204" s="935"/>
      <c r="BS204" s="935"/>
      <c r="BT204" s="935"/>
    </row>
    <row r="205" spans="1:72" x14ac:dyDescent="0.25">
      <c r="A205" s="935"/>
      <c r="B205" s="935"/>
      <c r="C205" s="935"/>
      <c r="D205" s="935"/>
      <c r="E205" s="935"/>
      <c r="F205" s="935"/>
      <c r="G205" s="935"/>
      <c r="H205" s="935"/>
      <c r="I205" s="935"/>
      <c r="J205" s="935"/>
      <c r="K205" s="935"/>
      <c r="L205" s="935"/>
      <c r="M205" s="935"/>
      <c r="N205" s="935"/>
      <c r="O205" s="935"/>
      <c r="P205" s="935"/>
      <c r="Q205" s="935"/>
      <c r="R205" s="935"/>
      <c r="S205" s="935"/>
      <c r="T205" s="935"/>
      <c r="U205" s="935"/>
      <c r="V205" s="935"/>
      <c r="W205" s="935"/>
      <c r="X205" s="935"/>
      <c r="Y205" s="935"/>
      <c r="Z205" s="935"/>
      <c r="AA205" s="935"/>
      <c r="AB205" s="935"/>
      <c r="AC205" s="935"/>
      <c r="AD205" s="935"/>
      <c r="AE205" s="935"/>
      <c r="AF205" s="935"/>
      <c r="AG205" s="935"/>
      <c r="AH205" s="935"/>
      <c r="AI205" s="935"/>
      <c r="AJ205" s="935"/>
      <c r="AK205" s="935"/>
      <c r="AL205" s="935"/>
      <c r="AM205" s="935"/>
      <c r="AN205" s="935"/>
      <c r="AO205" s="935"/>
      <c r="AP205" s="935"/>
      <c r="AQ205" s="935"/>
      <c r="AR205" s="935"/>
      <c r="AS205" s="935"/>
      <c r="AT205" s="935"/>
      <c r="AU205" s="935"/>
      <c r="AV205" s="935"/>
      <c r="AW205" s="935"/>
      <c r="AX205" s="935"/>
      <c r="AY205" s="935"/>
      <c r="AZ205" s="935"/>
      <c r="BA205" s="935"/>
      <c r="BB205" s="935"/>
      <c r="BC205" s="935"/>
      <c r="BD205" s="935"/>
      <c r="BE205" s="935"/>
      <c r="BF205" s="935"/>
      <c r="BG205" s="935"/>
      <c r="BH205" s="935"/>
      <c r="BI205" s="935"/>
      <c r="BJ205" s="935"/>
      <c r="BK205" s="935"/>
      <c r="BL205" s="935"/>
      <c r="BM205" s="935"/>
      <c r="BN205" s="935"/>
      <c r="BO205" s="935"/>
      <c r="BP205" s="935"/>
      <c r="BQ205" s="935"/>
      <c r="BR205" s="935"/>
      <c r="BS205" s="935"/>
      <c r="BT205" s="935"/>
    </row>
    <row r="206" spans="1:72" x14ac:dyDescent="0.25">
      <c r="A206" s="935"/>
      <c r="B206" s="935"/>
      <c r="C206" s="935"/>
      <c r="D206" s="935"/>
      <c r="E206" s="935"/>
      <c r="F206" s="935"/>
      <c r="G206" s="935"/>
      <c r="H206" s="935"/>
      <c r="I206" s="935"/>
      <c r="J206" s="935"/>
      <c r="K206" s="935"/>
      <c r="L206" s="935"/>
      <c r="M206" s="935"/>
      <c r="N206" s="935"/>
      <c r="O206" s="935"/>
      <c r="P206" s="935"/>
      <c r="Q206" s="935"/>
      <c r="R206" s="935"/>
      <c r="S206" s="935"/>
      <c r="T206" s="935"/>
      <c r="U206" s="935"/>
      <c r="V206" s="935"/>
      <c r="W206" s="935"/>
      <c r="X206" s="935"/>
      <c r="Y206" s="935"/>
      <c r="Z206" s="935"/>
      <c r="AA206" s="935"/>
      <c r="AB206" s="935"/>
      <c r="AC206" s="935"/>
      <c r="AD206" s="935"/>
      <c r="AE206" s="935"/>
      <c r="AF206" s="935"/>
      <c r="AG206" s="935"/>
      <c r="AH206" s="935"/>
      <c r="AI206" s="935"/>
      <c r="AJ206" s="935"/>
      <c r="AK206" s="935"/>
      <c r="AL206" s="935"/>
      <c r="AM206" s="935"/>
      <c r="AN206" s="935"/>
      <c r="AO206" s="935"/>
      <c r="AP206" s="935"/>
      <c r="AQ206" s="935"/>
      <c r="AR206" s="935"/>
      <c r="AS206" s="935"/>
      <c r="AT206" s="935"/>
      <c r="AU206" s="935"/>
      <c r="AV206" s="935"/>
      <c r="AW206" s="935"/>
      <c r="AX206" s="935"/>
      <c r="AY206" s="935"/>
      <c r="AZ206" s="935"/>
      <c r="BA206" s="935"/>
      <c r="BB206" s="935"/>
      <c r="BC206" s="935"/>
      <c r="BD206" s="935"/>
      <c r="BE206" s="935"/>
      <c r="BF206" s="935"/>
      <c r="BG206" s="935"/>
      <c r="BH206" s="935"/>
      <c r="BI206" s="935"/>
      <c r="BJ206" s="935"/>
      <c r="BK206" s="935"/>
      <c r="BL206" s="935"/>
      <c r="BM206" s="935"/>
      <c r="BN206" s="935"/>
      <c r="BO206" s="935"/>
      <c r="BP206" s="935"/>
      <c r="BQ206" s="935"/>
      <c r="BR206" s="935"/>
      <c r="BS206" s="935"/>
      <c r="BT206" s="935"/>
    </row>
    <row r="207" spans="1:72" x14ac:dyDescent="0.25">
      <c r="A207" s="935" t="s">
        <v>630</v>
      </c>
      <c r="B207" s="935"/>
      <c r="C207" s="935"/>
      <c r="D207" s="935"/>
      <c r="E207" s="935"/>
      <c r="F207" s="935"/>
      <c r="G207" s="935"/>
      <c r="H207" s="935"/>
      <c r="I207" s="935"/>
      <c r="J207" s="935"/>
      <c r="K207" s="935"/>
      <c r="L207" s="935"/>
      <c r="M207" s="935"/>
      <c r="N207" s="935"/>
      <c r="O207" s="935"/>
      <c r="P207" s="935"/>
      <c r="Q207" s="935"/>
      <c r="R207" s="935"/>
      <c r="S207" s="935"/>
      <c r="T207" s="935"/>
      <c r="U207" s="935"/>
      <c r="V207" s="935"/>
      <c r="W207" s="935"/>
      <c r="X207" s="935"/>
      <c r="Y207" s="935"/>
      <c r="Z207" s="935"/>
      <c r="AA207" s="935"/>
      <c r="AB207" s="935"/>
      <c r="AC207" s="935"/>
      <c r="AD207" s="935"/>
      <c r="AE207" s="935"/>
      <c r="AF207" s="935"/>
      <c r="AG207" s="935"/>
      <c r="AH207" s="935"/>
      <c r="AI207" s="935"/>
      <c r="AJ207" s="935"/>
      <c r="AK207" s="935"/>
      <c r="AL207" s="935"/>
      <c r="AM207" s="935"/>
      <c r="AN207" s="935"/>
      <c r="AO207" s="935"/>
      <c r="AP207" s="935"/>
      <c r="AQ207" s="935"/>
      <c r="AR207" s="935"/>
      <c r="AS207" s="935"/>
      <c r="AT207" s="935"/>
      <c r="AU207" s="935"/>
      <c r="AV207" s="935"/>
      <c r="AW207" s="935"/>
      <c r="AX207" s="935"/>
      <c r="AY207" s="935"/>
      <c r="AZ207" s="935"/>
      <c r="BA207" s="935"/>
      <c r="BB207" s="935"/>
      <c r="BC207" s="935"/>
      <c r="BD207" s="935"/>
      <c r="BE207" s="935"/>
      <c r="BF207" s="935"/>
      <c r="BG207" s="935"/>
      <c r="BH207" s="935"/>
      <c r="BI207" s="935"/>
      <c r="BJ207" s="935"/>
      <c r="BK207" s="935"/>
      <c r="BL207" s="935"/>
      <c r="BM207" s="935"/>
      <c r="BN207" s="935"/>
      <c r="BO207" s="935"/>
      <c r="BP207" s="935"/>
      <c r="BQ207" s="935"/>
      <c r="BR207" s="935"/>
      <c r="BS207" s="935"/>
      <c r="BT207" s="935"/>
    </row>
    <row r="208" spans="1:72" x14ac:dyDescent="0.25">
      <c r="A208" s="935" t="s">
        <v>631</v>
      </c>
      <c r="B208" s="935"/>
      <c r="C208" s="935"/>
      <c r="D208" s="935"/>
      <c r="E208" s="935"/>
      <c r="F208" s="935"/>
      <c r="G208" s="935"/>
      <c r="H208" s="935"/>
      <c r="I208" s="935"/>
      <c r="J208" s="935"/>
      <c r="K208" s="935"/>
      <c r="L208" s="935"/>
      <c r="M208" s="935"/>
      <c r="N208" s="935"/>
      <c r="O208" s="935"/>
      <c r="P208" s="935"/>
      <c r="Q208" s="935"/>
      <c r="R208" s="935"/>
      <c r="S208" s="935"/>
      <c r="T208" s="935"/>
      <c r="U208" s="935"/>
      <c r="V208" s="935"/>
      <c r="W208" s="935"/>
      <c r="X208" s="935"/>
      <c r="Y208" s="935"/>
      <c r="Z208" s="935"/>
      <c r="AA208" s="935"/>
      <c r="AB208" s="935"/>
      <c r="AC208" s="935"/>
      <c r="AD208" s="935"/>
      <c r="AE208" s="935"/>
      <c r="AF208" s="935"/>
      <c r="AG208" s="935"/>
      <c r="AH208" s="935"/>
      <c r="AI208" s="935"/>
      <c r="AJ208" s="935"/>
      <c r="AK208" s="935"/>
      <c r="AL208" s="935"/>
      <c r="AM208" s="935"/>
      <c r="AN208" s="935"/>
      <c r="AO208" s="935"/>
      <c r="AP208" s="935"/>
      <c r="AQ208" s="935"/>
      <c r="AR208" s="935"/>
      <c r="AS208" s="935"/>
      <c r="AT208" s="935"/>
      <c r="AU208" s="935"/>
      <c r="AV208" s="935"/>
      <c r="AW208" s="935"/>
      <c r="AX208" s="935"/>
      <c r="AY208" s="935"/>
      <c r="AZ208" s="935"/>
      <c r="BA208" s="935"/>
      <c r="BB208" s="935"/>
      <c r="BC208" s="935"/>
      <c r="BD208" s="935"/>
      <c r="BE208" s="935"/>
      <c r="BF208" s="935"/>
      <c r="BG208" s="935"/>
      <c r="BH208" s="935"/>
      <c r="BI208" s="935"/>
      <c r="BJ208" s="935"/>
      <c r="BK208" s="935"/>
      <c r="BL208" s="935"/>
      <c r="BM208" s="935"/>
      <c r="BN208" s="935"/>
      <c r="BO208" s="935"/>
      <c r="BP208" s="935"/>
      <c r="BQ208" s="935"/>
      <c r="BR208" s="935"/>
      <c r="BS208" s="935"/>
      <c r="BT208" s="935"/>
    </row>
    <row r="209" spans="1:72" x14ac:dyDescent="0.25">
      <c r="A209" s="935" t="s">
        <v>632</v>
      </c>
      <c r="B209" s="935"/>
      <c r="C209" s="935"/>
      <c r="D209" s="935"/>
      <c r="E209" s="935"/>
      <c r="F209" s="935"/>
      <c r="G209" s="935"/>
      <c r="H209" s="935"/>
      <c r="I209" s="935"/>
      <c r="J209" s="935"/>
      <c r="K209" s="935"/>
      <c r="L209" s="935"/>
      <c r="M209" s="935"/>
      <c r="N209" s="935"/>
      <c r="O209" s="935"/>
      <c r="P209" s="935"/>
      <c r="Q209" s="935"/>
      <c r="R209" s="935"/>
      <c r="S209" s="935"/>
      <c r="T209" s="935"/>
      <c r="U209" s="935"/>
      <c r="V209" s="935"/>
      <c r="W209" s="935"/>
      <c r="X209" s="935"/>
      <c r="Y209" s="935"/>
      <c r="Z209" s="935"/>
      <c r="AA209" s="935"/>
      <c r="AB209" s="935"/>
      <c r="AC209" s="935"/>
      <c r="AD209" s="935"/>
      <c r="AE209" s="935"/>
      <c r="AF209" s="935"/>
      <c r="AG209" s="935"/>
      <c r="AH209" s="935"/>
      <c r="AI209" s="935"/>
      <c r="AJ209" s="935"/>
      <c r="AK209" s="935"/>
      <c r="AL209" s="935"/>
      <c r="AM209" s="935"/>
      <c r="AN209" s="935"/>
      <c r="AO209" s="935"/>
      <c r="AP209" s="935"/>
      <c r="AQ209" s="935"/>
      <c r="AR209" s="935"/>
      <c r="AS209" s="935"/>
      <c r="AT209" s="935"/>
      <c r="AU209" s="935"/>
      <c r="AV209" s="935"/>
      <c r="AW209" s="935"/>
      <c r="AX209" s="935"/>
      <c r="AY209" s="935"/>
      <c r="AZ209" s="935"/>
      <c r="BA209" s="935"/>
      <c r="BB209" s="935"/>
      <c r="BC209" s="935"/>
      <c r="BD209" s="935"/>
      <c r="BE209" s="935"/>
      <c r="BF209" s="935"/>
      <c r="BG209" s="935"/>
      <c r="BH209" s="935"/>
      <c r="BI209" s="935"/>
      <c r="BJ209" s="935"/>
      <c r="BK209" s="935"/>
      <c r="BL209" s="935"/>
      <c r="BM209" s="935"/>
      <c r="BN209" s="935"/>
      <c r="BO209" s="935"/>
      <c r="BP209" s="935"/>
      <c r="BQ209" s="935"/>
      <c r="BR209" s="935"/>
      <c r="BS209" s="935"/>
      <c r="BT209" s="935"/>
    </row>
    <row r="210" spans="1:72" x14ac:dyDescent="0.25">
      <c r="A210" s="935" t="s">
        <v>790</v>
      </c>
      <c r="B210" s="935"/>
      <c r="C210" s="935"/>
      <c r="D210" s="935"/>
      <c r="E210" s="935"/>
      <c r="F210" s="935"/>
      <c r="G210" s="935"/>
      <c r="H210" s="935"/>
      <c r="I210" s="935"/>
      <c r="J210" s="935"/>
      <c r="K210" s="935"/>
      <c r="L210" s="935"/>
      <c r="M210" s="935"/>
      <c r="N210" s="935"/>
      <c r="O210" s="935"/>
      <c r="P210" s="935"/>
      <c r="Q210" s="935"/>
      <c r="R210" s="935"/>
      <c r="S210" s="935"/>
      <c r="T210" s="935"/>
      <c r="U210" s="935"/>
      <c r="V210" s="935"/>
      <c r="W210" s="935"/>
      <c r="X210" s="935"/>
      <c r="Y210" s="935"/>
      <c r="Z210" s="935"/>
      <c r="AA210" s="935"/>
      <c r="AB210" s="935"/>
      <c r="AC210" s="935"/>
      <c r="AD210" s="935"/>
      <c r="AE210" s="935"/>
      <c r="AF210" s="935"/>
      <c r="AG210" s="935"/>
      <c r="AH210" s="935"/>
      <c r="AI210" s="935"/>
      <c r="AJ210" s="935"/>
      <c r="AK210" s="935"/>
      <c r="AL210" s="935"/>
      <c r="AM210" s="935"/>
      <c r="AN210" s="935"/>
      <c r="AO210" s="935"/>
      <c r="AP210" s="935"/>
      <c r="AQ210" s="935"/>
      <c r="AR210" s="935"/>
      <c r="AS210" s="935"/>
      <c r="AT210" s="935"/>
      <c r="AU210" s="935"/>
      <c r="AV210" s="935"/>
      <c r="AW210" s="935"/>
      <c r="AX210" s="935"/>
      <c r="AY210" s="935"/>
      <c r="AZ210" s="935"/>
      <c r="BA210" s="935"/>
      <c r="BB210" s="935"/>
      <c r="BC210" s="935"/>
      <c r="BD210" s="935"/>
      <c r="BE210" s="935"/>
      <c r="BF210" s="935"/>
      <c r="BG210" s="935"/>
      <c r="BH210" s="935"/>
      <c r="BI210" s="935"/>
      <c r="BJ210" s="935"/>
      <c r="BK210" s="935"/>
      <c r="BL210" s="935"/>
      <c r="BM210" s="935"/>
      <c r="BN210" s="935"/>
      <c r="BO210" s="935"/>
      <c r="BP210" s="935"/>
      <c r="BQ210" s="935"/>
      <c r="BR210" s="935"/>
      <c r="BS210" s="935"/>
      <c r="BT210" s="935"/>
    </row>
    <row r="211" spans="1:72" x14ac:dyDescent="0.25">
      <c r="A211" s="935" t="s">
        <v>791</v>
      </c>
      <c r="B211" s="935"/>
      <c r="C211" s="935"/>
      <c r="D211" s="935"/>
      <c r="E211" s="935"/>
      <c r="F211" s="935"/>
      <c r="G211" s="935"/>
      <c r="H211" s="935"/>
      <c r="I211" s="935"/>
      <c r="J211" s="935"/>
      <c r="K211" s="935"/>
      <c r="L211" s="935"/>
      <c r="M211" s="935"/>
      <c r="N211" s="935"/>
      <c r="O211" s="935"/>
      <c r="P211" s="935"/>
      <c r="Q211" s="935"/>
      <c r="R211" s="935"/>
      <c r="S211" s="935"/>
      <c r="T211" s="935"/>
      <c r="U211" s="935"/>
      <c r="V211" s="935"/>
      <c r="W211" s="935"/>
      <c r="X211" s="935"/>
      <c r="Y211" s="935"/>
      <c r="Z211" s="935"/>
      <c r="AA211" s="935"/>
      <c r="AB211" s="935"/>
      <c r="AC211" s="935"/>
      <c r="AD211" s="935"/>
      <c r="AE211" s="935"/>
      <c r="AF211" s="935"/>
      <c r="AG211" s="935"/>
      <c r="AH211" s="935"/>
      <c r="AI211" s="935"/>
      <c r="AJ211" s="935"/>
      <c r="AK211" s="935"/>
      <c r="AL211" s="935"/>
      <c r="AM211" s="935"/>
      <c r="AN211" s="935"/>
      <c r="AO211" s="935"/>
      <c r="AP211" s="935"/>
      <c r="AQ211" s="935"/>
      <c r="AR211" s="935"/>
      <c r="AS211" s="935"/>
      <c r="AT211" s="935"/>
      <c r="AU211" s="935"/>
      <c r="AV211" s="935"/>
      <c r="AW211" s="935"/>
      <c r="AX211" s="935"/>
      <c r="AY211" s="935"/>
      <c r="AZ211" s="935"/>
      <c r="BA211" s="935"/>
      <c r="BB211" s="935"/>
      <c r="BC211" s="935"/>
      <c r="BD211" s="935"/>
      <c r="BE211" s="935"/>
      <c r="BF211" s="935"/>
      <c r="BG211" s="935"/>
      <c r="BH211" s="935"/>
      <c r="BI211" s="935"/>
      <c r="BJ211" s="935"/>
      <c r="BK211" s="935"/>
      <c r="BL211" s="935"/>
      <c r="BM211" s="935"/>
      <c r="BN211" s="935"/>
      <c r="BO211" s="935"/>
      <c r="BP211" s="935"/>
      <c r="BQ211" s="935"/>
      <c r="BR211" s="935"/>
      <c r="BS211" s="935"/>
      <c r="BT211" s="935"/>
    </row>
    <row r="212" spans="1:72" x14ac:dyDescent="0.25">
      <c r="A212" s="935" t="s">
        <v>649</v>
      </c>
      <c r="B212" s="935"/>
      <c r="C212" s="935"/>
      <c r="D212" s="935"/>
      <c r="E212" s="935"/>
      <c r="F212" s="935"/>
      <c r="G212" s="935"/>
      <c r="H212" s="935"/>
      <c r="I212" s="935"/>
      <c r="J212" s="935"/>
      <c r="K212" s="935"/>
      <c r="L212" s="935"/>
      <c r="M212" s="935"/>
      <c r="N212" s="935"/>
      <c r="O212" s="935"/>
      <c r="P212" s="935"/>
      <c r="Q212" s="935"/>
      <c r="R212" s="935"/>
      <c r="S212" s="935"/>
      <c r="T212" s="935"/>
      <c r="U212" s="935"/>
      <c r="V212" s="935"/>
      <c r="W212" s="935"/>
      <c r="X212" s="935"/>
      <c r="Y212" s="935"/>
      <c r="Z212" s="935"/>
      <c r="AA212" s="935"/>
      <c r="AB212" s="935"/>
      <c r="AC212" s="935"/>
      <c r="AD212" s="935"/>
      <c r="AE212" s="935"/>
      <c r="AF212" s="935"/>
      <c r="AG212" s="935"/>
      <c r="AH212" s="935"/>
      <c r="AI212" s="935"/>
      <c r="AJ212" s="935"/>
      <c r="AK212" s="935"/>
      <c r="AL212" s="935"/>
      <c r="AM212" s="935"/>
      <c r="AN212" s="935"/>
      <c r="AO212" s="935"/>
      <c r="AP212" s="935"/>
      <c r="AQ212" s="935"/>
      <c r="AR212" s="935"/>
      <c r="AS212" s="935"/>
      <c r="AT212" s="935"/>
      <c r="AU212" s="935"/>
      <c r="AV212" s="935"/>
      <c r="AW212" s="935"/>
      <c r="AX212" s="935"/>
      <c r="AY212" s="935"/>
      <c r="AZ212" s="935"/>
      <c r="BA212" s="935"/>
      <c r="BB212" s="935"/>
      <c r="BC212" s="935"/>
      <c r="BD212" s="935"/>
      <c r="BE212" s="935"/>
      <c r="BF212" s="935"/>
      <c r="BG212" s="935"/>
      <c r="BH212" s="935"/>
      <c r="BI212" s="935"/>
      <c r="BJ212" s="935"/>
      <c r="BK212" s="935"/>
      <c r="BL212" s="935"/>
      <c r="BM212" s="935"/>
      <c r="BN212" s="935"/>
      <c r="BO212" s="935"/>
      <c r="BP212" s="935"/>
      <c r="BQ212" s="935"/>
      <c r="BR212" s="935"/>
      <c r="BS212" s="935"/>
      <c r="BT212" s="935"/>
    </row>
    <row r="213" spans="1:72" x14ac:dyDescent="0.25">
      <c r="A213" s="935" t="s">
        <v>650</v>
      </c>
      <c r="B213" s="935"/>
      <c r="C213" s="935"/>
      <c r="D213" s="935"/>
      <c r="E213" s="935"/>
      <c r="F213" s="935"/>
      <c r="G213" s="935"/>
      <c r="H213" s="935"/>
      <c r="I213" s="935"/>
      <c r="J213" s="935"/>
      <c r="K213" s="935"/>
      <c r="L213" s="935"/>
      <c r="M213" s="935"/>
      <c r="N213" s="935"/>
      <c r="O213" s="935"/>
      <c r="P213" s="935"/>
      <c r="Q213" s="935"/>
      <c r="R213" s="935"/>
      <c r="S213" s="935"/>
      <c r="T213" s="935"/>
      <c r="U213" s="935"/>
      <c r="V213" s="935"/>
      <c r="W213" s="935"/>
      <c r="X213" s="935"/>
      <c r="Y213" s="935"/>
      <c r="Z213" s="935"/>
      <c r="AA213" s="935"/>
      <c r="AB213" s="935"/>
      <c r="AC213" s="935"/>
      <c r="AD213" s="935"/>
      <c r="AE213" s="935"/>
      <c r="AF213" s="935"/>
      <c r="AG213" s="935"/>
      <c r="AH213" s="935"/>
      <c r="AI213" s="935"/>
      <c r="AJ213" s="935"/>
      <c r="AK213" s="935"/>
      <c r="AL213" s="935"/>
      <c r="AM213" s="935"/>
      <c r="AN213" s="935"/>
      <c r="AO213" s="935"/>
      <c r="AP213" s="935"/>
      <c r="AQ213" s="935"/>
      <c r="AR213" s="935"/>
      <c r="AS213" s="935"/>
      <c r="AT213" s="935"/>
      <c r="AU213" s="935"/>
      <c r="AV213" s="935"/>
      <c r="AW213" s="935"/>
      <c r="AX213" s="935"/>
      <c r="AY213" s="935"/>
      <c r="AZ213" s="935"/>
      <c r="BA213" s="935"/>
      <c r="BB213" s="935"/>
      <c r="BC213" s="935"/>
      <c r="BD213" s="935"/>
      <c r="BE213" s="935"/>
      <c r="BF213" s="935"/>
      <c r="BG213" s="935"/>
      <c r="BH213" s="935"/>
      <c r="BI213" s="935"/>
      <c r="BJ213" s="935"/>
      <c r="BK213" s="935"/>
      <c r="BL213" s="935"/>
      <c r="BM213" s="935"/>
      <c r="BN213" s="935"/>
      <c r="BO213" s="935"/>
      <c r="BP213" s="935"/>
      <c r="BQ213" s="935"/>
      <c r="BR213" s="935"/>
      <c r="BS213" s="935"/>
      <c r="BT213" s="935"/>
    </row>
    <row r="214" spans="1:72" x14ac:dyDescent="0.25">
      <c r="A214" s="935" t="s">
        <v>651</v>
      </c>
      <c r="B214" s="935"/>
      <c r="C214" s="935"/>
      <c r="D214" s="935"/>
      <c r="E214" s="935"/>
      <c r="F214" s="935"/>
      <c r="G214" s="935"/>
      <c r="H214" s="935"/>
      <c r="I214" s="935"/>
      <c r="J214" s="935"/>
      <c r="K214" s="935"/>
      <c r="L214" s="935"/>
      <c r="M214" s="935"/>
      <c r="N214" s="935"/>
      <c r="O214" s="935"/>
      <c r="P214" s="935"/>
      <c r="Q214" s="935"/>
      <c r="R214" s="935"/>
      <c r="S214" s="935"/>
      <c r="T214" s="935"/>
      <c r="U214" s="935"/>
      <c r="V214" s="935"/>
      <c r="W214" s="935"/>
      <c r="X214" s="935"/>
      <c r="Y214" s="935"/>
      <c r="Z214" s="935"/>
      <c r="AA214" s="935"/>
      <c r="AB214" s="935"/>
      <c r="AC214" s="935"/>
      <c r="AD214" s="935"/>
      <c r="AE214" s="935"/>
      <c r="AF214" s="935"/>
      <c r="AG214" s="935"/>
      <c r="AH214" s="935"/>
      <c r="AI214" s="935"/>
      <c r="AJ214" s="935"/>
      <c r="AK214" s="935"/>
      <c r="AL214" s="935"/>
      <c r="AM214" s="935"/>
      <c r="AN214" s="935"/>
      <c r="AO214" s="935"/>
      <c r="AP214" s="935"/>
      <c r="AQ214" s="935"/>
      <c r="AR214" s="935"/>
      <c r="AS214" s="935"/>
      <c r="AT214" s="935"/>
      <c r="AU214" s="935"/>
      <c r="AV214" s="935"/>
      <c r="AW214" s="935"/>
      <c r="AX214" s="935"/>
      <c r="AY214" s="935"/>
      <c r="AZ214" s="935"/>
      <c r="BA214" s="935"/>
      <c r="BB214" s="935"/>
      <c r="BC214" s="935"/>
      <c r="BD214" s="935"/>
      <c r="BE214" s="935"/>
      <c r="BF214" s="935"/>
      <c r="BG214" s="935"/>
      <c r="BH214" s="935"/>
      <c r="BI214" s="935"/>
      <c r="BJ214" s="935"/>
      <c r="BK214" s="935"/>
      <c r="BL214" s="935"/>
      <c r="BM214" s="935"/>
      <c r="BN214" s="935"/>
      <c r="BO214" s="935"/>
      <c r="BP214" s="935"/>
      <c r="BQ214" s="935"/>
      <c r="BR214" s="935"/>
      <c r="BS214" s="935"/>
      <c r="BT214" s="935"/>
    </row>
    <row r="215" spans="1:72" x14ac:dyDescent="0.25">
      <c r="A215" s="935" t="s">
        <v>652</v>
      </c>
      <c r="B215" s="935"/>
      <c r="C215" s="935"/>
      <c r="D215" s="935"/>
      <c r="E215" s="935"/>
      <c r="F215" s="935"/>
      <c r="G215" s="935"/>
      <c r="H215" s="935"/>
      <c r="I215" s="935"/>
      <c r="J215" s="935"/>
      <c r="K215" s="935"/>
      <c r="L215" s="935"/>
      <c r="M215" s="935"/>
      <c r="N215" s="935"/>
      <c r="O215" s="935"/>
      <c r="P215" s="935"/>
      <c r="Q215" s="935"/>
      <c r="R215" s="935"/>
      <c r="S215" s="935"/>
      <c r="T215" s="935"/>
      <c r="U215" s="935"/>
      <c r="V215" s="935"/>
      <c r="W215" s="935"/>
      <c r="X215" s="935"/>
      <c r="Y215" s="935"/>
      <c r="Z215" s="935"/>
      <c r="AA215" s="935"/>
      <c r="AB215" s="935"/>
      <c r="AC215" s="935"/>
      <c r="AD215" s="935"/>
      <c r="AE215" s="935"/>
      <c r="AF215" s="935"/>
      <c r="AG215" s="935"/>
      <c r="AH215" s="935"/>
      <c r="AI215" s="935"/>
      <c r="AJ215" s="935"/>
      <c r="AK215" s="935"/>
      <c r="AL215" s="935"/>
      <c r="AM215" s="935"/>
      <c r="AN215" s="935"/>
      <c r="AO215" s="935"/>
      <c r="AP215" s="935"/>
      <c r="AQ215" s="935"/>
      <c r="AR215" s="935"/>
      <c r="AS215" s="935"/>
      <c r="AT215" s="935"/>
      <c r="AU215" s="935"/>
      <c r="AV215" s="935"/>
      <c r="AW215" s="935"/>
      <c r="AX215" s="935"/>
      <c r="AY215" s="935"/>
      <c r="AZ215" s="935"/>
      <c r="BA215" s="935"/>
      <c r="BB215" s="935"/>
      <c r="BC215" s="935"/>
      <c r="BD215" s="935"/>
      <c r="BE215" s="935"/>
      <c r="BF215" s="935"/>
      <c r="BG215" s="935"/>
      <c r="BH215" s="935"/>
      <c r="BI215" s="935"/>
      <c r="BJ215" s="935"/>
      <c r="BK215" s="935"/>
      <c r="BL215" s="935"/>
      <c r="BM215" s="935"/>
      <c r="BN215" s="935"/>
      <c r="BO215" s="935"/>
      <c r="BP215" s="935"/>
      <c r="BQ215" s="935"/>
      <c r="BR215" s="935"/>
      <c r="BS215" s="935"/>
      <c r="BT215" s="935"/>
    </row>
    <row r="216" spans="1:72" x14ac:dyDescent="0.25">
      <c r="A216" s="935" t="s">
        <v>653</v>
      </c>
      <c r="B216" s="935"/>
      <c r="C216" s="935"/>
      <c r="D216" s="935"/>
      <c r="E216" s="935"/>
      <c r="F216" s="935"/>
      <c r="G216" s="935"/>
      <c r="H216" s="935"/>
      <c r="I216" s="935"/>
      <c r="J216" s="935"/>
      <c r="K216" s="935"/>
      <c r="L216" s="935"/>
      <c r="M216" s="935"/>
      <c r="N216" s="935"/>
      <c r="O216" s="935"/>
      <c r="P216" s="935"/>
      <c r="Q216" s="935"/>
      <c r="R216" s="935"/>
      <c r="S216" s="935"/>
      <c r="T216" s="935"/>
      <c r="U216" s="935"/>
      <c r="V216" s="935"/>
      <c r="W216" s="935"/>
      <c r="X216" s="935"/>
      <c r="Y216" s="935"/>
      <c r="Z216" s="935"/>
      <c r="AA216" s="935"/>
      <c r="AB216" s="935"/>
      <c r="AC216" s="935"/>
      <c r="AD216" s="935"/>
      <c r="AE216" s="935"/>
      <c r="AF216" s="935"/>
      <c r="AG216" s="935"/>
      <c r="AH216" s="935"/>
      <c r="AI216" s="935"/>
      <c r="AJ216" s="935"/>
      <c r="AK216" s="935"/>
      <c r="AL216" s="935"/>
      <c r="AM216" s="935"/>
      <c r="AN216" s="935"/>
      <c r="AO216" s="935"/>
      <c r="AP216" s="935"/>
      <c r="AQ216" s="935"/>
      <c r="AR216" s="935"/>
      <c r="AS216" s="935"/>
      <c r="AT216" s="935"/>
      <c r="AU216" s="935"/>
      <c r="AV216" s="935"/>
      <c r="AW216" s="935"/>
      <c r="AX216" s="935"/>
      <c r="AY216" s="935"/>
      <c r="AZ216" s="935"/>
      <c r="BA216" s="935"/>
      <c r="BB216" s="935"/>
      <c r="BC216" s="935"/>
      <c r="BD216" s="935"/>
      <c r="BE216" s="935"/>
      <c r="BF216" s="935"/>
      <c r="BG216" s="935"/>
      <c r="BH216" s="935"/>
      <c r="BI216" s="935"/>
      <c r="BJ216" s="935"/>
      <c r="BK216" s="935"/>
      <c r="BL216" s="935"/>
      <c r="BM216" s="935"/>
      <c r="BN216" s="935"/>
      <c r="BO216" s="935"/>
      <c r="BP216" s="935"/>
      <c r="BQ216" s="935"/>
      <c r="BR216" s="935"/>
      <c r="BS216" s="935"/>
      <c r="BT216" s="935"/>
    </row>
    <row r="217" spans="1:72" x14ac:dyDescent="0.25">
      <c r="A217" s="935" t="s">
        <v>654</v>
      </c>
      <c r="B217" s="935"/>
      <c r="C217" s="935"/>
      <c r="D217" s="935"/>
      <c r="E217" s="935"/>
      <c r="F217" s="935"/>
      <c r="G217" s="935"/>
      <c r="H217" s="935"/>
      <c r="I217" s="935"/>
      <c r="J217" s="935"/>
      <c r="K217" s="935"/>
      <c r="L217" s="935"/>
      <c r="M217" s="935"/>
      <c r="N217" s="935"/>
      <c r="O217" s="935"/>
      <c r="P217" s="935"/>
      <c r="Q217" s="935"/>
      <c r="R217" s="935"/>
      <c r="S217" s="935"/>
      <c r="T217" s="935"/>
      <c r="U217" s="935"/>
      <c r="V217" s="935"/>
      <c r="W217" s="935"/>
      <c r="X217" s="935"/>
      <c r="Y217" s="935"/>
      <c r="Z217" s="935"/>
      <c r="AA217" s="935"/>
      <c r="AB217" s="935"/>
      <c r="AC217" s="935"/>
      <c r="AD217" s="935"/>
      <c r="AE217" s="935"/>
      <c r="AF217" s="935"/>
      <c r="AG217" s="935"/>
      <c r="AH217" s="935"/>
      <c r="AI217" s="935"/>
      <c r="AJ217" s="935"/>
      <c r="AK217" s="935"/>
      <c r="AL217" s="935"/>
      <c r="AM217" s="935"/>
      <c r="AN217" s="935"/>
      <c r="AO217" s="935"/>
      <c r="AP217" s="935"/>
      <c r="AQ217" s="935"/>
      <c r="AR217" s="935"/>
      <c r="AS217" s="935"/>
      <c r="AT217" s="935"/>
      <c r="AU217" s="935"/>
      <c r="AV217" s="935"/>
      <c r="AW217" s="935"/>
      <c r="AX217" s="935"/>
      <c r="AY217" s="935"/>
      <c r="AZ217" s="935"/>
      <c r="BA217" s="935"/>
      <c r="BB217" s="935"/>
      <c r="BC217" s="935"/>
      <c r="BD217" s="935"/>
      <c r="BE217" s="935"/>
      <c r="BF217" s="935"/>
      <c r="BG217" s="935"/>
      <c r="BH217" s="935"/>
      <c r="BI217" s="935"/>
      <c r="BJ217" s="935"/>
      <c r="BK217" s="935"/>
      <c r="BL217" s="935"/>
      <c r="BM217" s="935"/>
      <c r="BN217" s="935"/>
      <c r="BO217" s="935"/>
      <c r="BP217" s="935"/>
      <c r="BQ217" s="935"/>
      <c r="BR217" s="935"/>
      <c r="BS217" s="935"/>
      <c r="BT217" s="935"/>
    </row>
    <row r="218" spans="1:72" x14ac:dyDescent="0.25">
      <c r="A218" s="935" t="s">
        <v>545</v>
      </c>
      <c r="B218" s="935"/>
      <c r="C218" s="935"/>
      <c r="D218" s="935"/>
      <c r="E218" s="935"/>
      <c r="F218" s="935"/>
      <c r="G218" s="935"/>
      <c r="H218" s="935"/>
      <c r="I218" s="935"/>
      <c r="J218" s="935"/>
      <c r="K218" s="935"/>
      <c r="L218" s="935"/>
      <c r="M218" s="935"/>
      <c r="N218" s="935"/>
      <c r="O218" s="935"/>
      <c r="P218" s="935"/>
      <c r="Q218" s="935"/>
      <c r="R218" s="935"/>
      <c r="S218" s="935"/>
      <c r="T218" s="935"/>
      <c r="U218" s="935"/>
      <c r="V218" s="935"/>
      <c r="W218" s="935"/>
      <c r="X218" s="935"/>
      <c r="Y218" s="935"/>
      <c r="Z218" s="935"/>
      <c r="AA218" s="935"/>
      <c r="AB218" s="935"/>
      <c r="AC218" s="935"/>
      <c r="AD218" s="935"/>
      <c r="AE218" s="935"/>
      <c r="AF218" s="935"/>
      <c r="AG218" s="935"/>
      <c r="AH218" s="935"/>
      <c r="AI218" s="935"/>
      <c r="AJ218" s="935"/>
      <c r="AK218" s="935"/>
      <c r="AL218" s="935"/>
      <c r="AM218" s="935"/>
      <c r="AN218" s="935"/>
      <c r="AO218" s="935"/>
      <c r="AP218" s="935"/>
      <c r="AQ218" s="935"/>
      <c r="AR218" s="935"/>
      <c r="AS218" s="935"/>
      <c r="AT218" s="935"/>
      <c r="AU218" s="935"/>
      <c r="AV218" s="935"/>
      <c r="AW218" s="935"/>
      <c r="AX218" s="935"/>
      <c r="AY218" s="935"/>
      <c r="AZ218" s="935"/>
      <c r="BA218" s="935"/>
      <c r="BB218" s="935"/>
      <c r="BC218" s="935"/>
      <c r="BD218" s="935"/>
      <c r="BE218" s="935"/>
      <c r="BF218" s="935"/>
      <c r="BG218" s="935"/>
      <c r="BH218" s="935"/>
      <c r="BI218" s="935"/>
      <c r="BJ218" s="935"/>
      <c r="BK218" s="935"/>
      <c r="BL218" s="935"/>
      <c r="BM218" s="935"/>
      <c r="BN218" s="935"/>
      <c r="BO218" s="935"/>
      <c r="BP218" s="935"/>
      <c r="BQ218" s="935"/>
      <c r="BR218" s="935"/>
      <c r="BS218" s="935"/>
      <c r="BT218" s="935"/>
    </row>
    <row r="219" spans="1:72" x14ac:dyDescent="0.25">
      <c r="A219" s="935" t="s">
        <v>730</v>
      </c>
      <c r="B219" s="935"/>
      <c r="C219" s="935"/>
      <c r="D219" s="935"/>
      <c r="E219" s="935"/>
      <c r="F219" s="935"/>
      <c r="G219" s="935"/>
      <c r="H219" s="935"/>
      <c r="I219" s="935"/>
      <c r="J219" s="935"/>
      <c r="K219" s="935"/>
      <c r="L219" s="935"/>
      <c r="M219" s="935"/>
      <c r="N219" s="935"/>
      <c r="O219" s="935"/>
      <c r="P219" s="935"/>
      <c r="Q219" s="935"/>
      <c r="R219" s="935"/>
      <c r="S219" s="935"/>
      <c r="T219" s="935"/>
      <c r="U219" s="935"/>
      <c r="V219" s="935"/>
      <c r="W219" s="935"/>
      <c r="X219" s="935"/>
      <c r="Y219" s="935"/>
      <c r="Z219" s="935"/>
      <c r="AA219" s="935"/>
      <c r="AB219" s="935"/>
      <c r="AC219" s="935"/>
      <c r="AD219" s="935"/>
      <c r="AE219" s="935"/>
      <c r="AF219" s="935"/>
      <c r="AG219" s="935"/>
      <c r="AH219" s="935"/>
      <c r="AI219" s="935"/>
      <c r="AJ219" s="935"/>
      <c r="AK219" s="935"/>
      <c r="AL219" s="935"/>
      <c r="AM219" s="935"/>
      <c r="AN219" s="935"/>
      <c r="AO219" s="935"/>
      <c r="AP219" s="935"/>
      <c r="AQ219" s="935"/>
      <c r="AR219" s="935"/>
      <c r="AS219" s="935"/>
      <c r="AT219" s="935"/>
      <c r="AU219" s="935"/>
      <c r="AV219" s="935"/>
      <c r="AW219" s="935"/>
      <c r="AX219" s="935"/>
      <c r="AY219" s="935"/>
      <c r="AZ219" s="935"/>
      <c r="BA219" s="935"/>
      <c r="BB219" s="935"/>
      <c r="BC219" s="935"/>
      <c r="BD219" s="935"/>
      <c r="BE219" s="935"/>
      <c r="BF219" s="935"/>
      <c r="BG219" s="935"/>
      <c r="BH219" s="935"/>
      <c r="BI219" s="935"/>
      <c r="BJ219" s="935"/>
      <c r="BK219" s="935"/>
      <c r="BL219" s="935"/>
      <c r="BM219" s="935"/>
      <c r="BN219" s="935"/>
      <c r="BO219" s="935"/>
      <c r="BP219" s="935"/>
      <c r="BQ219" s="935"/>
      <c r="BR219" s="935"/>
      <c r="BS219" s="935"/>
      <c r="BT219" s="935"/>
    </row>
    <row r="220" spans="1:72" x14ac:dyDescent="0.25">
      <c r="A220" s="935" t="s">
        <v>792</v>
      </c>
      <c r="B220" s="935"/>
      <c r="C220" s="935"/>
      <c r="D220" s="935"/>
      <c r="E220" s="935"/>
      <c r="F220" s="935"/>
      <c r="G220" s="935"/>
      <c r="H220" s="935"/>
      <c r="I220" s="935"/>
      <c r="J220" s="935"/>
      <c r="K220" s="935"/>
      <c r="L220" s="935"/>
      <c r="M220" s="935"/>
      <c r="N220" s="935"/>
      <c r="O220" s="935"/>
      <c r="P220" s="935"/>
      <c r="Q220" s="935"/>
      <c r="R220" s="935"/>
      <c r="S220" s="935"/>
      <c r="T220" s="935"/>
      <c r="U220" s="935"/>
      <c r="V220" s="935"/>
      <c r="W220" s="935"/>
      <c r="X220" s="935"/>
      <c r="Y220" s="935"/>
      <c r="Z220" s="935"/>
      <c r="AA220" s="935"/>
      <c r="AB220" s="935"/>
      <c r="AC220" s="935"/>
      <c r="AD220" s="935"/>
      <c r="AE220" s="935"/>
      <c r="AF220" s="935"/>
      <c r="AG220" s="935"/>
      <c r="AH220" s="935"/>
      <c r="AI220" s="935"/>
      <c r="AJ220" s="935"/>
      <c r="AK220" s="935"/>
      <c r="AL220" s="935"/>
      <c r="AM220" s="935"/>
      <c r="AN220" s="935"/>
      <c r="AO220" s="935"/>
      <c r="AP220" s="935"/>
      <c r="AQ220" s="935"/>
      <c r="AR220" s="935"/>
      <c r="AS220" s="935"/>
      <c r="AT220" s="935"/>
      <c r="AU220" s="935"/>
      <c r="AV220" s="935"/>
      <c r="AW220" s="935"/>
      <c r="AX220" s="935"/>
      <c r="AY220" s="935"/>
      <c r="AZ220" s="935"/>
      <c r="BA220" s="935"/>
      <c r="BB220" s="935"/>
      <c r="BC220" s="935"/>
      <c r="BD220" s="935"/>
      <c r="BE220" s="935"/>
      <c r="BF220" s="935"/>
      <c r="BG220" s="935"/>
      <c r="BH220" s="935"/>
      <c r="BI220" s="935"/>
      <c r="BJ220" s="935"/>
      <c r="BK220" s="935"/>
      <c r="BL220" s="935"/>
      <c r="BM220" s="935"/>
      <c r="BN220" s="935"/>
      <c r="BO220" s="935"/>
      <c r="BP220" s="935"/>
      <c r="BQ220" s="935"/>
      <c r="BR220" s="935"/>
      <c r="BS220" s="935"/>
      <c r="BT220" s="935"/>
    </row>
    <row r="221" spans="1:72" x14ac:dyDescent="0.25">
      <c r="A221" s="935" t="s">
        <v>793</v>
      </c>
      <c r="B221" s="935"/>
      <c r="C221" s="935"/>
      <c r="D221" s="935"/>
      <c r="E221" s="935"/>
      <c r="F221" s="935"/>
      <c r="G221" s="935"/>
      <c r="H221" s="935"/>
      <c r="I221" s="935"/>
      <c r="J221" s="935"/>
      <c r="K221" s="935"/>
      <c r="L221" s="935"/>
      <c r="M221" s="935"/>
      <c r="N221" s="935"/>
      <c r="O221" s="935"/>
      <c r="P221" s="935"/>
      <c r="Q221" s="935"/>
      <c r="R221" s="935"/>
      <c r="S221" s="935"/>
      <c r="T221" s="935"/>
      <c r="U221" s="935"/>
      <c r="V221" s="935"/>
      <c r="W221" s="935"/>
      <c r="X221" s="935"/>
      <c r="Y221" s="935"/>
      <c r="Z221" s="935"/>
      <c r="AA221" s="935"/>
      <c r="AB221" s="935"/>
      <c r="AC221" s="935"/>
      <c r="AD221" s="935"/>
      <c r="AE221" s="935"/>
      <c r="AF221" s="935"/>
      <c r="AG221" s="935"/>
      <c r="AH221" s="935"/>
      <c r="AI221" s="935"/>
      <c r="AJ221" s="935"/>
      <c r="AK221" s="935"/>
      <c r="AL221" s="935"/>
      <c r="AM221" s="935"/>
      <c r="AN221" s="935"/>
      <c r="AO221" s="935"/>
      <c r="AP221" s="935"/>
      <c r="AQ221" s="935"/>
      <c r="AR221" s="935"/>
      <c r="AS221" s="935"/>
      <c r="AT221" s="935"/>
      <c r="AU221" s="935"/>
      <c r="AV221" s="935"/>
      <c r="AW221" s="935"/>
      <c r="AX221" s="935"/>
      <c r="AY221" s="935"/>
      <c r="AZ221" s="935"/>
      <c r="BA221" s="935"/>
      <c r="BB221" s="935"/>
      <c r="BC221" s="935"/>
      <c r="BD221" s="935"/>
      <c r="BE221" s="935"/>
      <c r="BF221" s="935"/>
      <c r="BG221" s="935"/>
      <c r="BH221" s="935"/>
      <c r="BI221" s="935"/>
      <c r="BJ221" s="935"/>
      <c r="BK221" s="935"/>
      <c r="BL221" s="935"/>
      <c r="BM221" s="935"/>
      <c r="BN221" s="935"/>
      <c r="BO221" s="935"/>
      <c r="BP221" s="935"/>
      <c r="BQ221" s="935"/>
      <c r="BR221" s="935"/>
      <c r="BS221" s="935"/>
      <c r="BT221" s="935"/>
    </row>
    <row r="222" spans="1:72" x14ac:dyDescent="0.25">
      <c r="A222" s="935" t="s">
        <v>794</v>
      </c>
      <c r="B222" s="935"/>
      <c r="C222" s="935"/>
      <c r="D222" s="935"/>
      <c r="E222" s="935"/>
      <c r="F222" s="935"/>
      <c r="G222" s="935"/>
      <c r="H222" s="935"/>
      <c r="I222" s="935"/>
      <c r="J222" s="935"/>
      <c r="K222" s="935"/>
      <c r="L222" s="935"/>
      <c r="M222" s="935"/>
      <c r="N222" s="935"/>
      <c r="O222" s="935"/>
      <c r="P222" s="935"/>
      <c r="Q222" s="935"/>
      <c r="R222" s="935"/>
      <c r="S222" s="935"/>
      <c r="T222" s="935"/>
      <c r="U222" s="935"/>
      <c r="V222" s="935"/>
      <c r="W222" s="935"/>
      <c r="X222" s="935"/>
      <c r="Y222" s="935"/>
      <c r="Z222" s="935"/>
      <c r="AA222" s="935"/>
      <c r="AB222" s="935"/>
      <c r="AC222" s="935"/>
      <c r="AD222" s="935"/>
      <c r="AE222" s="935"/>
      <c r="AF222" s="935"/>
      <c r="AG222" s="935"/>
      <c r="AH222" s="935"/>
      <c r="AI222" s="935"/>
      <c r="AJ222" s="935"/>
      <c r="AK222" s="935"/>
      <c r="AL222" s="935"/>
      <c r="AM222" s="935"/>
      <c r="AN222" s="935"/>
      <c r="AO222" s="935"/>
      <c r="AP222" s="935"/>
      <c r="AQ222" s="935"/>
      <c r="AR222" s="935"/>
      <c r="AS222" s="935"/>
      <c r="AT222" s="935"/>
      <c r="AU222" s="935"/>
      <c r="AV222" s="935"/>
      <c r="AW222" s="935"/>
      <c r="AX222" s="935"/>
      <c r="AY222" s="935"/>
      <c r="AZ222" s="935"/>
      <c r="BA222" s="935"/>
      <c r="BB222" s="935"/>
      <c r="BC222" s="935"/>
      <c r="BD222" s="935"/>
      <c r="BE222" s="935"/>
      <c r="BF222" s="935"/>
      <c r="BG222" s="935"/>
      <c r="BH222" s="935"/>
      <c r="BI222" s="935"/>
      <c r="BJ222" s="935"/>
      <c r="BK222" s="935"/>
      <c r="BL222" s="935"/>
      <c r="BM222" s="935"/>
      <c r="BN222" s="935"/>
      <c r="BO222" s="935"/>
      <c r="BP222" s="935"/>
      <c r="BQ222" s="935"/>
      <c r="BR222" s="935"/>
      <c r="BS222" s="935"/>
      <c r="BT222" s="935"/>
    </row>
    <row r="223" spans="1:72" x14ac:dyDescent="0.25">
      <c r="A223" s="935" t="s">
        <v>795</v>
      </c>
      <c r="B223" s="935"/>
      <c r="C223" s="935"/>
      <c r="D223" s="935"/>
      <c r="E223" s="935"/>
      <c r="F223" s="935"/>
      <c r="G223" s="935"/>
      <c r="H223" s="935"/>
      <c r="I223" s="935"/>
      <c r="J223" s="935"/>
      <c r="K223" s="935"/>
      <c r="L223" s="935"/>
      <c r="M223" s="935"/>
      <c r="N223" s="935"/>
      <c r="O223" s="935"/>
      <c r="P223" s="935"/>
      <c r="Q223" s="935"/>
      <c r="R223" s="935"/>
      <c r="S223" s="935"/>
      <c r="T223" s="935"/>
      <c r="U223" s="935"/>
      <c r="V223" s="935"/>
      <c r="W223" s="935"/>
      <c r="X223" s="935"/>
      <c r="Y223" s="935"/>
      <c r="Z223" s="935"/>
      <c r="AA223" s="935"/>
      <c r="AB223" s="935"/>
      <c r="AC223" s="935"/>
      <c r="AD223" s="935"/>
      <c r="AE223" s="935"/>
      <c r="AF223" s="935"/>
      <c r="AG223" s="935"/>
      <c r="AH223" s="935"/>
      <c r="AI223" s="935"/>
      <c r="AJ223" s="935"/>
      <c r="AK223" s="935"/>
      <c r="AL223" s="935"/>
      <c r="AM223" s="935"/>
      <c r="AN223" s="935"/>
      <c r="AO223" s="935"/>
      <c r="AP223" s="935"/>
      <c r="AQ223" s="935"/>
      <c r="AR223" s="935"/>
      <c r="AS223" s="935"/>
      <c r="AT223" s="935"/>
      <c r="AU223" s="935"/>
      <c r="AV223" s="935"/>
      <c r="AW223" s="935"/>
      <c r="AX223" s="935"/>
      <c r="AY223" s="935"/>
      <c r="AZ223" s="935"/>
      <c r="BA223" s="935"/>
      <c r="BB223" s="935"/>
      <c r="BC223" s="935"/>
      <c r="BD223" s="935"/>
      <c r="BE223" s="935"/>
      <c r="BF223" s="935"/>
      <c r="BG223" s="935"/>
      <c r="BH223" s="935"/>
      <c r="BI223" s="935"/>
      <c r="BJ223" s="935"/>
      <c r="BK223" s="935"/>
      <c r="BL223" s="935"/>
      <c r="BM223" s="935"/>
      <c r="BN223" s="935"/>
      <c r="BO223" s="935"/>
      <c r="BP223" s="935"/>
      <c r="BQ223" s="935"/>
      <c r="BR223" s="935"/>
      <c r="BS223" s="935"/>
      <c r="BT223" s="935"/>
    </row>
    <row r="224" spans="1:72" x14ac:dyDescent="0.25">
      <c r="A224" s="935" t="s">
        <v>796</v>
      </c>
      <c r="B224" s="935"/>
      <c r="C224" s="935"/>
      <c r="D224" s="935"/>
      <c r="E224" s="935"/>
      <c r="F224" s="935"/>
      <c r="G224" s="935"/>
      <c r="H224" s="935"/>
      <c r="I224" s="935"/>
      <c r="J224" s="935"/>
      <c r="K224" s="935"/>
      <c r="L224" s="935"/>
      <c r="M224" s="935"/>
      <c r="N224" s="935"/>
      <c r="O224" s="935"/>
      <c r="P224" s="935"/>
      <c r="Q224" s="935"/>
      <c r="R224" s="935"/>
      <c r="S224" s="935"/>
      <c r="T224" s="935"/>
      <c r="U224" s="935"/>
      <c r="V224" s="935"/>
      <c r="W224" s="935"/>
      <c r="X224" s="935"/>
      <c r="Y224" s="935"/>
      <c r="Z224" s="935"/>
      <c r="AA224" s="935"/>
      <c r="AB224" s="935"/>
      <c r="AC224" s="935"/>
      <c r="AD224" s="935"/>
      <c r="AE224" s="935"/>
      <c r="AF224" s="935"/>
      <c r="AG224" s="935"/>
      <c r="AH224" s="935"/>
      <c r="AI224" s="935"/>
      <c r="AJ224" s="935"/>
      <c r="AK224" s="935"/>
      <c r="AL224" s="935"/>
      <c r="AM224" s="935"/>
      <c r="AN224" s="935"/>
      <c r="AO224" s="935"/>
      <c r="AP224" s="935"/>
      <c r="AQ224" s="935"/>
      <c r="AR224" s="935"/>
      <c r="AS224" s="935"/>
      <c r="AT224" s="935"/>
      <c r="AU224" s="935"/>
      <c r="AV224" s="935"/>
      <c r="AW224" s="935"/>
      <c r="AX224" s="935"/>
      <c r="AY224" s="935"/>
      <c r="AZ224" s="935"/>
      <c r="BA224" s="935"/>
      <c r="BB224" s="935"/>
      <c r="BC224" s="935"/>
      <c r="BD224" s="935"/>
      <c r="BE224" s="935"/>
      <c r="BF224" s="935"/>
      <c r="BG224" s="935"/>
      <c r="BH224" s="935"/>
      <c r="BI224" s="935"/>
      <c r="BJ224" s="935"/>
      <c r="BK224" s="935"/>
      <c r="BL224" s="935"/>
      <c r="BM224" s="935"/>
      <c r="BN224" s="935"/>
      <c r="BO224" s="935"/>
      <c r="BP224" s="935"/>
      <c r="BQ224" s="935"/>
      <c r="BR224" s="935"/>
      <c r="BS224" s="935"/>
      <c r="BT224" s="935"/>
    </row>
    <row r="225" spans="1:72" x14ac:dyDescent="0.25">
      <c r="A225" s="935" t="s">
        <v>797</v>
      </c>
      <c r="B225" s="935"/>
      <c r="C225" s="935"/>
      <c r="D225" s="935"/>
      <c r="E225" s="935"/>
      <c r="F225" s="935"/>
      <c r="G225" s="935"/>
      <c r="H225" s="935"/>
      <c r="I225" s="935"/>
      <c r="J225" s="935"/>
      <c r="K225" s="935"/>
      <c r="L225" s="935"/>
      <c r="M225" s="935"/>
      <c r="N225" s="935"/>
      <c r="O225" s="935"/>
      <c r="P225" s="935"/>
      <c r="Q225" s="935"/>
      <c r="R225" s="935"/>
      <c r="S225" s="935"/>
      <c r="T225" s="935"/>
      <c r="U225" s="935"/>
      <c r="V225" s="935"/>
      <c r="W225" s="935"/>
      <c r="X225" s="935"/>
      <c r="Y225" s="935"/>
      <c r="Z225" s="935"/>
      <c r="AA225" s="935"/>
      <c r="AB225" s="935"/>
      <c r="AC225" s="935"/>
      <c r="AD225" s="935"/>
      <c r="AE225" s="935"/>
      <c r="AF225" s="935"/>
      <c r="AG225" s="935"/>
      <c r="AH225" s="935"/>
      <c r="AI225" s="935"/>
      <c r="AJ225" s="935"/>
      <c r="AK225" s="935"/>
      <c r="AL225" s="935"/>
      <c r="AM225" s="935"/>
      <c r="AN225" s="935"/>
      <c r="AO225" s="935"/>
      <c r="AP225" s="935"/>
      <c r="AQ225" s="935"/>
      <c r="AR225" s="935"/>
      <c r="AS225" s="935"/>
      <c r="AT225" s="935"/>
      <c r="AU225" s="935"/>
      <c r="AV225" s="935"/>
      <c r="AW225" s="935"/>
      <c r="AX225" s="935"/>
      <c r="AY225" s="935"/>
      <c r="AZ225" s="935"/>
      <c r="BA225" s="935"/>
      <c r="BB225" s="935"/>
      <c r="BC225" s="935"/>
      <c r="BD225" s="935"/>
      <c r="BE225" s="935"/>
      <c r="BF225" s="935"/>
      <c r="BG225" s="935"/>
      <c r="BH225" s="935"/>
      <c r="BI225" s="935"/>
      <c r="BJ225" s="935"/>
      <c r="BK225" s="935"/>
      <c r="BL225" s="935"/>
      <c r="BM225" s="935"/>
      <c r="BN225" s="935"/>
      <c r="BO225" s="935"/>
      <c r="BP225" s="935"/>
      <c r="BQ225" s="935"/>
      <c r="BR225" s="935"/>
      <c r="BS225" s="935"/>
      <c r="BT225" s="935"/>
    </row>
    <row r="226" spans="1:72" x14ac:dyDescent="0.25">
      <c r="A226" s="935" t="s">
        <v>798</v>
      </c>
      <c r="B226" s="935"/>
      <c r="C226" s="935"/>
      <c r="D226" s="935"/>
      <c r="E226" s="935"/>
      <c r="F226" s="935"/>
      <c r="G226" s="935"/>
      <c r="H226" s="935"/>
      <c r="I226" s="935"/>
      <c r="J226" s="935"/>
      <c r="K226" s="935"/>
      <c r="L226" s="935"/>
      <c r="M226" s="935"/>
      <c r="N226" s="935"/>
      <c r="O226" s="935"/>
      <c r="P226" s="935"/>
      <c r="Q226" s="935"/>
      <c r="R226" s="935"/>
      <c r="S226" s="935"/>
      <c r="T226" s="935"/>
      <c r="U226" s="935"/>
      <c r="V226" s="935"/>
      <c r="W226" s="935"/>
      <c r="X226" s="935"/>
      <c r="Y226" s="935"/>
      <c r="Z226" s="935"/>
      <c r="AA226" s="935"/>
      <c r="AB226" s="935"/>
      <c r="AC226" s="935"/>
      <c r="AD226" s="935"/>
      <c r="AE226" s="935"/>
      <c r="AF226" s="935"/>
      <c r="AG226" s="935"/>
      <c r="AH226" s="935"/>
      <c r="AI226" s="935"/>
      <c r="AJ226" s="935"/>
      <c r="AK226" s="935"/>
      <c r="AL226" s="935"/>
      <c r="AM226" s="935"/>
      <c r="AN226" s="935"/>
      <c r="AO226" s="935"/>
      <c r="AP226" s="935"/>
      <c r="AQ226" s="935"/>
      <c r="AR226" s="935"/>
      <c r="AS226" s="935"/>
      <c r="AT226" s="935"/>
      <c r="AU226" s="935"/>
      <c r="AV226" s="935"/>
      <c r="AW226" s="935"/>
      <c r="AX226" s="935"/>
      <c r="AY226" s="935"/>
      <c r="AZ226" s="935"/>
      <c r="BA226" s="935"/>
      <c r="BB226" s="935"/>
      <c r="BC226" s="935"/>
      <c r="BD226" s="935"/>
      <c r="BE226" s="935"/>
      <c r="BF226" s="935"/>
      <c r="BG226" s="935"/>
      <c r="BH226" s="935"/>
      <c r="BI226" s="935"/>
      <c r="BJ226" s="935"/>
      <c r="BK226" s="935"/>
      <c r="BL226" s="935"/>
      <c r="BM226" s="935"/>
      <c r="BN226" s="935"/>
      <c r="BO226" s="935"/>
      <c r="BP226" s="935"/>
      <c r="BQ226" s="935"/>
      <c r="BR226" s="935"/>
      <c r="BS226" s="935"/>
      <c r="BT226" s="935"/>
    </row>
    <row r="227" spans="1:72" x14ac:dyDescent="0.25">
      <c r="A227" s="935" t="s">
        <v>799</v>
      </c>
      <c r="B227" s="935"/>
      <c r="C227" s="935"/>
      <c r="D227" s="935"/>
      <c r="E227" s="935"/>
      <c r="F227" s="935"/>
      <c r="G227" s="935"/>
      <c r="H227" s="935"/>
      <c r="I227" s="935"/>
      <c r="J227" s="935"/>
      <c r="K227" s="935"/>
      <c r="L227" s="935"/>
      <c r="M227" s="935"/>
      <c r="N227" s="935"/>
      <c r="O227" s="935"/>
      <c r="P227" s="935"/>
      <c r="Q227" s="935"/>
      <c r="R227" s="935"/>
      <c r="S227" s="935"/>
      <c r="T227" s="935"/>
      <c r="U227" s="935"/>
      <c r="V227" s="935"/>
      <c r="W227" s="935"/>
      <c r="X227" s="935"/>
      <c r="Y227" s="935"/>
      <c r="Z227" s="935"/>
      <c r="AA227" s="935"/>
      <c r="AB227" s="935"/>
      <c r="AC227" s="935"/>
      <c r="AD227" s="935"/>
      <c r="AE227" s="935"/>
      <c r="AF227" s="935"/>
      <c r="AG227" s="935"/>
      <c r="AH227" s="935"/>
      <c r="AI227" s="935"/>
      <c r="AJ227" s="935"/>
      <c r="AK227" s="935"/>
      <c r="AL227" s="935"/>
      <c r="AM227" s="935"/>
      <c r="AN227" s="935"/>
      <c r="AO227" s="935"/>
      <c r="AP227" s="935"/>
      <c r="AQ227" s="935"/>
      <c r="AR227" s="935"/>
      <c r="AS227" s="935"/>
      <c r="AT227" s="935"/>
      <c r="AU227" s="935"/>
      <c r="AV227" s="935"/>
      <c r="AW227" s="935"/>
      <c r="AX227" s="935"/>
      <c r="AY227" s="935"/>
      <c r="AZ227" s="935"/>
      <c r="BA227" s="935"/>
      <c r="BB227" s="935"/>
      <c r="BC227" s="935"/>
      <c r="BD227" s="935"/>
      <c r="BE227" s="935"/>
      <c r="BF227" s="935"/>
      <c r="BG227" s="935"/>
      <c r="BH227" s="935"/>
      <c r="BI227" s="935"/>
      <c r="BJ227" s="935"/>
      <c r="BK227" s="935"/>
      <c r="BL227" s="935"/>
      <c r="BM227" s="935"/>
      <c r="BN227" s="935"/>
      <c r="BO227" s="935"/>
      <c r="BP227" s="935"/>
      <c r="BQ227" s="935"/>
      <c r="BR227" s="935"/>
      <c r="BS227" s="935"/>
      <c r="BT227" s="935"/>
    </row>
    <row r="228" spans="1:72" x14ac:dyDescent="0.25">
      <c r="A228" s="935" t="s">
        <v>800</v>
      </c>
      <c r="B228" s="935"/>
      <c r="C228" s="935"/>
      <c r="D228" s="935"/>
      <c r="E228" s="935"/>
      <c r="F228" s="935"/>
      <c r="G228" s="935"/>
      <c r="H228" s="935"/>
      <c r="I228" s="935"/>
      <c r="J228" s="935"/>
      <c r="K228" s="935"/>
      <c r="L228" s="935"/>
      <c r="M228" s="935"/>
      <c r="N228" s="935"/>
      <c r="O228" s="935"/>
      <c r="P228" s="935"/>
      <c r="Q228" s="935"/>
      <c r="R228" s="935"/>
      <c r="S228" s="935"/>
      <c r="T228" s="935"/>
      <c r="U228" s="935"/>
      <c r="V228" s="935"/>
      <c r="W228" s="935"/>
      <c r="X228" s="935"/>
      <c r="Y228" s="935"/>
      <c r="Z228" s="935"/>
      <c r="AA228" s="935"/>
      <c r="AB228" s="935"/>
      <c r="AC228" s="935"/>
      <c r="AD228" s="935"/>
      <c r="AE228" s="935"/>
      <c r="AF228" s="935"/>
      <c r="AG228" s="935"/>
      <c r="AH228" s="935"/>
      <c r="AI228" s="935"/>
      <c r="AJ228" s="935"/>
      <c r="AK228" s="935"/>
      <c r="AL228" s="935"/>
      <c r="AM228" s="935"/>
      <c r="AN228" s="935"/>
      <c r="AO228" s="935"/>
      <c r="AP228" s="935"/>
      <c r="AQ228" s="935"/>
      <c r="AR228" s="935"/>
      <c r="AS228" s="935"/>
      <c r="AT228" s="935"/>
      <c r="AU228" s="935"/>
      <c r="AV228" s="935"/>
      <c r="AW228" s="935"/>
      <c r="AX228" s="935"/>
      <c r="AY228" s="935"/>
      <c r="AZ228" s="935"/>
      <c r="BA228" s="935"/>
      <c r="BB228" s="935"/>
      <c r="BC228" s="935"/>
      <c r="BD228" s="935"/>
      <c r="BE228" s="935"/>
      <c r="BF228" s="935"/>
      <c r="BG228" s="935"/>
      <c r="BH228" s="935"/>
      <c r="BI228" s="935"/>
      <c r="BJ228" s="935"/>
      <c r="BK228" s="935"/>
      <c r="BL228" s="935"/>
      <c r="BM228" s="935"/>
      <c r="BN228" s="935"/>
      <c r="BO228" s="935"/>
      <c r="BP228" s="935"/>
      <c r="BQ228" s="935"/>
      <c r="BR228" s="935"/>
      <c r="BS228" s="935"/>
      <c r="BT228" s="935"/>
    </row>
    <row r="229" spans="1:72" x14ac:dyDescent="0.25">
      <c r="A229" s="935" t="s">
        <v>801</v>
      </c>
      <c r="B229" s="935"/>
      <c r="C229" s="935"/>
      <c r="D229" s="935"/>
      <c r="E229" s="935"/>
      <c r="F229" s="935"/>
      <c r="G229" s="935"/>
      <c r="H229" s="935"/>
      <c r="I229" s="935"/>
      <c r="J229" s="935"/>
      <c r="K229" s="935"/>
      <c r="L229" s="935"/>
      <c r="M229" s="935"/>
      <c r="N229" s="935"/>
      <c r="O229" s="935"/>
      <c r="P229" s="935"/>
      <c r="Q229" s="935"/>
      <c r="R229" s="935"/>
      <c r="S229" s="935"/>
      <c r="T229" s="935"/>
      <c r="U229" s="935"/>
      <c r="V229" s="935"/>
      <c r="W229" s="935"/>
      <c r="X229" s="935"/>
      <c r="Y229" s="935"/>
      <c r="Z229" s="935"/>
      <c r="AA229" s="935"/>
      <c r="AB229" s="935"/>
      <c r="AC229" s="935"/>
      <c r="AD229" s="935"/>
      <c r="AE229" s="935"/>
      <c r="AF229" s="935"/>
      <c r="AG229" s="935"/>
      <c r="AH229" s="935"/>
      <c r="AI229" s="935"/>
      <c r="AJ229" s="935"/>
      <c r="AK229" s="935"/>
      <c r="AL229" s="935"/>
      <c r="AM229" s="935"/>
      <c r="AN229" s="935"/>
      <c r="AO229" s="935"/>
      <c r="AP229" s="935"/>
      <c r="AQ229" s="935"/>
      <c r="AR229" s="935"/>
      <c r="AS229" s="935"/>
      <c r="AT229" s="935"/>
      <c r="AU229" s="935"/>
      <c r="AV229" s="935"/>
      <c r="AW229" s="935"/>
      <c r="AX229" s="935"/>
      <c r="AY229" s="935"/>
      <c r="AZ229" s="935"/>
      <c r="BA229" s="935"/>
      <c r="BB229" s="935"/>
      <c r="BC229" s="935"/>
      <c r="BD229" s="935"/>
      <c r="BE229" s="935"/>
      <c r="BF229" s="935"/>
      <c r="BG229" s="935"/>
      <c r="BH229" s="935"/>
      <c r="BI229" s="935"/>
      <c r="BJ229" s="935"/>
      <c r="BK229" s="935"/>
      <c r="BL229" s="935"/>
      <c r="BM229" s="935"/>
      <c r="BN229" s="935"/>
      <c r="BO229" s="935"/>
      <c r="BP229" s="935"/>
      <c r="BQ229" s="935"/>
      <c r="BR229" s="935"/>
      <c r="BS229" s="935"/>
      <c r="BT229" s="935"/>
    </row>
    <row r="230" spans="1:72" x14ac:dyDescent="0.25">
      <c r="A230" s="935" t="s">
        <v>802</v>
      </c>
      <c r="B230" s="935"/>
      <c r="C230" s="935"/>
      <c r="D230" s="935"/>
      <c r="E230" s="935"/>
      <c r="F230" s="935"/>
      <c r="G230" s="935"/>
      <c r="H230" s="935"/>
      <c r="I230" s="935"/>
      <c r="J230" s="935"/>
      <c r="K230" s="935"/>
      <c r="L230" s="935"/>
      <c r="M230" s="935"/>
      <c r="N230" s="935"/>
      <c r="O230" s="935"/>
      <c r="P230" s="935"/>
      <c r="Q230" s="935"/>
      <c r="R230" s="935"/>
      <c r="S230" s="935"/>
      <c r="T230" s="935"/>
      <c r="U230" s="935"/>
      <c r="V230" s="935"/>
      <c r="W230" s="935"/>
      <c r="X230" s="935"/>
      <c r="Y230" s="935"/>
      <c r="Z230" s="935"/>
      <c r="AA230" s="935"/>
      <c r="AB230" s="935"/>
      <c r="AC230" s="935"/>
      <c r="AD230" s="935"/>
      <c r="AE230" s="935"/>
      <c r="AF230" s="935"/>
      <c r="AG230" s="935"/>
      <c r="AH230" s="935"/>
      <c r="AI230" s="935"/>
      <c r="AJ230" s="935"/>
      <c r="AK230" s="935"/>
      <c r="AL230" s="935"/>
      <c r="AM230" s="935"/>
      <c r="AN230" s="935"/>
      <c r="AO230" s="935"/>
      <c r="AP230" s="935"/>
      <c r="AQ230" s="935"/>
      <c r="AR230" s="935"/>
      <c r="AS230" s="935"/>
      <c r="AT230" s="935"/>
      <c r="AU230" s="935"/>
      <c r="AV230" s="935"/>
      <c r="AW230" s="935"/>
      <c r="AX230" s="935"/>
      <c r="AY230" s="935"/>
      <c r="AZ230" s="935"/>
      <c r="BA230" s="935"/>
      <c r="BB230" s="935"/>
      <c r="BC230" s="935"/>
      <c r="BD230" s="935"/>
      <c r="BE230" s="935"/>
      <c r="BF230" s="935"/>
      <c r="BG230" s="935"/>
      <c r="BH230" s="935"/>
      <c r="BI230" s="935"/>
      <c r="BJ230" s="935"/>
      <c r="BK230" s="935"/>
      <c r="BL230" s="935"/>
      <c r="BM230" s="935"/>
      <c r="BN230" s="935"/>
      <c r="BO230" s="935"/>
      <c r="BP230" s="935"/>
      <c r="BQ230" s="935"/>
      <c r="BR230" s="935"/>
      <c r="BS230" s="935"/>
      <c r="BT230" s="935"/>
    </row>
    <row r="231" spans="1:72" x14ac:dyDescent="0.25">
      <c r="A231" s="935" t="s">
        <v>803</v>
      </c>
      <c r="B231" s="935"/>
      <c r="C231" s="935"/>
      <c r="D231" s="935"/>
      <c r="E231" s="935"/>
      <c r="F231" s="935"/>
      <c r="G231" s="935"/>
      <c r="H231" s="935"/>
      <c r="I231" s="935"/>
      <c r="J231" s="935"/>
      <c r="K231" s="935"/>
      <c r="L231" s="935"/>
      <c r="M231" s="935"/>
      <c r="N231" s="935"/>
      <c r="O231" s="935"/>
      <c r="P231" s="935"/>
      <c r="Q231" s="935"/>
      <c r="R231" s="935"/>
      <c r="S231" s="935"/>
      <c r="T231" s="935"/>
      <c r="U231" s="935"/>
      <c r="V231" s="935"/>
      <c r="W231" s="935"/>
      <c r="X231" s="935"/>
      <c r="Y231" s="935"/>
      <c r="Z231" s="935"/>
      <c r="AA231" s="935"/>
      <c r="AB231" s="935"/>
      <c r="AC231" s="935"/>
      <c r="AD231" s="935"/>
      <c r="AE231" s="935"/>
      <c r="AF231" s="935"/>
      <c r="AG231" s="935"/>
      <c r="AH231" s="935"/>
      <c r="AI231" s="935"/>
      <c r="AJ231" s="935"/>
      <c r="AK231" s="935"/>
      <c r="AL231" s="935"/>
      <c r="AM231" s="935"/>
      <c r="AN231" s="935"/>
      <c r="AO231" s="935"/>
      <c r="AP231" s="935"/>
      <c r="AQ231" s="935"/>
      <c r="AR231" s="935"/>
      <c r="AS231" s="935"/>
      <c r="AT231" s="935"/>
      <c r="AU231" s="935"/>
      <c r="AV231" s="935"/>
      <c r="AW231" s="935"/>
      <c r="AX231" s="935"/>
      <c r="AY231" s="935"/>
      <c r="AZ231" s="935"/>
      <c r="BA231" s="935"/>
      <c r="BB231" s="935"/>
      <c r="BC231" s="935"/>
      <c r="BD231" s="935"/>
      <c r="BE231" s="935"/>
      <c r="BF231" s="935"/>
      <c r="BG231" s="935"/>
      <c r="BH231" s="935"/>
      <c r="BI231" s="935"/>
      <c r="BJ231" s="935"/>
      <c r="BK231" s="935"/>
      <c r="BL231" s="935"/>
      <c r="BM231" s="935"/>
      <c r="BN231" s="935"/>
      <c r="BO231" s="935"/>
      <c r="BP231" s="935"/>
      <c r="BQ231" s="935"/>
      <c r="BR231" s="935"/>
      <c r="BS231" s="935"/>
      <c r="BT231" s="935"/>
    </row>
    <row r="232" spans="1:72" x14ac:dyDescent="0.25">
      <c r="A232" s="935" t="s">
        <v>804</v>
      </c>
      <c r="B232" s="935"/>
      <c r="C232" s="935"/>
      <c r="D232" s="935"/>
      <c r="E232" s="935"/>
      <c r="F232" s="935"/>
      <c r="G232" s="935"/>
      <c r="H232" s="935"/>
      <c r="I232" s="935"/>
      <c r="J232" s="935"/>
      <c r="K232" s="935"/>
      <c r="L232" s="935"/>
      <c r="M232" s="935"/>
      <c r="N232" s="935"/>
      <c r="O232" s="935"/>
      <c r="P232" s="935"/>
      <c r="Q232" s="935"/>
      <c r="R232" s="935"/>
      <c r="S232" s="935"/>
      <c r="T232" s="935"/>
      <c r="U232" s="935"/>
      <c r="V232" s="935"/>
      <c r="W232" s="935"/>
      <c r="X232" s="935"/>
      <c r="Y232" s="935"/>
      <c r="Z232" s="935"/>
      <c r="AA232" s="935"/>
      <c r="AB232" s="935"/>
      <c r="AC232" s="935"/>
      <c r="AD232" s="935"/>
      <c r="AE232" s="935"/>
      <c r="AF232" s="935"/>
      <c r="AG232" s="935"/>
      <c r="AH232" s="935"/>
      <c r="AI232" s="935"/>
      <c r="AJ232" s="935"/>
      <c r="AK232" s="935"/>
      <c r="AL232" s="935"/>
      <c r="AM232" s="935"/>
      <c r="AN232" s="935"/>
      <c r="AO232" s="935"/>
      <c r="AP232" s="935"/>
      <c r="AQ232" s="935"/>
      <c r="AR232" s="935"/>
      <c r="AS232" s="935"/>
      <c r="AT232" s="935"/>
      <c r="AU232" s="935"/>
      <c r="AV232" s="935"/>
      <c r="AW232" s="935"/>
      <c r="AX232" s="935"/>
      <c r="AY232" s="935"/>
      <c r="AZ232" s="935"/>
      <c r="BA232" s="935"/>
      <c r="BB232" s="935"/>
      <c r="BC232" s="935"/>
      <c r="BD232" s="935"/>
      <c r="BE232" s="935"/>
      <c r="BF232" s="935"/>
      <c r="BG232" s="935"/>
      <c r="BH232" s="935"/>
      <c r="BI232" s="935"/>
      <c r="BJ232" s="935"/>
      <c r="BK232" s="935"/>
      <c r="BL232" s="935"/>
      <c r="BM232" s="935"/>
      <c r="BN232" s="935"/>
      <c r="BO232" s="935"/>
      <c r="BP232" s="935"/>
      <c r="BQ232" s="935"/>
      <c r="BR232" s="935"/>
      <c r="BS232" s="935"/>
      <c r="BT232" s="935"/>
    </row>
    <row r="233" spans="1:72" x14ac:dyDescent="0.25">
      <c r="A233" s="912" t="s">
        <v>805</v>
      </c>
      <c r="AA233" s="306"/>
      <c r="AB233" s="306"/>
      <c r="AC233" s="306"/>
      <c r="AD233" s="306"/>
    </row>
    <row r="234" spans="1:72" x14ac:dyDescent="0.25">
      <c r="A234" s="912" t="s">
        <v>806</v>
      </c>
      <c r="AA234" s="306"/>
      <c r="AB234" s="306"/>
      <c r="AC234" s="306"/>
      <c r="AD234" s="306"/>
    </row>
    <row r="235" spans="1:72" x14ac:dyDescent="0.25">
      <c r="A235" s="912" t="s">
        <v>718</v>
      </c>
      <c r="B235" t="s">
        <v>719</v>
      </c>
      <c r="C235" t="s">
        <v>720</v>
      </c>
      <c r="E235" t="s">
        <v>721</v>
      </c>
      <c r="AA235" s="306"/>
      <c r="AB235" s="306"/>
      <c r="AC235" s="306"/>
      <c r="AD235" s="306"/>
    </row>
    <row r="236" spans="1:72" x14ac:dyDescent="0.25">
      <c r="AA236" s="306"/>
      <c r="AB236" s="306"/>
      <c r="AC236" s="306"/>
      <c r="AD236" s="306"/>
    </row>
    <row r="237" spans="1:72" x14ac:dyDescent="0.25">
      <c r="A237" s="912" t="s">
        <v>447</v>
      </c>
      <c r="AA237" s="306"/>
      <c r="AB237" s="306"/>
      <c r="AC237" s="306"/>
      <c r="AD237" s="306"/>
    </row>
    <row r="238" spans="1:72" x14ac:dyDescent="0.25">
      <c r="A238" s="912" t="s">
        <v>722</v>
      </c>
      <c r="AA238" s="306"/>
      <c r="AB238" s="306"/>
      <c r="AC238" s="306"/>
      <c r="AD238" s="306"/>
    </row>
    <row r="239" spans="1:72" x14ac:dyDescent="0.25">
      <c r="AA239" s="306"/>
      <c r="AB239" s="306"/>
      <c r="AC239" s="306"/>
      <c r="AD239" s="306"/>
    </row>
    <row r="240" spans="1:72" x14ac:dyDescent="0.25">
      <c r="AA240" s="306"/>
      <c r="AB240" s="306"/>
      <c r="AC240" s="306"/>
      <c r="AD240" s="306"/>
    </row>
    <row r="241" spans="1:70" x14ac:dyDescent="0.25">
      <c r="AA241" s="306"/>
      <c r="AB241" s="306"/>
      <c r="AC241" s="306"/>
      <c r="AD241" s="306"/>
    </row>
    <row r="242" spans="1:70" x14ac:dyDescent="0.25">
      <c r="B242" s="913" t="s">
        <v>453</v>
      </c>
      <c r="C242" s="913" t="s">
        <v>454</v>
      </c>
      <c r="D242" s="913" t="s">
        <v>455</v>
      </c>
      <c r="E242" s="913" t="s">
        <v>456</v>
      </c>
      <c r="F242" s="913" t="s">
        <v>457</v>
      </c>
      <c r="G242" s="913" t="s">
        <v>458</v>
      </c>
      <c r="H242" s="913" t="s">
        <v>459</v>
      </c>
      <c r="I242" s="913" t="s">
        <v>460</v>
      </c>
      <c r="J242" s="913" t="s">
        <v>461</v>
      </c>
      <c r="K242" s="913" t="s">
        <v>462</v>
      </c>
      <c r="L242" s="913" t="s">
        <v>463</v>
      </c>
      <c r="M242" s="913" t="s">
        <v>464</v>
      </c>
      <c r="N242" s="913" t="s">
        <v>465</v>
      </c>
      <c r="O242" s="913" t="s">
        <v>466</v>
      </c>
      <c r="P242" s="913" t="s">
        <v>467</v>
      </c>
      <c r="Q242" s="913" t="s">
        <v>468</v>
      </c>
      <c r="R242" s="913" t="s">
        <v>469</v>
      </c>
      <c r="S242" s="913" t="s">
        <v>470</v>
      </c>
      <c r="T242" s="913" t="s">
        <v>471</v>
      </c>
      <c r="U242" s="913" t="s">
        <v>472</v>
      </c>
      <c r="V242" s="913" t="s">
        <v>604</v>
      </c>
      <c r="W242" s="913" t="s">
        <v>605</v>
      </c>
      <c r="X242" s="913" t="s">
        <v>606</v>
      </c>
      <c r="Y242" s="913" t="s">
        <v>607</v>
      </c>
      <c r="Z242" s="913" t="s">
        <v>608</v>
      </c>
      <c r="AA242" s="306" t="s">
        <v>605</v>
      </c>
      <c r="AB242" s="306" t="s">
        <v>606</v>
      </c>
      <c r="AC242" s="306" t="s">
        <v>607</v>
      </c>
      <c r="AD242" s="306" t="s">
        <v>608</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5">
      <c r="AA243" s="306"/>
      <c r="AB243" s="306"/>
      <c r="AC243" s="306"/>
      <c r="AD243" s="306"/>
    </row>
    <row r="244" spans="1:70" x14ac:dyDescent="0.25">
      <c r="AA244" s="306"/>
      <c r="AB244" s="306"/>
      <c r="AC244" s="306"/>
      <c r="AD244" s="306"/>
    </row>
    <row r="245" spans="1:70" x14ac:dyDescent="0.25">
      <c r="A245" s="912" t="s">
        <v>473</v>
      </c>
      <c r="AA245" s="306"/>
      <c r="AB245" s="306"/>
      <c r="AC245" s="306"/>
      <c r="AD245" s="306"/>
    </row>
    <row r="246" spans="1:70" x14ac:dyDescent="0.25">
      <c r="A246" s="912" t="s">
        <v>609</v>
      </c>
      <c r="B246" s="914">
        <v>23.882804870605501</v>
      </c>
      <c r="C246" s="914">
        <v>24.973464965820298</v>
      </c>
      <c r="D246" s="914">
        <v>28.470840454101602</v>
      </c>
      <c r="E246" s="914">
        <v>21.505495071411101</v>
      </c>
      <c r="F246" s="914">
        <v>20.697200775146499</v>
      </c>
      <c r="G246" s="914">
        <v>23.0020751953125</v>
      </c>
      <c r="H246" s="914">
        <v>24.980747222900401</v>
      </c>
      <c r="I246" s="914">
        <v>26.7403888702393</v>
      </c>
      <c r="J246" s="914">
        <v>28.254840850830099</v>
      </c>
      <c r="K246" s="914">
        <v>29.8807067871094</v>
      </c>
      <c r="L246" s="914">
        <v>30.930690765380898</v>
      </c>
      <c r="M246" s="914">
        <v>31.804765701293899</v>
      </c>
      <c r="N246" s="914">
        <v>32.682899475097699</v>
      </c>
      <c r="O246" s="914">
        <v>33.084945678710902</v>
      </c>
      <c r="P246" s="914">
        <v>33.339298248291001</v>
      </c>
      <c r="Q246" s="914">
        <v>33.569530487060497</v>
      </c>
      <c r="R246" s="914">
        <v>33.692008972167997</v>
      </c>
      <c r="S246" s="914">
        <v>34.029460906982401</v>
      </c>
      <c r="T246" s="914">
        <v>34.165733337402301</v>
      </c>
      <c r="U246" s="914">
        <v>33.722698211669901</v>
      </c>
      <c r="V246" s="914">
        <v>33.999015808105497</v>
      </c>
      <c r="W246" s="914">
        <v>34.276668548583999</v>
      </c>
      <c r="X246" s="914">
        <v>34.616855621337898</v>
      </c>
      <c r="Y246" s="914">
        <v>34.804977416992202</v>
      </c>
      <c r="Z246" s="914">
        <v>35.163482666015597</v>
      </c>
      <c r="AA246" s="306">
        <v>23.653226852416999</v>
      </c>
      <c r="AB246" s="306">
        <v>23.781959533691399</v>
      </c>
      <c r="AC246" s="306">
        <v>23.869001388549801</v>
      </c>
      <c r="AD246" s="306">
        <v>23.909082412719702</v>
      </c>
    </row>
    <row r="247" spans="1:70" x14ac:dyDescent="0.25">
      <c r="A247" s="912" t="s">
        <v>610</v>
      </c>
      <c r="B247" s="914">
        <v>18.4642543792725</v>
      </c>
      <c r="C247" s="914">
        <v>19.664405822753899</v>
      </c>
      <c r="D247" s="914">
        <v>23.940315246581999</v>
      </c>
      <c r="E247" s="914">
        <v>15.6857194900513</v>
      </c>
      <c r="F247" s="914">
        <v>13.3512983322144</v>
      </c>
      <c r="G247" s="914">
        <v>15.708171844482401</v>
      </c>
      <c r="H247" s="914">
        <v>17.491518020629901</v>
      </c>
      <c r="I247" s="914">
        <v>18.8044624328613</v>
      </c>
      <c r="J247" s="914">
        <v>20.071212768554702</v>
      </c>
      <c r="K247" s="914">
        <v>21.571735382080099</v>
      </c>
      <c r="L247" s="914">
        <v>22.444984436035199</v>
      </c>
      <c r="M247" s="914">
        <v>23.2645053863525</v>
      </c>
      <c r="N247" s="914">
        <v>23.975505828857401</v>
      </c>
      <c r="O247" s="914">
        <v>24.350082397460898</v>
      </c>
      <c r="P247" s="914">
        <v>24.6401481628418</v>
      </c>
      <c r="Q247" s="914">
        <v>24.7862453460693</v>
      </c>
      <c r="R247" s="914">
        <v>24.899822235107401</v>
      </c>
      <c r="S247" s="914">
        <v>25.1952934265137</v>
      </c>
      <c r="T247" s="914">
        <v>25.492937088012699</v>
      </c>
      <c r="U247" s="914">
        <v>25.134300231933601</v>
      </c>
      <c r="V247" s="914">
        <v>25.433099746704102</v>
      </c>
      <c r="W247" s="914">
        <v>25.7546691894531</v>
      </c>
      <c r="X247" s="914">
        <v>26.098386764526399</v>
      </c>
      <c r="Y247" s="914">
        <v>26.3820476531982</v>
      </c>
      <c r="Z247" s="914">
        <v>26.7700805664063</v>
      </c>
      <c r="AA247" s="306">
        <v>13.801754951477101</v>
      </c>
      <c r="AB247" s="306">
        <v>13.897899627685501</v>
      </c>
      <c r="AC247" s="306">
        <v>14.058331489563001</v>
      </c>
      <c r="AD247" s="306">
        <v>14.125551223754901</v>
      </c>
    </row>
    <row r="248" spans="1:70" x14ac:dyDescent="0.25">
      <c r="A248" s="912" t="s">
        <v>510</v>
      </c>
      <c r="B248" s="914">
        <v>13.7000589370728</v>
      </c>
      <c r="C248" s="914">
        <v>12.691158294677701</v>
      </c>
      <c r="D248" s="914">
        <v>12.9778490066528</v>
      </c>
      <c r="E248" s="914">
        <v>10.717614173889199</v>
      </c>
      <c r="F248" s="914">
        <v>11.192774772644</v>
      </c>
      <c r="G248" s="914">
        <v>11.487280845642101</v>
      </c>
      <c r="H248" s="914">
        <v>11.3991556167603</v>
      </c>
      <c r="I248" s="914">
        <v>11.307798385620099</v>
      </c>
      <c r="J248" s="914">
        <v>11.2896461486816</v>
      </c>
      <c r="K248" s="914">
        <v>11.345415115356399</v>
      </c>
      <c r="L248" s="914">
        <v>11.538298606872599</v>
      </c>
      <c r="M248" s="914">
        <v>11.7583208084106</v>
      </c>
      <c r="N248" s="914">
        <v>11.975100517272899</v>
      </c>
      <c r="O248" s="914">
        <v>12.23952293396</v>
      </c>
      <c r="P248" s="914">
        <v>12.557071685791</v>
      </c>
      <c r="Q248" s="914">
        <v>12.7957820892334</v>
      </c>
      <c r="R248" s="914">
        <v>12.871651649475099</v>
      </c>
      <c r="S248" s="914">
        <v>12.660281181335399</v>
      </c>
      <c r="T248" s="914">
        <v>12.6240320205688</v>
      </c>
      <c r="U248" s="914">
        <v>12.5992183685303</v>
      </c>
      <c r="V248" s="914">
        <v>12.7868556976318</v>
      </c>
      <c r="W248" s="914">
        <v>13.07555103302</v>
      </c>
      <c r="X248" s="914">
        <v>13.407883644104</v>
      </c>
      <c r="Y248" s="914">
        <v>13.6725673675537</v>
      </c>
      <c r="Z248" s="914">
        <v>13.962038993835399</v>
      </c>
      <c r="AA248" s="306">
        <v>11.116808891296399</v>
      </c>
      <c r="AB248" s="306">
        <v>11.2574377059937</v>
      </c>
      <c r="AC248" s="306">
        <v>11.3709173202515</v>
      </c>
      <c r="AD248" s="306">
        <v>11.426144599914601</v>
      </c>
    </row>
    <row r="249" spans="1:70" x14ac:dyDescent="0.25">
      <c r="A249" s="912" t="s">
        <v>479</v>
      </c>
      <c r="B249" s="914">
        <v>31.206779479980501</v>
      </c>
      <c r="C249" s="914">
        <v>31.181957244873001</v>
      </c>
      <c r="D249" s="914">
        <v>31.772819519043001</v>
      </c>
      <c r="E249" s="914">
        <v>30.736837387085</v>
      </c>
      <c r="F249" s="914">
        <v>28.616357803344702</v>
      </c>
      <c r="G249" s="914">
        <v>29.873619079589801</v>
      </c>
      <c r="H249" s="914">
        <v>30.101655960083001</v>
      </c>
      <c r="I249" s="914">
        <v>30.425390243530298</v>
      </c>
      <c r="J249" s="914">
        <v>30.7938537597656</v>
      </c>
      <c r="K249" s="914">
        <v>30.883028030395501</v>
      </c>
      <c r="L249" s="914">
        <v>31.149145126342798</v>
      </c>
      <c r="M249" s="914">
        <v>31.4898681640625</v>
      </c>
      <c r="N249" s="914">
        <v>31.815629959106399</v>
      </c>
      <c r="O249" s="914">
        <v>32.020698547363303</v>
      </c>
      <c r="P249" s="914">
        <v>32.4303588867188</v>
      </c>
      <c r="Q249" s="914">
        <v>32.7907905578613</v>
      </c>
      <c r="R249" s="914">
        <v>32.994007110595703</v>
      </c>
      <c r="S249" s="914">
        <v>32.923465728759801</v>
      </c>
      <c r="T249" s="914">
        <v>32.920154571533203</v>
      </c>
      <c r="U249" s="914">
        <v>32.902271270752003</v>
      </c>
      <c r="V249" s="914">
        <v>32.958240509033203</v>
      </c>
      <c r="W249" s="914">
        <v>33.321102142333999</v>
      </c>
      <c r="X249" s="914">
        <v>33.734363555908203</v>
      </c>
      <c r="Y249" s="914">
        <v>34.149539947509801</v>
      </c>
      <c r="Z249" s="914">
        <v>34.490489959716797</v>
      </c>
      <c r="AA249" s="306">
        <v>26.5695495605469</v>
      </c>
      <c r="AB249" s="306">
        <v>26.6057014465332</v>
      </c>
      <c r="AC249" s="306">
        <v>26.7373046875</v>
      </c>
      <c r="AD249" s="306">
        <v>26.757972717285199</v>
      </c>
    </row>
    <row r="250" spans="1:70" x14ac:dyDescent="0.25">
      <c r="AA250" s="306"/>
      <c r="AB250" s="306"/>
      <c r="AC250" s="306"/>
      <c r="AD250" s="306"/>
    </row>
    <row r="251" spans="1:70" x14ac:dyDescent="0.25">
      <c r="A251" s="912" t="s">
        <v>480</v>
      </c>
      <c r="AA251" s="306">
        <v>12.0537929534912</v>
      </c>
      <c r="AB251" s="306">
        <v>12.2529897689819</v>
      </c>
      <c r="AC251" s="306">
        <v>12.3258762359619</v>
      </c>
      <c r="AD251" s="306">
        <v>12.452996253967299</v>
      </c>
    </row>
    <row r="252" spans="1:70" ht="13" thickBot="1" x14ac:dyDescent="0.3">
      <c r="A252" s="912" t="s">
        <v>609</v>
      </c>
      <c r="B252" s="914">
        <v>21.1974983215332</v>
      </c>
      <c r="C252" s="914">
        <v>23.041419982910199</v>
      </c>
      <c r="D252" s="914">
        <v>23.540430068969702</v>
      </c>
      <c r="E252" s="914">
        <v>20.975297927856399</v>
      </c>
      <c r="F252" s="914">
        <v>17.540355682373001</v>
      </c>
      <c r="G252" s="914">
        <v>19.827720642089801</v>
      </c>
      <c r="H252" s="914">
        <v>21.7962131500244</v>
      </c>
      <c r="I252" s="914">
        <v>23.5440998077393</v>
      </c>
      <c r="J252" s="914">
        <v>25.047388076782202</v>
      </c>
      <c r="K252" s="914">
        <v>26.6623840332031</v>
      </c>
      <c r="L252" s="914">
        <v>27.701774597168001</v>
      </c>
      <c r="M252" s="914">
        <v>28.565574645996101</v>
      </c>
      <c r="N252" s="914">
        <v>29.4346523284912</v>
      </c>
      <c r="O252" s="914">
        <v>29.8274021148682</v>
      </c>
      <c r="P252" s="914">
        <v>30.0731811523438</v>
      </c>
      <c r="Q252" s="914">
        <v>30.2960014343262</v>
      </c>
      <c r="R252" s="914">
        <v>30.4115695953369</v>
      </c>
      <c r="S252" s="914">
        <v>30.7421360015869</v>
      </c>
      <c r="T252" s="914">
        <v>30.871879577636701</v>
      </c>
      <c r="U252" s="914">
        <v>30.422807693481399</v>
      </c>
      <c r="V252" s="914">
        <v>30.6932373046875</v>
      </c>
      <c r="W252" s="914">
        <v>30.965314865112301</v>
      </c>
      <c r="X252" s="914">
        <v>31.299940109252901</v>
      </c>
      <c r="Y252" s="914">
        <v>31.482862472534201</v>
      </c>
      <c r="Z252" s="914">
        <v>31.836189270019499</v>
      </c>
      <c r="AA252" s="306">
        <v>7.3951959609985396</v>
      </c>
      <c r="AB252" s="306">
        <v>7.4624595642089799</v>
      </c>
      <c r="AC252" s="306">
        <v>7.2386937141418501</v>
      </c>
      <c r="AD252" s="306">
        <v>7.3113985061645499</v>
      </c>
    </row>
    <row r="253" spans="1:70" ht="13" thickBot="1" x14ac:dyDescent="0.3">
      <c r="A253" s="912" t="s">
        <v>610</v>
      </c>
      <c r="B253" s="914">
        <v>15.019946098327599</v>
      </c>
      <c r="C253" s="914">
        <v>16.054100036621101</v>
      </c>
      <c r="D253" s="914">
        <v>20.9568576812744</v>
      </c>
      <c r="E253" s="914">
        <v>13.740292549133301</v>
      </c>
      <c r="F253" s="914">
        <v>10.759732246398899</v>
      </c>
      <c r="G253" s="914">
        <v>13.277551651001</v>
      </c>
      <c r="H253" s="914">
        <v>15.102119445800801</v>
      </c>
      <c r="I253" s="914">
        <v>16.819028854370099</v>
      </c>
      <c r="J253" s="914">
        <v>18.163129806518601</v>
      </c>
      <c r="K253" s="914">
        <v>19.404659271240199</v>
      </c>
      <c r="L253" s="914">
        <v>20.2805690765381</v>
      </c>
      <c r="M253" s="914">
        <v>21.141357421875</v>
      </c>
      <c r="N253" s="914">
        <v>21.870569229126001</v>
      </c>
      <c r="O253" s="914">
        <v>22.288406372070298</v>
      </c>
      <c r="P253" s="914">
        <v>22.606428146362301</v>
      </c>
      <c r="Q253" s="914">
        <v>22.643785476684599</v>
      </c>
      <c r="R253" s="914">
        <v>22.862098693847699</v>
      </c>
      <c r="S253" s="914">
        <v>23.111530303955099</v>
      </c>
      <c r="T253" s="914">
        <v>23.2818489074707</v>
      </c>
      <c r="U253" s="914">
        <v>23.1139316558838</v>
      </c>
      <c r="V253" s="914">
        <v>23.4434604644775</v>
      </c>
      <c r="W253" s="914">
        <v>23.529294967651399</v>
      </c>
      <c r="X253" s="914">
        <v>23.9437866210938</v>
      </c>
      <c r="Y253" s="914">
        <v>24.471529006958001</v>
      </c>
      <c r="Z253" s="914">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 thickBot="1" x14ac:dyDescent="0.3">
      <c r="A254" s="912" t="s">
        <v>723</v>
      </c>
      <c r="B254" s="914">
        <v>8.8815975189209002</v>
      </c>
      <c r="C254" s="914">
        <v>10.3074436187744</v>
      </c>
      <c r="D254" s="914">
        <v>13.411918640136699</v>
      </c>
      <c r="E254" s="914">
        <v>6.6991925239562997</v>
      </c>
      <c r="F254" s="914">
        <v>5.8016228675842303</v>
      </c>
      <c r="G254" s="914">
        <v>8.5975322723388707</v>
      </c>
      <c r="H254" s="914">
        <v>10.1285858154297</v>
      </c>
      <c r="I254" s="914">
        <v>11.654000282287599</v>
      </c>
      <c r="J254" s="914">
        <v>12.9474182128906</v>
      </c>
      <c r="K254" s="914">
        <v>14.400235176086399</v>
      </c>
      <c r="L254" s="914">
        <v>15.2041673660278</v>
      </c>
      <c r="M254" s="914">
        <v>15.658245086669901</v>
      </c>
      <c r="N254" s="914">
        <v>16.352220535278299</v>
      </c>
      <c r="O254" s="914">
        <v>16.605510711669901</v>
      </c>
      <c r="P254" s="914">
        <v>16.856744766235401</v>
      </c>
      <c r="Q254" s="914">
        <v>17.043632507324201</v>
      </c>
      <c r="R254" s="914">
        <v>17.1953125</v>
      </c>
      <c r="S254" s="914">
        <v>17.403110504150401</v>
      </c>
      <c r="T254" s="914">
        <v>17.4520969390869</v>
      </c>
      <c r="U254" s="914">
        <v>17.016120910644499</v>
      </c>
      <c r="V254" s="914">
        <v>17.163618087768601</v>
      </c>
      <c r="W254" s="914">
        <v>17.311967849731399</v>
      </c>
      <c r="X254" s="914">
        <v>17.516565322876001</v>
      </c>
      <c r="Y254" s="914">
        <v>17.704761505126999</v>
      </c>
      <c r="Z254" s="914">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5">
      <c r="A255" s="912" t="s">
        <v>510</v>
      </c>
      <c r="B255" s="914">
        <v>11.896094322204601</v>
      </c>
      <c r="C255" s="914">
        <v>10.9898433685303</v>
      </c>
      <c r="D255" s="914">
        <v>11.3387994766235</v>
      </c>
      <c r="E255" s="914">
        <v>8.9075946807861293</v>
      </c>
      <c r="F255" s="914">
        <v>9.4656057357788104</v>
      </c>
      <c r="G255" s="914">
        <v>9.7463216781616193</v>
      </c>
      <c r="H255" s="914">
        <v>9.7210922241210902</v>
      </c>
      <c r="I255" s="914">
        <v>9.6719341278076207</v>
      </c>
      <c r="J255" s="914">
        <v>9.7138872146606392</v>
      </c>
      <c r="K255" s="914">
        <v>9.8306560516357404</v>
      </c>
      <c r="L255" s="914">
        <v>10.038209915161101</v>
      </c>
      <c r="M255" s="914">
        <v>10.2545003890991</v>
      </c>
      <c r="N255" s="914">
        <v>10.476261138916</v>
      </c>
      <c r="O255" s="914">
        <v>10.746561050415</v>
      </c>
      <c r="P255" s="914">
        <v>11.0803880691528</v>
      </c>
      <c r="Q255" s="914">
        <v>11.314369201660201</v>
      </c>
      <c r="R255" s="914">
        <v>11.4017143249512</v>
      </c>
      <c r="S255" s="914">
        <v>11.212500572204601</v>
      </c>
      <c r="T255" s="914">
        <v>11.1975994110107</v>
      </c>
      <c r="U255" s="914">
        <v>11.159740447998001</v>
      </c>
      <c r="V255" s="914">
        <v>11.3503875732422</v>
      </c>
      <c r="W255" s="914">
        <v>11.640952110290501</v>
      </c>
      <c r="X255" s="914">
        <v>11.9785671234131</v>
      </c>
      <c r="Y255" s="914">
        <v>12.2332496643066</v>
      </c>
      <c r="Z255" s="914">
        <v>12.5188312530518</v>
      </c>
      <c r="AA255" s="306"/>
      <c r="AB255" s="306"/>
      <c r="AC255" s="306"/>
      <c r="AD255" s="306"/>
    </row>
    <row r="256" spans="1:70" x14ac:dyDescent="0.25">
      <c r="A256" s="912" t="s">
        <v>479</v>
      </c>
      <c r="B256" s="914">
        <v>28.3762531280518</v>
      </c>
      <c r="C256" s="914">
        <v>28.029735565185501</v>
      </c>
      <c r="D256" s="914">
        <v>29.057315826416001</v>
      </c>
      <c r="E256" s="914">
        <v>27.6067714691162</v>
      </c>
      <c r="F256" s="914">
        <v>24.835584640502901</v>
      </c>
      <c r="G256" s="914">
        <v>25.581251144409201</v>
      </c>
      <c r="H256" s="914">
        <v>25.4402256011963</v>
      </c>
      <c r="I256" s="914">
        <v>25.470129013061499</v>
      </c>
      <c r="J256" s="914">
        <v>25.672283172607401</v>
      </c>
      <c r="K256" s="914">
        <v>25.763282775878899</v>
      </c>
      <c r="L256" s="914">
        <v>26.100669860839801</v>
      </c>
      <c r="M256" s="914">
        <v>26.468044281005898</v>
      </c>
      <c r="N256" s="914">
        <v>26.885612487793001</v>
      </c>
      <c r="O256" s="914">
        <v>27.169450759887699</v>
      </c>
      <c r="P256" s="914">
        <v>27.620109558105501</v>
      </c>
      <c r="Q256" s="914">
        <v>28.002447128295898</v>
      </c>
      <c r="R256" s="914">
        <v>28.245407104492202</v>
      </c>
      <c r="S256" s="914">
        <v>28.186374664306602</v>
      </c>
      <c r="T256" s="914">
        <v>28.203248977661101</v>
      </c>
      <c r="U256" s="914">
        <v>28.139711380004901</v>
      </c>
      <c r="V256" s="914">
        <v>28.178466796875</v>
      </c>
      <c r="W256" s="914">
        <v>28.495182037353501</v>
      </c>
      <c r="X256" s="914">
        <v>28.915565490722699</v>
      </c>
      <c r="Y256" s="914">
        <v>29.289411544799801</v>
      </c>
      <c r="Z256" s="914">
        <v>29.651695251464801</v>
      </c>
      <c r="AA256" s="306">
        <v>16.318952560424801</v>
      </c>
      <c r="AB256" s="306">
        <v>16.4172878265381</v>
      </c>
      <c r="AC256" s="306">
        <v>16.5084934234619</v>
      </c>
      <c r="AD256" s="306">
        <v>16.549221038818398</v>
      </c>
    </row>
    <row r="257" spans="1:70" x14ac:dyDescent="0.25">
      <c r="AA257" s="306">
        <v>12.788073539733899</v>
      </c>
      <c r="AB257" s="306">
        <v>13.069622039794901</v>
      </c>
      <c r="AC257" s="306">
        <v>13.0597486495972</v>
      </c>
      <c r="AD257" s="306">
        <v>13.2463188171387</v>
      </c>
    </row>
    <row r="258" spans="1:70" ht="13" thickBot="1" x14ac:dyDescent="0.3">
      <c r="A258" s="912" t="s">
        <v>612</v>
      </c>
      <c r="AA258" s="306">
        <v>9.5039434432983398</v>
      </c>
      <c r="AB258" s="306">
        <v>9.4975557327270508</v>
      </c>
      <c r="AC258" s="306">
        <v>9.6068582534790004</v>
      </c>
      <c r="AD258" s="306">
        <v>9.5831336975097692</v>
      </c>
    </row>
    <row r="259" spans="1:70" ht="13" thickBot="1" x14ac:dyDescent="0.3">
      <c r="A259" s="912" t="s">
        <v>609</v>
      </c>
      <c r="B259" s="914">
        <v>21.041078567504901</v>
      </c>
      <c r="C259" s="914">
        <v>23.3795166015625</v>
      </c>
      <c r="D259" s="914">
        <v>26.646581649780298</v>
      </c>
      <c r="E259" s="914">
        <v>22.2440700531006</v>
      </c>
      <c r="F259" s="914">
        <v>16.6379299163818</v>
      </c>
      <c r="G259" s="914">
        <v>18.920274734497099</v>
      </c>
      <c r="H259" s="914">
        <v>20.8892612457275</v>
      </c>
      <c r="I259" s="914">
        <v>22.636520385742202</v>
      </c>
      <c r="J259" s="914">
        <v>24.1346244812012</v>
      </c>
      <c r="K259" s="914">
        <v>25.742292404174801</v>
      </c>
      <c r="L259" s="914">
        <v>26.783767700195298</v>
      </c>
      <c r="M259" s="914">
        <v>27.652248382568398</v>
      </c>
      <c r="N259" s="914">
        <v>28.520401000976602</v>
      </c>
      <c r="O259" s="914">
        <v>28.932659149169901</v>
      </c>
      <c r="P259" s="914">
        <v>29.169765472412099</v>
      </c>
      <c r="Q259" s="914">
        <v>29.4143581390381</v>
      </c>
      <c r="R259" s="914">
        <v>29.524629592895501</v>
      </c>
      <c r="S259" s="914">
        <v>29.853767395019499</v>
      </c>
      <c r="T259" s="914">
        <v>29.959171295166001</v>
      </c>
      <c r="U259" s="914">
        <v>29.528638839721701</v>
      </c>
      <c r="V259" s="914">
        <v>29.7813510894775</v>
      </c>
      <c r="W259" s="914">
        <v>30.054143905639599</v>
      </c>
      <c r="X259" s="914">
        <v>30.3852443695068</v>
      </c>
      <c r="Y259" s="914">
        <v>30.4649448394775</v>
      </c>
      <c r="Z259" s="914">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5">
      <c r="A260" s="912" t="s">
        <v>610</v>
      </c>
      <c r="B260" s="914">
        <v>15.7354278564453</v>
      </c>
      <c r="C260" s="914">
        <v>16.8219394683838</v>
      </c>
      <c r="D260" s="914">
        <v>21.937858581543001</v>
      </c>
      <c r="E260" s="914">
        <v>14.291754722595201</v>
      </c>
      <c r="F260" s="914">
        <v>10.6247463226318</v>
      </c>
      <c r="G260" s="914">
        <v>13.4027051925659</v>
      </c>
      <c r="H260" s="914">
        <v>15.2648477554321</v>
      </c>
      <c r="I260" s="914">
        <v>17.266075134277301</v>
      </c>
      <c r="J260" s="914">
        <v>18.658037185668899</v>
      </c>
      <c r="K260" s="914">
        <v>19.740333557128899</v>
      </c>
      <c r="L260" s="914">
        <v>20.622322082519499</v>
      </c>
      <c r="M260" s="914">
        <v>21.514814376831101</v>
      </c>
      <c r="N260" s="914">
        <v>22.261856079101602</v>
      </c>
      <c r="O260" s="914">
        <v>22.720048904418899</v>
      </c>
      <c r="P260" s="914">
        <v>23.0620517730713</v>
      </c>
      <c r="Q260" s="914">
        <v>23.029100418090799</v>
      </c>
      <c r="R260" s="914">
        <v>23.327865600585898</v>
      </c>
      <c r="S260" s="914">
        <v>23.5460414886475</v>
      </c>
      <c r="T260" s="914">
        <v>23.635374069213899</v>
      </c>
      <c r="U260" s="914">
        <v>23.588466644287099</v>
      </c>
      <c r="V260" s="914">
        <v>23.9423828125</v>
      </c>
      <c r="W260" s="914">
        <v>23.870851516723601</v>
      </c>
      <c r="X260" s="914">
        <v>24.336980819702099</v>
      </c>
      <c r="Y260" s="914">
        <v>25.037542343139599</v>
      </c>
      <c r="Z260" s="914">
        <v>25.073137283325199</v>
      </c>
      <c r="AA260" s="306">
        <v>2.7168338298797599</v>
      </c>
      <c r="AB260" s="306">
        <v>2.7307398319244398</v>
      </c>
      <c r="AC260" s="306">
        <v>2.7413196563720699</v>
      </c>
      <c r="AD260" s="306">
        <v>2.7546591758728001</v>
      </c>
    </row>
    <row r="261" spans="1:70" x14ac:dyDescent="0.25">
      <c r="A261" s="912" t="s">
        <v>611</v>
      </c>
      <c r="B261" s="914">
        <v>9.2125787734985405</v>
      </c>
      <c r="C261" s="914">
        <v>10.5954837799072</v>
      </c>
      <c r="D261" s="914">
        <v>13.7473258972168</v>
      </c>
      <c r="E261" s="914">
        <v>6.9127345085143999</v>
      </c>
      <c r="F261" s="914">
        <v>9.8444128036499006</v>
      </c>
      <c r="G261" s="914">
        <v>12.2499532699585</v>
      </c>
      <c r="H261" s="914">
        <v>13.9352369308472</v>
      </c>
      <c r="I261" s="914">
        <v>15.428977966308601</v>
      </c>
      <c r="J261" s="914">
        <v>16.646518707275401</v>
      </c>
      <c r="K261" s="914">
        <v>18.037969589233398</v>
      </c>
      <c r="L261" s="914">
        <v>18.8180332183838</v>
      </c>
      <c r="M261" s="914">
        <v>19.4296264648438</v>
      </c>
      <c r="N261" s="914">
        <v>20.112428665161101</v>
      </c>
      <c r="O261" s="914">
        <v>20.448431015014599</v>
      </c>
      <c r="P261" s="914">
        <v>20.727931976318398</v>
      </c>
      <c r="Q261" s="914">
        <v>20.973798751831101</v>
      </c>
      <c r="R261" s="914">
        <v>21.101537704467798</v>
      </c>
      <c r="S261" s="914">
        <v>21.306892395019499</v>
      </c>
      <c r="T261" s="914">
        <v>21.394767761230501</v>
      </c>
      <c r="U261" s="914">
        <v>21.017236709594702</v>
      </c>
      <c r="V261" s="914">
        <v>21.180326461791999</v>
      </c>
      <c r="W261" s="914">
        <v>21.338615417480501</v>
      </c>
      <c r="X261" s="914">
        <v>21.660650253295898</v>
      </c>
      <c r="Y261" s="914">
        <v>21.793584823608398</v>
      </c>
      <c r="Z261" s="914">
        <v>22.078443527221701</v>
      </c>
      <c r="AA261" s="306">
        <v>2.2517027854919398</v>
      </c>
      <c r="AB261" s="306">
        <v>2.2682161331176802</v>
      </c>
      <c r="AC261" s="306">
        <v>2.2745745182037398</v>
      </c>
      <c r="AD261" s="306">
        <v>2.2862651348114</v>
      </c>
    </row>
    <row r="262" spans="1:70" ht="13" thickBot="1" x14ac:dyDescent="0.3">
      <c r="A262" s="912" t="s">
        <v>613</v>
      </c>
      <c r="B262" s="914">
        <v>7.9540700912475604</v>
      </c>
      <c r="C262" s="914">
        <v>7.5152516365051296</v>
      </c>
      <c r="D262" s="914">
        <v>8.8012723922729492</v>
      </c>
      <c r="E262" s="914">
        <v>4.8485679626464799</v>
      </c>
      <c r="F262" s="914">
        <v>5.4989199638366699</v>
      </c>
      <c r="G262" s="914">
        <v>5.8261642456054696</v>
      </c>
      <c r="H262" s="914">
        <v>5.87778615951538</v>
      </c>
      <c r="I262" s="914">
        <v>5.9538393020629901</v>
      </c>
      <c r="J262" s="914">
        <v>6.1098570823669398</v>
      </c>
      <c r="K262" s="914">
        <v>6.3294844627380398</v>
      </c>
      <c r="L262" s="914">
        <v>6.5125813484191903</v>
      </c>
      <c r="M262" s="914">
        <v>6.7027301788330096</v>
      </c>
      <c r="N262" s="914">
        <v>6.8988709449768102</v>
      </c>
      <c r="O262" s="914">
        <v>7.1528282165527299</v>
      </c>
      <c r="P262" s="914">
        <v>7.4686021804809597</v>
      </c>
      <c r="Q262" s="914">
        <v>7.6786775588989302</v>
      </c>
      <c r="R262" s="914">
        <v>7.7538070678710902</v>
      </c>
      <c r="S262" s="914">
        <v>7.5584783554077104</v>
      </c>
      <c r="T262" s="914">
        <v>7.5461778640747097</v>
      </c>
      <c r="U262" s="914">
        <v>7.4592709541320801</v>
      </c>
      <c r="V262" s="914">
        <v>7.6002230644226101</v>
      </c>
      <c r="W262" s="914">
        <v>7.8596048355102504</v>
      </c>
      <c r="X262" s="914">
        <v>8.1941757202148402</v>
      </c>
      <c r="Y262" s="914">
        <v>8.4216127395629901</v>
      </c>
      <c r="Z262" s="914">
        <v>8.6935501098632795</v>
      </c>
      <c r="AA262" s="306">
        <v>1.2833950519561801</v>
      </c>
      <c r="AB262" s="306">
        <v>1.3286876678466799</v>
      </c>
      <c r="AC262" s="306">
        <v>1.33012855052948</v>
      </c>
      <c r="AD262" s="306">
        <v>1.33445107936859</v>
      </c>
    </row>
    <row r="263" spans="1:70" ht="13" thickBot="1" x14ac:dyDescent="0.3">
      <c r="A263" s="912" t="s">
        <v>614</v>
      </c>
      <c r="B263" s="914">
        <v>3.6353600025177002</v>
      </c>
      <c r="C263" s="914">
        <v>3.6099998950958301</v>
      </c>
      <c r="D263" s="914">
        <v>4.0558156967163104</v>
      </c>
      <c r="E263" s="914">
        <v>4.0487108230590803</v>
      </c>
      <c r="F263" s="914">
        <v>3.9977276325225799</v>
      </c>
      <c r="G263" s="914">
        <v>4.1121706962585396</v>
      </c>
      <c r="H263" s="914">
        <v>4.1809573173522896</v>
      </c>
      <c r="I263" s="914">
        <v>4.2343683242797896</v>
      </c>
      <c r="J263" s="914">
        <v>4.27162742614746</v>
      </c>
      <c r="K263" s="914">
        <v>4.2985162734985396</v>
      </c>
      <c r="L263" s="914">
        <v>4.3192996978759801</v>
      </c>
      <c r="M263" s="914">
        <v>4.3337044715881303</v>
      </c>
      <c r="N263" s="914">
        <v>4.3530845642089799</v>
      </c>
      <c r="O263" s="914">
        <v>4.3696141242981001</v>
      </c>
      <c r="P263" s="914">
        <v>4.3899216651916504</v>
      </c>
      <c r="Q263" s="914">
        <v>4.4470157623290998</v>
      </c>
      <c r="R263" s="914">
        <v>4.5093812942504901</v>
      </c>
      <c r="S263" s="914">
        <v>4.5352845191955602</v>
      </c>
      <c r="T263" s="914">
        <v>4.5618190765380904</v>
      </c>
      <c r="U263" s="914">
        <v>4.5643453598022496</v>
      </c>
      <c r="V263" s="914">
        <v>4.5493078231811497</v>
      </c>
      <c r="W263" s="914">
        <v>4.5490665435790998</v>
      </c>
      <c r="X263" s="914">
        <v>4.5331215858459499</v>
      </c>
      <c r="Y263" s="914">
        <v>4.4955492019653303</v>
      </c>
      <c r="Z263" s="914">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5">
      <c r="A264" s="912" t="s">
        <v>615</v>
      </c>
      <c r="B264" s="914">
        <v>2.4029970169067401</v>
      </c>
      <c r="C264" s="914">
        <v>2.4299483299255402</v>
      </c>
      <c r="D264" s="914">
        <v>2.5420303344726598</v>
      </c>
      <c r="E264" s="914">
        <v>2.4490520954132098</v>
      </c>
      <c r="F264" s="914">
        <v>2.3906834125518799</v>
      </c>
      <c r="G264" s="914">
        <v>2.4765830039978001</v>
      </c>
      <c r="H264" s="914">
        <v>2.4936084747314502</v>
      </c>
      <c r="I264" s="914">
        <v>2.5247271060943599</v>
      </c>
      <c r="J264" s="914">
        <v>2.54471778869629</v>
      </c>
      <c r="K264" s="914">
        <v>2.53918480873108</v>
      </c>
      <c r="L264" s="914">
        <v>2.54552221298218</v>
      </c>
      <c r="M264" s="914">
        <v>2.5526983737945601</v>
      </c>
      <c r="N264" s="914">
        <v>2.5639333724975599</v>
      </c>
      <c r="O264" s="914">
        <v>2.5611753463745099</v>
      </c>
      <c r="P264" s="914">
        <v>2.56861472129822</v>
      </c>
      <c r="Q264" s="914">
        <v>2.5710935592651398</v>
      </c>
      <c r="R264" s="914">
        <v>2.57420825958252</v>
      </c>
      <c r="S264" s="914">
        <v>2.5741758346557599</v>
      </c>
      <c r="T264" s="914">
        <v>2.5788726806640598</v>
      </c>
      <c r="U264" s="914">
        <v>2.5789062976837198</v>
      </c>
      <c r="V264" s="914">
        <v>2.59378290176392</v>
      </c>
      <c r="W264" s="914">
        <v>2.6088099479675302</v>
      </c>
      <c r="X264" s="914">
        <v>2.6259028911590598</v>
      </c>
      <c r="Y264" s="914">
        <v>2.64452123641968</v>
      </c>
      <c r="Z264" s="914">
        <v>2.6644773483276398</v>
      </c>
      <c r="AA264" s="306"/>
      <c r="AB264" s="306"/>
      <c r="AC264" s="306"/>
      <c r="AD264" s="306"/>
    </row>
    <row r="265" spans="1:70" ht="13" thickBot="1" x14ac:dyDescent="0.3">
      <c r="A265" s="912" t="s">
        <v>616</v>
      </c>
      <c r="B265" s="914">
        <v>0</v>
      </c>
      <c r="C265" s="914">
        <v>0</v>
      </c>
      <c r="D265" s="914">
        <v>0</v>
      </c>
      <c r="E265" s="914">
        <v>0</v>
      </c>
      <c r="F265" s="914">
        <v>0</v>
      </c>
      <c r="G265" s="914">
        <v>1.5133428573608401</v>
      </c>
      <c r="H265" s="914">
        <v>1.3742095232009901</v>
      </c>
      <c r="I265" s="914">
        <v>1.19064140319824</v>
      </c>
      <c r="J265" s="914">
        <v>1.3664953708648699</v>
      </c>
      <c r="K265" s="914">
        <v>1.33487153053284</v>
      </c>
      <c r="L265" s="914">
        <v>1.31654036045074</v>
      </c>
      <c r="M265" s="914">
        <v>1.30223417282104</v>
      </c>
      <c r="N265" s="914">
        <v>1.30838906764984</v>
      </c>
      <c r="O265" s="914">
        <v>1.32146644592285</v>
      </c>
      <c r="P265" s="914">
        <v>1.3489345312118499</v>
      </c>
      <c r="Q265" s="914">
        <v>1.3524934053421001</v>
      </c>
      <c r="R265" s="914">
        <v>1.3570195436477701</v>
      </c>
      <c r="S265" s="914">
        <v>1.3626403808593801</v>
      </c>
      <c r="T265" s="914">
        <v>1.37119424343109</v>
      </c>
      <c r="U265" s="914">
        <v>1.3635557889938399</v>
      </c>
      <c r="V265" s="914">
        <v>1.3662919998168901</v>
      </c>
      <c r="W265" s="914">
        <v>1.37254309654236</v>
      </c>
      <c r="X265" s="914">
        <v>1.37609398365021</v>
      </c>
      <c r="Y265" s="914">
        <v>1.3784751892089799</v>
      </c>
      <c r="Z265" s="914">
        <v>1.3805129528045701</v>
      </c>
      <c r="AA265" s="306">
        <v>24.056577682495099</v>
      </c>
      <c r="AB265" s="306">
        <v>24.1739406585693</v>
      </c>
      <c r="AC265" s="306">
        <v>24.2586994171143</v>
      </c>
      <c r="AD265" s="306">
        <v>24.288969039916999</v>
      </c>
    </row>
    <row r="266" spans="1:70" ht="13" thickBot="1" x14ac:dyDescent="0.3">
      <c r="A266" s="912" t="s">
        <v>479</v>
      </c>
      <c r="B266" s="914">
        <v>18.400894165039102</v>
      </c>
      <c r="C266" s="914">
        <v>18.6226921081543</v>
      </c>
      <c r="D266" s="914">
        <v>20.334409713745099</v>
      </c>
      <c r="E266" s="914">
        <v>19.159486770629901</v>
      </c>
      <c r="F266" s="914">
        <v>16.828172683715799</v>
      </c>
      <c r="G266" s="914">
        <v>17.264308929443398</v>
      </c>
      <c r="H266" s="914">
        <v>17.156070709228501</v>
      </c>
      <c r="I266" s="914">
        <v>17.083604812622099</v>
      </c>
      <c r="J266" s="914">
        <v>17.1988334655762</v>
      </c>
      <c r="K266" s="914">
        <v>17.318143844604499</v>
      </c>
      <c r="L266" s="914">
        <v>17.615074157714801</v>
      </c>
      <c r="M266" s="914">
        <v>17.910154342651399</v>
      </c>
      <c r="N266" s="914">
        <v>18.210170745849599</v>
      </c>
      <c r="O266" s="914">
        <v>18.456880569458001</v>
      </c>
      <c r="P266" s="914">
        <v>18.803001403808601</v>
      </c>
      <c r="Q266" s="914">
        <v>19.085206985473601</v>
      </c>
      <c r="R266" s="914">
        <v>19.30615234375</v>
      </c>
      <c r="S266" s="914">
        <v>19.3043308258057</v>
      </c>
      <c r="T266" s="914">
        <v>19.3253479003906</v>
      </c>
      <c r="U266" s="914">
        <v>19.324813842773398</v>
      </c>
      <c r="V266" s="914">
        <v>19.354219436645501</v>
      </c>
      <c r="W266" s="914">
        <v>19.614883422851602</v>
      </c>
      <c r="X266" s="914">
        <v>19.97239112854</v>
      </c>
      <c r="Y266" s="914">
        <v>20.29469871521</v>
      </c>
      <c r="Z266" s="914">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 thickBot="1" x14ac:dyDescent="0.3">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 thickBot="1" x14ac:dyDescent="0.3">
      <c r="A268" s="912" t="s">
        <v>487</v>
      </c>
      <c r="AA268" s="306">
        <v>11.227470397949199</v>
      </c>
      <c r="AB268" s="306">
        <v>11.517865180969199</v>
      </c>
      <c r="AC268" s="306">
        <v>11.5089683532715</v>
      </c>
      <c r="AD268" s="306">
        <v>11.7493782043457</v>
      </c>
    </row>
    <row r="269" spans="1:70" ht="13" thickBot="1" x14ac:dyDescent="0.3">
      <c r="A269" s="912" t="s">
        <v>617</v>
      </c>
      <c r="B269" s="914">
        <v>22.296371459960898</v>
      </c>
      <c r="C269" s="914">
        <v>25.0072345733643</v>
      </c>
      <c r="D269" s="914">
        <v>28.759458541870099</v>
      </c>
      <c r="E269" s="914">
        <v>21.685003280639599</v>
      </c>
      <c r="F269" s="914">
        <v>20.534326553344702</v>
      </c>
      <c r="G269" s="914">
        <v>22.796831130981399</v>
      </c>
      <c r="H269" s="914">
        <v>24.8035278320313</v>
      </c>
      <c r="I269" s="914">
        <v>26.570152282714801</v>
      </c>
      <c r="J269" s="914">
        <v>28.076972961425799</v>
      </c>
      <c r="K269" s="914">
        <v>29.693559646606399</v>
      </c>
      <c r="L269" s="914">
        <v>30.7330017089844</v>
      </c>
      <c r="M269" s="914">
        <v>31.595745086669901</v>
      </c>
      <c r="N269" s="914">
        <v>32.463813781738303</v>
      </c>
      <c r="O269" s="914">
        <v>32.853603363037102</v>
      </c>
      <c r="P269" s="914">
        <v>33.095050811767599</v>
      </c>
      <c r="Q269" s="914">
        <v>33.3141899108887</v>
      </c>
      <c r="R269" s="914">
        <v>33.425758361816399</v>
      </c>
      <c r="S269" s="914">
        <v>33.752655029296903</v>
      </c>
      <c r="T269" s="914">
        <v>33.878787994384801</v>
      </c>
      <c r="U269" s="914">
        <v>33.426109313964801</v>
      </c>
      <c r="V269" s="914">
        <v>33.692680358886697</v>
      </c>
      <c r="W269" s="914">
        <v>33.960933685302699</v>
      </c>
      <c r="X269" s="914">
        <v>34.291332244872997</v>
      </c>
      <c r="Y269" s="914">
        <v>34.467491149902301</v>
      </c>
      <c r="Z269" s="914">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5">
      <c r="A270" s="912" t="s">
        <v>618</v>
      </c>
      <c r="B270" s="914">
        <v>25.5142211914063</v>
      </c>
      <c r="C270" s="914">
        <v>26.818180084228501</v>
      </c>
      <c r="D270" s="914">
        <v>34.073703765869098</v>
      </c>
      <c r="E270" s="914">
        <v>20.3962516784668</v>
      </c>
      <c r="F270" s="914">
        <v>18.869060516357401</v>
      </c>
      <c r="G270" s="914">
        <v>22.499189376831101</v>
      </c>
      <c r="H270" s="914">
        <v>24.345371246337901</v>
      </c>
      <c r="I270" s="914">
        <v>25.8835773468018</v>
      </c>
      <c r="J270" s="914">
        <v>27.376197814941399</v>
      </c>
      <c r="K270" s="914">
        <v>25.5507621765137</v>
      </c>
      <c r="L270" s="914">
        <v>26.3307495117188</v>
      </c>
      <c r="M270" s="914">
        <v>27.042121887206999</v>
      </c>
      <c r="N270" s="914">
        <v>27.074653625488299</v>
      </c>
      <c r="O270" s="914">
        <v>28.861484527587901</v>
      </c>
      <c r="P270" s="914">
        <v>29.593324661254901</v>
      </c>
      <c r="Q270" s="914">
        <v>29.691083908081101</v>
      </c>
      <c r="R270" s="914">
        <v>29.8394565582275</v>
      </c>
      <c r="S270" s="914">
        <v>30.056737899780298</v>
      </c>
      <c r="T270" s="914">
        <v>30.123649597168001</v>
      </c>
      <c r="U270" s="914">
        <v>30.045396804809599</v>
      </c>
      <c r="V270" s="914">
        <v>30.335887908935501</v>
      </c>
      <c r="W270" s="914">
        <v>30.1821899414063</v>
      </c>
      <c r="X270" s="914">
        <v>30.567377090454102</v>
      </c>
      <c r="Y270" s="914">
        <v>31.227724075317401</v>
      </c>
      <c r="Z270" s="914">
        <v>30.935503005981399</v>
      </c>
      <c r="AA270" s="306">
        <v>8.1832656860351598</v>
      </c>
      <c r="AB270" s="306">
        <v>8.1197490692138707</v>
      </c>
      <c r="AC270" s="306">
        <v>8.3803300857543892</v>
      </c>
      <c r="AD270" s="306">
        <v>8.2735004425048793</v>
      </c>
    </row>
    <row r="271" spans="1:70" x14ac:dyDescent="0.25">
      <c r="A271" s="912" t="s">
        <v>619</v>
      </c>
      <c r="B271" s="914">
        <v>21.784559249877901</v>
      </c>
      <c r="C271" s="914">
        <v>22.982162475585898</v>
      </c>
      <c r="D271" s="914">
        <v>26.1744689941406</v>
      </c>
      <c r="E271" s="914">
        <v>15.6736001968384</v>
      </c>
      <c r="F271" s="914">
        <v>17.7131462097168</v>
      </c>
      <c r="G271" s="914">
        <v>20.6617527008057</v>
      </c>
      <c r="H271" s="914">
        <v>22.301433563232401</v>
      </c>
      <c r="I271" s="914">
        <v>23.517950057983398</v>
      </c>
      <c r="J271" s="914">
        <v>24.816135406494102</v>
      </c>
      <c r="K271" s="914">
        <v>26.137458801269499</v>
      </c>
      <c r="L271" s="914">
        <v>27.061580657958999</v>
      </c>
      <c r="M271" s="914">
        <v>27.993299484252901</v>
      </c>
      <c r="N271" s="914">
        <v>28.802474975585898</v>
      </c>
      <c r="O271" s="914">
        <v>29.411088943481399</v>
      </c>
      <c r="P271" s="914">
        <v>29.938217163085898</v>
      </c>
      <c r="Q271" s="914">
        <v>30.057752609252901</v>
      </c>
      <c r="R271" s="914">
        <v>30.3159790039063</v>
      </c>
      <c r="S271" s="914">
        <v>30.494945526123001</v>
      </c>
      <c r="T271" s="914">
        <v>30.528341293335</v>
      </c>
      <c r="U271" s="914">
        <v>30.4458103179932</v>
      </c>
      <c r="V271" s="914">
        <v>30.726751327514599</v>
      </c>
      <c r="W271" s="914">
        <v>30.704950332641602</v>
      </c>
      <c r="X271" s="914">
        <v>31.110511779785199</v>
      </c>
      <c r="Y271" s="914">
        <v>31.9617519378662</v>
      </c>
      <c r="Z271" s="914">
        <v>31.583656311035199</v>
      </c>
      <c r="AA271" s="306">
        <v>13.240598678588899</v>
      </c>
      <c r="AB271" s="306">
        <v>13.359972000122101</v>
      </c>
      <c r="AC271" s="306">
        <v>13.395259857177701</v>
      </c>
      <c r="AD271" s="306">
        <v>13.453570365905801</v>
      </c>
    </row>
    <row r="272" spans="1:70" x14ac:dyDescent="0.25">
      <c r="A272" s="912" t="s">
        <v>620</v>
      </c>
      <c r="B272" s="914">
        <v>15.2446508407593</v>
      </c>
      <c r="C272" s="914">
        <v>16.0964660644531</v>
      </c>
      <c r="D272" s="914">
        <v>22.1856594085693</v>
      </c>
      <c r="E272" s="914">
        <v>10.540905952453601</v>
      </c>
      <c r="F272" s="914">
        <v>10.4131317138672</v>
      </c>
      <c r="G272" s="914">
        <v>12.992267608642599</v>
      </c>
      <c r="H272" s="914">
        <v>14.8510446548462</v>
      </c>
      <c r="I272" s="914">
        <v>16.4927158355713</v>
      </c>
      <c r="J272" s="914">
        <v>17.888269424438501</v>
      </c>
      <c r="K272" s="914">
        <v>19.120731353759801</v>
      </c>
      <c r="L272" s="914">
        <v>20.025011062622099</v>
      </c>
      <c r="M272" s="914">
        <v>20.925888061523398</v>
      </c>
      <c r="N272" s="914">
        <v>21.650459289550799</v>
      </c>
      <c r="O272" s="914">
        <v>22.054113388061499</v>
      </c>
      <c r="P272" s="914">
        <v>22.358533859252901</v>
      </c>
      <c r="Q272" s="914">
        <v>22.535087585449201</v>
      </c>
      <c r="R272" s="914">
        <v>22.624557495117202</v>
      </c>
      <c r="S272" s="914">
        <v>22.875423431396499</v>
      </c>
      <c r="T272" s="914">
        <v>23.088819503784201</v>
      </c>
      <c r="U272" s="914">
        <v>22.878332138061499</v>
      </c>
      <c r="V272" s="914">
        <v>23.229129791259801</v>
      </c>
      <c r="W272" s="914">
        <v>23.440977096557599</v>
      </c>
      <c r="X272" s="914">
        <v>23.911849975585898</v>
      </c>
      <c r="Y272" s="914">
        <v>24.3618278503418</v>
      </c>
      <c r="Z272" s="914">
        <v>24.669164657592798</v>
      </c>
      <c r="AA272" s="306">
        <v>24.345100402831999</v>
      </c>
      <c r="AB272" s="306">
        <v>24.401657104492202</v>
      </c>
      <c r="AC272" s="306">
        <v>24.482112884521499</v>
      </c>
      <c r="AD272" s="306">
        <v>24.4609375</v>
      </c>
    </row>
    <row r="273" spans="1:70" x14ac:dyDescent="0.25">
      <c r="A273" s="912" t="s">
        <v>724</v>
      </c>
      <c r="B273" s="914">
        <v>20.2724208831787</v>
      </c>
      <c r="C273" s="914">
        <v>20.921422958373999</v>
      </c>
      <c r="D273" s="914">
        <v>27.066003799438501</v>
      </c>
      <c r="E273" s="914">
        <v>15.379162788391101</v>
      </c>
      <c r="F273" s="914">
        <v>14.6322994232178</v>
      </c>
      <c r="G273" s="914">
        <v>17.082887649536101</v>
      </c>
      <c r="H273" s="914">
        <v>18.906814575195298</v>
      </c>
      <c r="I273" s="914">
        <v>21.012025833129901</v>
      </c>
      <c r="J273" s="914">
        <v>22.391767501831101</v>
      </c>
      <c r="K273" s="914">
        <v>23.401908874511701</v>
      </c>
      <c r="L273" s="914">
        <v>24.249780654907202</v>
      </c>
      <c r="M273" s="914">
        <v>25.151100158691399</v>
      </c>
      <c r="N273" s="914">
        <v>25.830009460449201</v>
      </c>
      <c r="O273" s="914">
        <v>26.267305374145501</v>
      </c>
      <c r="P273" s="914">
        <v>26.5901203155518</v>
      </c>
      <c r="Q273" s="914">
        <v>26.487575531005898</v>
      </c>
      <c r="R273" s="914">
        <v>26.7318305969238</v>
      </c>
      <c r="S273" s="914">
        <v>26.979133605956999</v>
      </c>
      <c r="T273" s="914">
        <v>27.001283645629901</v>
      </c>
      <c r="U273" s="914">
        <v>26.997362136840799</v>
      </c>
      <c r="V273" s="914">
        <v>27.317785263061499</v>
      </c>
      <c r="W273" s="914">
        <v>27.182266235351602</v>
      </c>
      <c r="X273" s="914">
        <v>27.638069152831999</v>
      </c>
      <c r="Y273" s="914">
        <v>28.388862609863299</v>
      </c>
      <c r="Z273" s="914">
        <v>28.337171554565401</v>
      </c>
      <c r="AA273" s="306"/>
      <c r="AB273" s="306"/>
      <c r="AC273" s="306"/>
      <c r="AD273" s="306"/>
    </row>
    <row r="274" spans="1:70" x14ac:dyDescent="0.25">
      <c r="A274" s="912" t="s">
        <v>611</v>
      </c>
      <c r="B274" s="914">
        <v>8.20648097991943</v>
      </c>
      <c r="C274" s="914">
        <v>9.4357099533081108</v>
      </c>
      <c r="D274" s="914">
        <v>14.2847747802734</v>
      </c>
      <c r="E274" s="914">
        <v>6.3925981521606401</v>
      </c>
      <c r="F274" s="914">
        <v>6.5852246284484899</v>
      </c>
      <c r="G274" s="914">
        <v>8.6673641204834002</v>
      </c>
      <c r="H274" s="914">
        <v>10.3328533172607</v>
      </c>
      <c r="I274" s="914">
        <v>11.815202713012701</v>
      </c>
      <c r="J274" s="914">
        <v>13.023598670959499</v>
      </c>
      <c r="K274" s="914">
        <v>14.4141092300415</v>
      </c>
      <c r="L274" s="914">
        <v>15.219378471374499</v>
      </c>
      <c r="M274" s="914">
        <v>15.915946006774901</v>
      </c>
      <c r="N274" s="914">
        <v>16.592523574829102</v>
      </c>
      <c r="O274" s="914">
        <v>16.9536838531494</v>
      </c>
      <c r="P274" s="914">
        <v>17.162534713745099</v>
      </c>
      <c r="Q274" s="914">
        <v>17.429744720458999</v>
      </c>
      <c r="R274" s="914">
        <v>17.456914901733398</v>
      </c>
      <c r="S274" s="914">
        <v>17.5628662109375</v>
      </c>
      <c r="T274" s="914">
        <v>17.630765914916999</v>
      </c>
      <c r="U274" s="914">
        <v>17.410764694213899</v>
      </c>
      <c r="V274" s="914">
        <v>17.6028347015381</v>
      </c>
      <c r="W274" s="914">
        <v>17.926630020141602</v>
      </c>
      <c r="X274" s="914">
        <v>18.257143020629901</v>
      </c>
      <c r="Y274" s="914">
        <v>18.451654434204102</v>
      </c>
      <c r="Z274" s="914">
        <v>18.835027694702099</v>
      </c>
      <c r="AA274" s="306">
        <v>10.4858131408691</v>
      </c>
      <c r="AB274" s="306">
        <v>10.572740554809601</v>
      </c>
      <c r="AC274" s="306">
        <v>10.740042686462401</v>
      </c>
      <c r="AD274" s="306">
        <v>10.786236763000501</v>
      </c>
    </row>
    <row r="275" spans="1:70" ht="13" thickBot="1" x14ac:dyDescent="0.3">
      <c r="A275" s="912" t="s">
        <v>622</v>
      </c>
      <c r="B275" s="914">
        <v>15.5415086746216</v>
      </c>
      <c r="C275" s="914">
        <v>15.4958410263062</v>
      </c>
      <c r="D275" s="914">
        <v>16.8896675109863</v>
      </c>
      <c r="E275" s="914">
        <v>12.7877197265625</v>
      </c>
      <c r="F275" s="914">
        <v>13.502610206604</v>
      </c>
      <c r="G275" s="914">
        <v>13.8291311264038</v>
      </c>
      <c r="H275" s="914">
        <v>13.8390712738037</v>
      </c>
      <c r="I275" s="914">
        <v>13.843875885009799</v>
      </c>
      <c r="J275" s="914">
        <v>13.934069633483899</v>
      </c>
      <c r="K275" s="914">
        <v>14.0993509292603</v>
      </c>
      <c r="L275" s="914">
        <v>14.229956626892101</v>
      </c>
      <c r="M275" s="914">
        <v>14.3684740066528</v>
      </c>
      <c r="N275" s="914">
        <v>14.5119123458862</v>
      </c>
      <c r="O275" s="914">
        <v>14.701403617858899</v>
      </c>
      <c r="P275" s="914">
        <v>14.9462375640869</v>
      </c>
      <c r="Q275" s="914">
        <v>15.0934410095215</v>
      </c>
      <c r="R275" s="914">
        <v>15.092455863952599</v>
      </c>
      <c r="S275" s="914">
        <v>14.8220539093018</v>
      </c>
      <c r="T275" s="914">
        <v>14.7596139907837</v>
      </c>
      <c r="U275" s="914">
        <v>14.661186218261699</v>
      </c>
      <c r="V275" s="914">
        <v>14.786495208740201</v>
      </c>
      <c r="W275" s="914">
        <v>15.012266159057599</v>
      </c>
      <c r="X275" s="914">
        <v>15.2852840423584</v>
      </c>
      <c r="Y275" s="914">
        <v>15.4684591293335</v>
      </c>
      <c r="Z275" s="914">
        <v>15.6974124908447</v>
      </c>
      <c r="AA275" s="306">
        <v>6.7344188690185502</v>
      </c>
      <c r="AB275" s="306">
        <v>6.7479009628295898</v>
      </c>
      <c r="AC275" s="306">
        <v>6.8497943878173801</v>
      </c>
      <c r="AD275" s="306">
        <v>6.84698486328125</v>
      </c>
    </row>
    <row r="276" spans="1:70" ht="13" thickBot="1" x14ac:dyDescent="0.3">
      <c r="A276" s="912" t="s">
        <v>479</v>
      </c>
      <c r="B276" s="914">
        <v>30.349004745483398</v>
      </c>
      <c r="C276" s="914">
        <v>30.777971267700199</v>
      </c>
      <c r="D276" s="914">
        <v>33.734138488769503</v>
      </c>
      <c r="E276" s="914">
        <v>31.501590728759801</v>
      </c>
      <c r="F276" s="914">
        <v>27.327030181884801</v>
      </c>
      <c r="G276" s="914">
        <v>28.561843872070298</v>
      </c>
      <c r="H276" s="914">
        <v>28.965305328369102</v>
      </c>
      <c r="I276" s="914">
        <v>28.9159030914307</v>
      </c>
      <c r="J276" s="914">
        <v>28.7644939422607</v>
      </c>
      <c r="K276" s="914">
        <v>28.526710510253899</v>
      </c>
      <c r="L276" s="914">
        <v>28.644361495971701</v>
      </c>
      <c r="M276" s="914">
        <v>28.6527919769287</v>
      </c>
      <c r="N276" s="914">
        <v>28.819505691528299</v>
      </c>
      <c r="O276" s="914">
        <v>28.888120651245099</v>
      </c>
      <c r="P276" s="914">
        <v>29.142557144165</v>
      </c>
      <c r="Q276" s="914">
        <v>29.470201492309599</v>
      </c>
      <c r="R276" s="914">
        <v>29.764074325561499</v>
      </c>
      <c r="S276" s="914">
        <v>29.801677703857401</v>
      </c>
      <c r="T276" s="914">
        <v>29.921939849853501</v>
      </c>
      <c r="U276" s="914">
        <v>30.035243988037099</v>
      </c>
      <c r="V276" s="914">
        <v>30.304817199706999</v>
      </c>
      <c r="W276" s="914">
        <v>30.8045558929443</v>
      </c>
      <c r="X276" s="914">
        <v>31.450147628784201</v>
      </c>
      <c r="Y276" s="914">
        <v>31.910936355590799</v>
      </c>
      <c r="Z276" s="914">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 thickBot="1" x14ac:dyDescent="0.3">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5">
      <c r="A278" s="912" t="s">
        <v>623</v>
      </c>
      <c r="AA278" s="306"/>
      <c r="AB278" s="306"/>
      <c r="AC278" s="306"/>
      <c r="AD278" s="306"/>
    </row>
    <row r="279" spans="1:70" x14ac:dyDescent="0.25">
      <c r="A279" s="912" t="s">
        <v>610</v>
      </c>
      <c r="B279" s="914">
        <v>13.773189544677701</v>
      </c>
      <c r="C279" s="914">
        <v>14.7725219726563</v>
      </c>
      <c r="D279" s="914">
        <v>19.176651000976602</v>
      </c>
      <c r="E279" s="914">
        <v>12.4995737075806</v>
      </c>
      <c r="F279" s="914">
        <v>9.7914295196533203</v>
      </c>
      <c r="G279" s="914">
        <v>12.0805196762085</v>
      </c>
      <c r="H279" s="914">
        <v>13.8671321868896</v>
      </c>
      <c r="I279" s="914">
        <v>15.216549873352101</v>
      </c>
      <c r="J279" s="914">
        <v>16.469785690307599</v>
      </c>
      <c r="K279" s="914">
        <v>17.9636936187744</v>
      </c>
      <c r="L279" s="914">
        <v>18.832237243652301</v>
      </c>
      <c r="M279" s="914">
        <v>19.641151428222699</v>
      </c>
      <c r="N279" s="914">
        <v>20.348432540893601</v>
      </c>
      <c r="O279" s="914">
        <v>20.710233688354499</v>
      </c>
      <c r="P279" s="914">
        <v>20.980741500854499</v>
      </c>
      <c r="Q279" s="914">
        <v>21.161005020141602</v>
      </c>
      <c r="R279" s="914">
        <v>21.2950553894043</v>
      </c>
      <c r="S279" s="914">
        <v>21.596014022827099</v>
      </c>
      <c r="T279" s="914">
        <v>21.884708404541001</v>
      </c>
      <c r="U279" s="914">
        <v>21.582948684692401</v>
      </c>
      <c r="V279" s="914">
        <v>21.8727416992188</v>
      </c>
      <c r="W279" s="914">
        <v>22.200710296630898</v>
      </c>
      <c r="X279" s="914">
        <v>22.548530578613299</v>
      </c>
      <c r="Y279" s="914">
        <v>22.812198638916001</v>
      </c>
      <c r="Z279" s="914">
        <v>23.2114353179932</v>
      </c>
      <c r="AA279" s="306">
        <v>18.0768718719482</v>
      </c>
      <c r="AB279" s="306">
        <v>18.184886932373001</v>
      </c>
      <c r="AC279" s="306">
        <v>18.263076782226602</v>
      </c>
      <c r="AD279" s="306">
        <v>18.304286956787099</v>
      </c>
    </row>
    <row r="280" spans="1:70" x14ac:dyDescent="0.25">
      <c r="A280" s="912" t="s">
        <v>611</v>
      </c>
      <c r="B280" s="914">
        <v>8.3781757354736293</v>
      </c>
      <c r="C280" s="914">
        <v>8.5664386749267596</v>
      </c>
      <c r="D280" s="914">
        <v>14.309384346008301</v>
      </c>
      <c r="E280" s="914">
        <v>6.51324510574341</v>
      </c>
      <c r="F280" s="914">
        <v>6.6763448715209996</v>
      </c>
      <c r="G280" s="914">
        <v>9.3123388290405291</v>
      </c>
      <c r="H280" s="914">
        <v>10.994701385498001</v>
      </c>
      <c r="I280" s="914">
        <v>12.5300750732422</v>
      </c>
      <c r="J280" s="914">
        <v>13.7526693344116</v>
      </c>
      <c r="K280" s="914">
        <v>15.155575752258301</v>
      </c>
      <c r="L280" s="914">
        <v>15.963142395019499</v>
      </c>
      <c r="M280" s="914">
        <v>16.617677688598601</v>
      </c>
      <c r="N280" s="914">
        <v>17.274333953857401</v>
      </c>
      <c r="O280" s="914">
        <v>17.322587966918899</v>
      </c>
      <c r="P280" s="914">
        <v>17.542411804199201</v>
      </c>
      <c r="Q280" s="914">
        <v>17.799869537353501</v>
      </c>
      <c r="R280" s="914">
        <v>17.916141510009801</v>
      </c>
      <c r="S280" s="914">
        <v>18.075910568237301</v>
      </c>
      <c r="T280" s="914">
        <v>18.1613368988037</v>
      </c>
      <c r="U280" s="914">
        <v>17.935956954956101</v>
      </c>
      <c r="V280" s="914">
        <v>18.128087997436499</v>
      </c>
      <c r="W280" s="914">
        <v>18.400978088378899</v>
      </c>
      <c r="X280" s="914">
        <v>18.7218933105469</v>
      </c>
      <c r="Y280" s="914">
        <v>18.9085083007813</v>
      </c>
      <c r="Z280" s="914">
        <v>19.247135162353501</v>
      </c>
      <c r="AA280" s="306">
        <v>21.3195495605469</v>
      </c>
      <c r="AB280" s="306">
        <v>21.43874168396</v>
      </c>
      <c r="AC280" s="306">
        <v>21.398374557495099</v>
      </c>
      <c r="AD280" s="306">
        <v>21.4992275238037</v>
      </c>
    </row>
    <row r="281" spans="1:70" x14ac:dyDescent="0.25">
      <c r="A281" s="912" t="s">
        <v>510</v>
      </c>
      <c r="B281" s="914">
        <v>7.0546379089355504</v>
      </c>
      <c r="C281" s="914">
        <v>7.0191597938537598</v>
      </c>
      <c r="D281" s="914">
        <v>8.8716125488281303</v>
      </c>
      <c r="E281" s="914">
        <v>4.5556221008300799</v>
      </c>
      <c r="F281" s="914">
        <v>5.1293134689331099</v>
      </c>
      <c r="G281" s="914">
        <v>5.4535460472106898</v>
      </c>
      <c r="H281" s="914">
        <v>5.5187635421752903</v>
      </c>
      <c r="I281" s="914">
        <v>5.53977298736572</v>
      </c>
      <c r="J281" s="914">
        <v>5.6835036277770996</v>
      </c>
      <c r="K281" s="914">
        <v>5.8920464515686</v>
      </c>
      <c r="L281" s="914">
        <v>6.0819325447082502</v>
      </c>
      <c r="M281" s="914">
        <v>6.2693996429443404</v>
      </c>
      <c r="N281" s="914">
        <v>6.4775133132934597</v>
      </c>
      <c r="O281" s="914">
        <v>6.7354197502136204</v>
      </c>
      <c r="P281" s="914">
        <v>7.0278439521789604</v>
      </c>
      <c r="Q281" s="914">
        <v>7.2539091110229501</v>
      </c>
      <c r="R281" s="914">
        <v>7.3283839225768999</v>
      </c>
      <c r="S281" s="914">
        <v>7.1506276130676296</v>
      </c>
      <c r="T281" s="914">
        <v>7.1924118995666504</v>
      </c>
      <c r="U281" s="914">
        <v>7.1398839950561497</v>
      </c>
      <c r="V281" s="914">
        <v>7.2806253433227504</v>
      </c>
      <c r="W281" s="914">
        <v>7.5354790687561</v>
      </c>
      <c r="X281" s="914">
        <v>7.8600792884826696</v>
      </c>
      <c r="Y281" s="914">
        <v>8.0742120742797905</v>
      </c>
      <c r="Z281" s="914">
        <v>8.3395175933837908</v>
      </c>
      <c r="AA281" s="306">
        <v>17.291141510009801</v>
      </c>
      <c r="AB281" s="306">
        <v>17.529483795166001</v>
      </c>
      <c r="AC281" s="306">
        <v>17.525184631347699</v>
      </c>
      <c r="AD281" s="306">
        <v>17.7543029785156</v>
      </c>
    </row>
    <row r="282" spans="1:70" x14ac:dyDescent="0.25">
      <c r="A282" s="912" t="s">
        <v>624</v>
      </c>
      <c r="B282" s="914">
        <v>1.7355252504348799</v>
      </c>
      <c r="C282" s="914">
        <v>1.7800002098083501</v>
      </c>
      <c r="D282" s="914">
        <v>1.9310736656189</v>
      </c>
      <c r="E282" s="914">
        <v>1.98230564594269</v>
      </c>
      <c r="F282" s="914">
        <v>1.86225914955139</v>
      </c>
      <c r="G282" s="914">
        <v>1.87335216999054</v>
      </c>
      <c r="H282" s="914">
        <v>1.85759365558624</v>
      </c>
      <c r="I282" s="914">
        <v>1.8817487955093399</v>
      </c>
      <c r="J282" s="914">
        <v>1.9043176174163801</v>
      </c>
      <c r="K282" s="914">
        <v>1.90719401836395</v>
      </c>
      <c r="L282" s="914">
        <v>1.9170492887496899</v>
      </c>
      <c r="M282" s="914">
        <v>1.9259506464004501</v>
      </c>
      <c r="N282" s="914">
        <v>1.94080138206482</v>
      </c>
      <c r="O282" s="914">
        <v>1.94636797904968</v>
      </c>
      <c r="P282" s="914">
        <v>1.9562891721725499</v>
      </c>
      <c r="Q282" s="914">
        <v>1.9622501134872401</v>
      </c>
      <c r="R282" s="914">
        <v>1.9753552675247199</v>
      </c>
      <c r="S282" s="914">
        <v>1.9811542034149201</v>
      </c>
      <c r="T282" s="914">
        <v>1.98549652099609</v>
      </c>
      <c r="U282" s="914">
        <v>1.9898830652236901</v>
      </c>
      <c r="V282" s="914">
        <v>1.99634909629822</v>
      </c>
      <c r="W282" s="914">
        <v>2.00744533538818</v>
      </c>
      <c r="X282" s="914">
        <v>2.0202190876007098</v>
      </c>
      <c r="Y282" s="914">
        <v>2.0336120128631601</v>
      </c>
      <c r="Z282" s="914">
        <v>2.0445194244384801</v>
      </c>
      <c r="AA282" s="306">
        <v>11.227470397949199</v>
      </c>
      <c r="AB282" s="306">
        <v>11.517865180969199</v>
      </c>
      <c r="AC282" s="306">
        <v>11.5089683532715</v>
      </c>
      <c r="AD282" s="306">
        <v>11.7493782043457</v>
      </c>
    </row>
    <row r="283" spans="1:70" x14ac:dyDescent="0.25">
      <c r="AA283" s="306">
        <v>15.2353620529175</v>
      </c>
      <c r="AB283" s="306">
        <v>15.5302953720093</v>
      </c>
      <c r="AC283" s="306">
        <v>15.500846862793001</v>
      </c>
      <c r="AD283" s="306">
        <v>15.7047281265259</v>
      </c>
    </row>
    <row r="284" spans="1:70" x14ac:dyDescent="0.25">
      <c r="A284" s="912" t="s">
        <v>625</v>
      </c>
      <c r="AA284" s="306">
        <v>7.7013258934020996</v>
      </c>
      <c r="AB284" s="306">
        <v>7.6767330169677699</v>
      </c>
      <c r="AC284" s="306">
        <v>7.8322434425354004</v>
      </c>
      <c r="AD284" s="306">
        <v>7.7872447967529297</v>
      </c>
    </row>
    <row r="285" spans="1:70" x14ac:dyDescent="0.25">
      <c r="A285" s="912" t="s">
        <v>609</v>
      </c>
      <c r="B285" s="914">
        <v>15.657142639160201</v>
      </c>
      <c r="C285" s="914">
        <v>18.5313529968262</v>
      </c>
      <c r="D285" s="914">
        <v>19.701341629028299</v>
      </c>
      <c r="E285" s="914">
        <v>16.4090671539307</v>
      </c>
      <c r="F285" s="914">
        <v>16.297544479370099</v>
      </c>
      <c r="G285" s="914">
        <v>18.4262371063232</v>
      </c>
      <c r="H285" s="914">
        <v>20.2184352874756</v>
      </c>
      <c r="I285" s="914">
        <v>21.813219070434599</v>
      </c>
      <c r="J285" s="914">
        <v>23.252103805541999</v>
      </c>
      <c r="K285" s="914">
        <v>24.811630249023398</v>
      </c>
      <c r="L285" s="914">
        <v>25.812454223632798</v>
      </c>
      <c r="M285" s="914">
        <v>26.627546310424801</v>
      </c>
      <c r="N285" s="914">
        <v>27.460300445556602</v>
      </c>
      <c r="O285" s="914">
        <v>27.8579425811768</v>
      </c>
      <c r="P285" s="914">
        <v>28.113265991210898</v>
      </c>
      <c r="Q285" s="914">
        <v>28.325565338134801</v>
      </c>
      <c r="R285" s="914">
        <v>28.4571437835693</v>
      </c>
      <c r="S285" s="914">
        <v>28.7732944488525</v>
      </c>
      <c r="T285" s="914">
        <v>28.920036315918001</v>
      </c>
      <c r="U285" s="914">
        <v>28.525373458862301</v>
      </c>
      <c r="V285" s="914">
        <v>28.814060211181602</v>
      </c>
      <c r="W285" s="914">
        <v>29.1242790222168</v>
      </c>
      <c r="X285" s="914">
        <v>29.486963272094702</v>
      </c>
      <c r="Y285" s="914">
        <v>29.629682540893601</v>
      </c>
      <c r="Z285" s="914">
        <v>30.0484523773193</v>
      </c>
      <c r="AA285" s="306">
        <v>7.8213167190551802</v>
      </c>
      <c r="AB285" s="306">
        <v>7.9383788108825701</v>
      </c>
      <c r="AC285" s="306">
        <v>8.0273618698120099</v>
      </c>
      <c r="AD285" s="306">
        <v>8.0851049423217791</v>
      </c>
    </row>
    <row r="286" spans="1:70" x14ac:dyDescent="0.25">
      <c r="A286" s="912" t="s">
        <v>618</v>
      </c>
      <c r="B286" s="914">
        <v>25.5142211914063</v>
      </c>
      <c r="C286" s="914">
        <v>26.818180084228501</v>
      </c>
      <c r="D286" s="914">
        <v>34.073703765869098</v>
      </c>
      <c r="E286" s="914">
        <v>20.3962516784668</v>
      </c>
      <c r="F286" s="914">
        <v>18.869060516357401</v>
      </c>
      <c r="G286" s="914">
        <v>22.499189376831101</v>
      </c>
      <c r="H286" s="914">
        <v>24.345371246337901</v>
      </c>
      <c r="I286" s="914">
        <v>25.8835773468018</v>
      </c>
      <c r="J286" s="914">
        <v>27.376197814941399</v>
      </c>
      <c r="K286" s="914">
        <v>25.5507621765137</v>
      </c>
      <c r="L286" s="914">
        <v>26.3307495117188</v>
      </c>
      <c r="M286" s="914">
        <v>27.042121887206999</v>
      </c>
      <c r="N286" s="914">
        <v>27.074653625488299</v>
      </c>
      <c r="O286" s="914">
        <v>28.861484527587901</v>
      </c>
      <c r="P286" s="914">
        <v>29.593324661254901</v>
      </c>
      <c r="Q286" s="914">
        <v>29.691083908081101</v>
      </c>
      <c r="R286" s="914">
        <v>29.8394565582275</v>
      </c>
      <c r="S286" s="914">
        <v>30.056737899780298</v>
      </c>
      <c r="T286" s="914">
        <v>30.123649597168001</v>
      </c>
      <c r="U286" s="914">
        <v>30.045396804809599</v>
      </c>
      <c r="V286" s="914">
        <v>30.335887908935501</v>
      </c>
      <c r="W286" s="914">
        <v>30.1821899414063</v>
      </c>
      <c r="X286" s="914">
        <v>30.567377090454102</v>
      </c>
      <c r="Y286" s="914">
        <v>31.227724075317401</v>
      </c>
      <c r="Z286" s="914">
        <v>30.935503005981399</v>
      </c>
      <c r="AA286" s="306">
        <v>2.7168338298797599</v>
      </c>
      <c r="AB286" s="306">
        <v>2.7307398319244398</v>
      </c>
      <c r="AC286" s="306">
        <v>2.7413196563720699</v>
      </c>
      <c r="AD286" s="306">
        <v>2.7546591758728001</v>
      </c>
    </row>
    <row r="287" spans="1:70" x14ac:dyDescent="0.25">
      <c r="A287" s="912" t="s">
        <v>619</v>
      </c>
      <c r="B287" s="914">
        <v>21.649000167846701</v>
      </c>
      <c r="C287" s="914">
        <v>22.8191947937012</v>
      </c>
      <c r="D287" s="914">
        <v>26.0107421875</v>
      </c>
      <c r="E287" s="914">
        <v>15.8019914627075</v>
      </c>
      <c r="F287" s="914">
        <v>17.711067199706999</v>
      </c>
      <c r="G287" s="914">
        <v>20.6589241027832</v>
      </c>
      <c r="H287" s="914">
        <v>22.298402786254901</v>
      </c>
      <c r="I287" s="914">
        <v>23.5152263641357</v>
      </c>
      <c r="J287" s="914">
        <v>24.813198089599599</v>
      </c>
      <c r="K287" s="914">
        <v>26.134485244751001</v>
      </c>
      <c r="L287" s="914">
        <v>27.0586547851563</v>
      </c>
      <c r="M287" s="914">
        <v>27.9900207519531</v>
      </c>
      <c r="N287" s="914">
        <v>28.799554824829102</v>
      </c>
      <c r="O287" s="914">
        <v>29.408401489257798</v>
      </c>
      <c r="P287" s="914">
        <v>29.935087203979499</v>
      </c>
      <c r="Q287" s="914">
        <v>30.054672241210898</v>
      </c>
      <c r="R287" s="914">
        <v>30.314332962036101</v>
      </c>
      <c r="S287" s="914">
        <v>30.492042541503899</v>
      </c>
      <c r="T287" s="914">
        <v>30.525100708007798</v>
      </c>
      <c r="U287" s="914">
        <v>30.442491531372099</v>
      </c>
      <c r="V287" s="914">
        <v>30.723676681518601</v>
      </c>
      <c r="W287" s="914">
        <v>30.701581954956101</v>
      </c>
      <c r="X287" s="914">
        <v>31.107343673706101</v>
      </c>
      <c r="Y287" s="914">
        <v>31.957983016967798</v>
      </c>
      <c r="Z287" s="914">
        <v>31.580909729003899</v>
      </c>
      <c r="AA287" s="306">
        <v>1.67883205413818</v>
      </c>
      <c r="AB287" s="306">
        <v>1.6938681602478001</v>
      </c>
      <c r="AC287" s="306">
        <v>1.7024568319320701</v>
      </c>
      <c r="AD287" s="306">
        <v>1.71655297279358</v>
      </c>
    </row>
    <row r="288" spans="1:70" x14ac:dyDescent="0.25">
      <c r="A288" s="912" t="s">
        <v>626</v>
      </c>
      <c r="B288" s="914">
        <v>15.2446508407593</v>
      </c>
      <c r="C288" s="914">
        <v>16.0964660644531</v>
      </c>
      <c r="D288" s="914">
        <v>22.1856594085693</v>
      </c>
      <c r="E288" s="914">
        <v>10.540905952453601</v>
      </c>
      <c r="F288" s="914">
        <v>10.4131317138672</v>
      </c>
      <c r="G288" s="914">
        <v>12.992267608642599</v>
      </c>
      <c r="H288" s="914">
        <v>14.8510446548462</v>
      </c>
      <c r="I288" s="914">
        <v>16.4927158355713</v>
      </c>
      <c r="J288" s="914">
        <v>17.888269424438501</v>
      </c>
      <c r="K288" s="914">
        <v>19.120731353759801</v>
      </c>
      <c r="L288" s="914">
        <v>20.025011062622099</v>
      </c>
      <c r="M288" s="914">
        <v>20.925888061523398</v>
      </c>
      <c r="N288" s="914">
        <v>21.650459289550799</v>
      </c>
      <c r="O288" s="914">
        <v>22.054113388061499</v>
      </c>
      <c r="P288" s="914">
        <v>22.358533859252901</v>
      </c>
      <c r="Q288" s="914">
        <v>22.535087585449201</v>
      </c>
      <c r="R288" s="914">
        <v>22.624557495117202</v>
      </c>
      <c r="S288" s="914">
        <v>22.875423431396499</v>
      </c>
      <c r="T288" s="914">
        <v>23.088819503784201</v>
      </c>
      <c r="U288" s="914">
        <v>22.878332138061499</v>
      </c>
      <c r="V288" s="914">
        <v>23.229129791259801</v>
      </c>
      <c r="W288" s="914">
        <v>23.440977096557599</v>
      </c>
      <c r="X288" s="914">
        <v>23.911849975585898</v>
      </c>
      <c r="Y288" s="914">
        <v>24.3618278503418</v>
      </c>
      <c r="Z288" s="914">
        <v>24.669164657592798</v>
      </c>
      <c r="AA288" s="306">
        <v>1.2833950519561801</v>
      </c>
      <c r="AB288" s="306">
        <v>1.3286876678466799</v>
      </c>
      <c r="AC288" s="306">
        <v>1.33012855052948</v>
      </c>
      <c r="AD288" s="306">
        <v>1.33445107936859</v>
      </c>
    </row>
    <row r="289" spans="1:30" x14ac:dyDescent="0.25">
      <c r="A289" s="912" t="s">
        <v>610</v>
      </c>
      <c r="B289" s="914">
        <v>19.171348571777301</v>
      </c>
      <c r="C289" s="914">
        <v>19.9431552886963</v>
      </c>
      <c r="D289" s="914">
        <v>25.721439361572301</v>
      </c>
      <c r="E289" s="914">
        <v>15.1513471603394</v>
      </c>
      <c r="F289" s="914">
        <v>13.5963325500488</v>
      </c>
      <c r="G289" s="914">
        <v>16.098552703857401</v>
      </c>
      <c r="H289" s="914">
        <v>18.014595031738299</v>
      </c>
      <c r="I289" s="914">
        <v>20.0945529937744</v>
      </c>
      <c r="J289" s="914">
        <v>21.487236022949201</v>
      </c>
      <c r="K289" s="914">
        <v>22.551927566528299</v>
      </c>
      <c r="L289" s="914">
        <v>23.4185886383057</v>
      </c>
      <c r="M289" s="914">
        <v>24.295482635498001</v>
      </c>
      <c r="N289" s="914">
        <v>25.028078079223601</v>
      </c>
      <c r="O289" s="914">
        <v>25.4735622406006</v>
      </c>
      <c r="P289" s="914">
        <v>25.7968635559082</v>
      </c>
      <c r="Q289" s="914">
        <v>25.744600296020501</v>
      </c>
      <c r="R289" s="914">
        <v>26.0401725769043</v>
      </c>
      <c r="S289" s="914">
        <v>26.245742797851602</v>
      </c>
      <c r="T289" s="914">
        <v>26.316581726074201</v>
      </c>
      <c r="U289" s="914">
        <v>26.282798767089801</v>
      </c>
      <c r="V289" s="914">
        <v>26.623888015747099</v>
      </c>
      <c r="W289" s="914">
        <v>26.532428741455099</v>
      </c>
      <c r="X289" s="914">
        <v>26.9911499023438</v>
      </c>
      <c r="Y289" s="914">
        <v>27.692060470581101</v>
      </c>
      <c r="Z289" s="914">
        <v>27.7130451202393</v>
      </c>
      <c r="AA289" s="306">
        <v>23.429731369018601</v>
      </c>
      <c r="AB289" s="306">
        <v>23.480413436889599</v>
      </c>
      <c r="AC289" s="306">
        <v>23.589033126831101</v>
      </c>
      <c r="AD289" s="306">
        <v>23.596023559570298</v>
      </c>
    </row>
    <row r="290" spans="1:30" x14ac:dyDescent="0.25">
      <c r="A290" s="912" t="s">
        <v>611</v>
      </c>
      <c r="B290" s="914">
        <v>8.4246683120727504</v>
      </c>
      <c r="C290" s="914">
        <v>9.3672227859497106</v>
      </c>
      <c r="D290" s="914">
        <v>14.1781015396118</v>
      </c>
      <c r="E290" s="914">
        <v>6.5043296813964799</v>
      </c>
      <c r="F290" s="914">
        <v>6.9149212837219203</v>
      </c>
      <c r="G290" s="914">
        <v>9.2013835906982404</v>
      </c>
      <c r="H290" s="914">
        <v>10.8588418960571</v>
      </c>
      <c r="I290" s="914">
        <v>12.3554439544678</v>
      </c>
      <c r="J290" s="914">
        <v>13.5696716308594</v>
      </c>
      <c r="K290" s="914">
        <v>14.9571332931519</v>
      </c>
      <c r="L290" s="914">
        <v>15.7562828063965</v>
      </c>
      <c r="M290" s="914">
        <v>16.419845581054702</v>
      </c>
      <c r="N290" s="914">
        <v>17.090215682983398</v>
      </c>
      <c r="O290" s="914">
        <v>17.3671054840088</v>
      </c>
      <c r="P290" s="914">
        <v>17.589653015136701</v>
      </c>
      <c r="Q290" s="914">
        <v>17.8480415344238</v>
      </c>
      <c r="R290" s="914">
        <v>17.911899566650401</v>
      </c>
      <c r="S290" s="914">
        <v>18.041828155517599</v>
      </c>
      <c r="T290" s="914">
        <v>18.112939834594702</v>
      </c>
      <c r="U290" s="914">
        <v>17.862413406372099</v>
      </c>
      <c r="V290" s="914">
        <v>18.047613143920898</v>
      </c>
      <c r="W290" s="914">
        <v>18.333000183105501</v>
      </c>
      <c r="X290" s="914">
        <v>18.6528930664063</v>
      </c>
      <c r="Y290" s="914">
        <v>18.8375339508057</v>
      </c>
      <c r="Z290" s="914">
        <v>19.187860488891602</v>
      </c>
      <c r="AA290" s="306"/>
      <c r="AB290" s="306"/>
      <c r="AC290" s="306"/>
      <c r="AD290" s="306"/>
    </row>
    <row r="291" spans="1:30" x14ac:dyDescent="0.25">
      <c r="A291" s="912" t="s">
        <v>510</v>
      </c>
      <c r="B291" s="914">
        <v>9.5015735626220703</v>
      </c>
      <c r="C291" s="914">
        <v>9.0060253143310494</v>
      </c>
      <c r="D291" s="914">
        <v>10.1816816329956</v>
      </c>
      <c r="E291" s="914">
        <v>6.76324558258057</v>
      </c>
      <c r="F291" s="914">
        <v>7.4289712905883798</v>
      </c>
      <c r="G291" s="914">
        <v>7.7374553680419904</v>
      </c>
      <c r="H291" s="914">
        <v>7.7907910346984899</v>
      </c>
      <c r="I291" s="914">
        <v>7.79954290390015</v>
      </c>
      <c r="J291" s="914">
        <v>7.91036033630371</v>
      </c>
      <c r="K291" s="914">
        <v>8.0721502304077095</v>
      </c>
      <c r="L291" s="914">
        <v>8.2674913406372106</v>
      </c>
      <c r="M291" s="914">
        <v>8.4630060195922905</v>
      </c>
      <c r="N291" s="914">
        <v>8.6615943908691406</v>
      </c>
      <c r="O291" s="914">
        <v>8.9140930175781303</v>
      </c>
      <c r="P291" s="914">
        <v>9.2212562561035192</v>
      </c>
      <c r="Q291" s="914">
        <v>9.4307956695556605</v>
      </c>
      <c r="R291" s="914">
        <v>9.4883728027343803</v>
      </c>
      <c r="S291" s="914">
        <v>9.2674760818481392</v>
      </c>
      <c r="T291" s="914">
        <v>9.2395153045654297</v>
      </c>
      <c r="U291" s="914">
        <v>9.1623344421386701</v>
      </c>
      <c r="V291" s="914">
        <v>9.3142642974853498</v>
      </c>
      <c r="W291" s="914">
        <v>9.5711297988891602</v>
      </c>
      <c r="X291" s="914">
        <v>9.9057645797729492</v>
      </c>
      <c r="Y291" s="914">
        <v>10.151716232299799</v>
      </c>
      <c r="Z291" s="914">
        <v>10.4206848144531</v>
      </c>
      <c r="AA291" s="306"/>
      <c r="AB291" s="306"/>
      <c r="AC291" s="306"/>
      <c r="AD291" s="306"/>
    </row>
    <row r="292" spans="1:30" x14ac:dyDescent="0.25">
      <c r="A292" s="912" t="s">
        <v>614</v>
      </c>
      <c r="B292" s="914">
        <v>3.6353600025177002</v>
      </c>
      <c r="C292" s="914">
        <v>3.6099998950958301</v>
      </c>
      <c r="D292" s="914">
        <v>4.0558156967163104</v>
      </c>
      <c r="E292" s="914">
        <v>4.0487108230590803</v>
      </c>
      <c r="F292" s="914">
        <v>3.9977276325225799</v>
      </c>
      <c r="G292" s="914">
        <v>4.1121706962585396</v>
      </c>
      <c r="H292" s="914">
        <v>4.1809573173522896</v>
      </c>
      <c r="I292" s="914">
        <v>4.2343683242797896</v>
      </c>
      <c r="J292" s="914">
        <v>4.27162742614746</v>
      </c>
      <c r="K292" s="914">
        <v>4.2985162734985396</v>
      </c>
      <c r="L292" s="914">
        <v>4.3192996978759801</v>
      </c>
      <c r="M292" s="914">
        <v>4.3337044715881303</v>
      </c>
      <c r="N292" s="914">
        <v>4.3530845642089799</v>
      </c>
      <c r="O292" s="914">
        <v>4.3696141242981001</v>
      </c>
      <c r="P292" s="914">
        <v>4.3899216651916504</v>
      </c>
      <c r="Q292" s="914">
        <v>4.4470157623290998</v>
      </c>
      <c r="R292" s="914">
        <v>4.5093812942504901</v>
      </c>
      <c r="S292" s="914">
        <v>4.5352845191955602</v>
      </c>
      <c r="T292" s="914">
        <v>4.5618190765380904</v>
      </c>
      <c r="U292" s="914">
        <v>4.5643453598022496</v>
      </c>
      <c r="V292" s="914">
        <v>4.5493078231811497</v>
      </c>
      <c r="W292" s="914">
        <v>4.5490665435790998</v>
      </c>
      <c r="X292" s="914">
        <v>4.5331215858459499</v>
      </c>
      <c r="Y292" s="914">
        <v>4.4955492019653303</v>
      </c>
      <c r="Z292" s="914">
        <v>4.4319190979003897</v>
      </c>
      <c r="AA292" s="306">
        <v>253.732666015625</v>
      </c>
      <c r="AB292" s="306">
        <v>257.28918457031301</v>
      </c>
      <c r="AC292" s="306">
        <v>259.96432495117199</v>
      </c>
      <c r="AD292" s="306">
        <v>262.21316528320301</v>
      </c>
    </row>
    <row r="293" spans="1:30" x14ac:dyDescent="0.25">
      <c r="A293" s="912" t="s">
        <v>627</v>
      </c>
      <c r="B293" s="914">
        <v>1.7776364088058501</v>
      </c>
      <c r="C293" s="914">
        <v>1.81885313987732</v>
      </c>
      <c r="D293" s="914">
        <v>1.9676311016082799</v>
      </c>
      <c r="E293" s="914">
        <v>2.0067975521087602</v>
      </c>
      <c r="F293" s="914">
        <v>1.88941025733948</v>
      </c>
      <c r="G293" s="914">
        <v>1.9042230844497701</v>
      </c>
      <c r="H293" s="914">
        <v>1.89033174514771</v>
      </c>
      <c r="I293" s="914">
        <v>1.9154095649719201</v>
      </c>
      <c r="J293" s="914">
        <v>1.93832087516785</v>
      </c>
      <c r="K293" s="914">
        <v>1.94072294235229</v>
      </c>
      <c r="L293" s="914">
        <v>1.9500694274902299</v>
      </c>
      <c r="M293" s="914">
        <v>1.9586881399154701</v>
      </c>
      <c r="N293" s="914">
        <v>1.9732190370559699</v>
      </c>
      <c r="O293" s="914">
        <v>1.9783339500427199</v>
      </c>
      <c r="P293" s="914">
        <v>1.98810267448425</v>
      </c>
      <c r="Q293" s="914">
        <v>1.9938982725143399</v>
      </c>
      <c r="R293" s="914">
        <v>2.0064799785614</v>
      </c>
      <c r="S293" s="914">
        <v>2.0119984149932901</v>
      </c>
      <c r="T293" s="914">
        <v>2.0163278579711901</v>
      </c>
      <c r="U293" s="914">
        <v>2.0205180644989</v>
      </c>
      <c r="V293" s="914">
        <v>2.0271856784820601</v>
      </c>
      <c r="W293" s="914">
        <v>2.0382561683654798</v>
      </c>
      <c r="X293" s="914">
        <v>2.0508835315704301</v>
      </c>
      <c r="Y293" s="914">
        <v>2.0641281604766801</v>
      </c>
      <c r="Z293" s="914">
        <v>2.0750961303710902</v>
      </c>
      <c r="AA293" s="306">
        <v>208.50216674804699</v>
      </c>
      <c r="AB293" s="306">
        <v>213.246017456055</v>
      </c>
      <c r="AC293" s="306">
        <v>217.97378540039099</v>
      </c>
      <c r="AD293" s="306">
        <v>222.08200073242199</v>
      </c>
    </row>
    <row r="294" spans="1:30" x14ac:dyDescent="0.25">
      <c r="A294" s="912" t="s">
        <v>616</v>
      </c>
      <c r="B294" s="914">
        <v>0</v>
      </c>
      <c r="C294" s="914">
        <v>0</v>
      </c>
      <c r="D294" s="914">
        <v>0</v>
      </c>
      <c r="E294" s="914">
        <v>0</v>
      </c>
      <c r="F294" s="914">
        <v>0</v>
      </c>
      <c r="G294" s="914">
        <v>1.5133428573608401</v>
      </c>
      <c r="H294" s="914">
        <v>1.3742095232009901</v>
      </c>
      <c r="I294" s="914">
        <v>1.19064140319824</v>
      </c>
      <c r="J294" s="914">
        <v>1.3664953708648699</v>
      </c>
      <c r="K294" s="914">
        <v>1.33487153053284</v>
      </c>
      <c r="L294" s="914">
        <v>1.31654036045074</v>
      </c>
      <c r="M294" s="914">
        <v>1.30223417282104</v>
      </c>
      <c r="N294" s="914">
        <v>1.30838906764984</v>
      </c>
      <c r="O294" s="914">
        <v>1.32146644592285</v>
      </c>
      <c r="P294" s="914">
        <v>1.3489345312118499</v>
      </c>
      <c r="Q294" s="914">
        <v>1.3524934053421001</v>
      </c>
      <c r="R294" s="914">
        <v>1.3570195436477701</v>
      </c>
      <c r="S294" s="914">
        <v>1.3626403808593801</v>
      </c>
      <c r="T294" s="914">
        <v>1.37119424343109</v>
      </c>
      <c r="U294" s="914">
        <v>1.3635557889938399</v>
      </c>
      <c r="V294" s="914">
        <v>1.3662919998168901</v>
      </c>
      <c r="W294" s="914">
        <v>1.37254309654236</v>
      </c>
      <c r="X294" s="914">
        <v>1.37609398365021</v>
      </c>
      <c r="Y294" s="914">
        <v>1.3784751892089799</v>
      </c>
      <c r="Z294" s="914">
        <v>1.3805129528045701</v>
      </c>
      <c r="AA294" s="306">
        <v>212.89649963378901</v>
      </c>
      <c r="AB294" s="306">
        <v>216.30204772949199</v>
      </c>
      <c r="AC294" s="306">
        <v>219.267822265625</v>
      </c>
      <c r="AD294" s="306">
        <v>222.079177856445</v>
      </c>
    </row>
    <row r="295" spans="1:30" x14ac:dyDescent="0.25">
      <c r="A295" s="912" t="s">
        <v>479</v>
      </c>
      <c r="B295" s="914">
        <v>26.672916412353501</v>
      </c>
      <c r="C295" s="914">
        <v>26.680915832519499</v>
      </c>
      <c r="D295" s="914">
        <v>27.799331665039102</v>
      </c>
      <c r="E295" s="914">
        <v>26.6892414093018</v>
      </c>
      <c r="F295" s="914">
        <v>24.2756156921387</v>
      </c>
      <c r="G295" s="914">
        <v>25.0947151184082</v>
      </c>
      <c r="H295" s="914">
        <v>25.0493679046631</v>
      </c>
      <c r="I295" s="914">
        <v>25.093559265136701</v>
      </c>
      <c r="J295" s="914">
        <v>25.339256286621101</v>
      </c>
      <c r="K295" s="914">
        <v>25.454051971435501</v>
      </c>
      <c r="L295" s="914">
        <v>25.7708930969238</v>
      </c>
      <c r="M295" s="914">
        <v>26.1124782562256</v>
      </c>
      <c r="N295" s="914">
        <v>26.474697113037099</v>
      </c>
      <c r="O295" s="914">
        <v>26.7419338226318</v>
      </c>
      <c r="P295" s="914">
        <v>27.1641750335693</v>
      </c>
      <c r="Q295" s="914">
        <v>27.529588699340799</v>
      </c>
      <c r="R295" s="914">
        <v>27.7828693389893</v>
      </c>
      <c r="S295" s="914">
        <v>27.754991531372099</v>
      </c>
      <c r="T295" s="914">
        <v>27.792310714721701</v>
      </c>
      <c r="U295" s="914">
        <v>27.7856330871582</v>
      </c>
      <c r="V295" s="914">
        <v>27.867961883544901</v>
      </c>
      <c r="W295" s="914">
        <v>28.2280673980713</v>
      </c>
      <c r="X295" s="914">
        <v>28.6754856109619</v>
      </c>
      <c r="Y295" s="914">
        <v>29.0858860015869</v>
      </c>
      <c r="Z295" s="914">
        <v>29.4564533233643</v>
      </c>
      <c r="AA295" s="306">
        <v>588.97521972656295</v>
      </c>
      <c r="AB295" s="306">
        <v>607.12139892578102</v>
      </c>
      <c r="AC295" s="306">
        <v>615.45501708984398</v>
      </c>
      <c r="AD295" s="306">
        <v>632.78991699218795</v>
      </c>
    </row>
    <row r="296" spans="1:30" x14ac:dyDescent="0.25">
      <c r="AA296" s="306">
        <v>1264.10656738281</v>
      </c>
      <c r="AB296" s="306">
        <v>1293.95861816406</v>
      </c>
      <c r="AC296" s="306">
        <v>1312.66088867188</v>
      </c>
      <c r="AD296" s="306">
        <v>1339.16430664063</v>
      </c>
    </row>
    <row r="297" spans="1:30" x14ac:dyDescent="0.25">
      <c r="A297" s="912" t="s">
        <v>513</v>
      </c>
      <c r="AA297" s="306">
        <v>0.38684526085853599</v>
      </c>
      <c r="AB297" s="306">
        <v>0.443235874176025</v>
      </c>
      <c r="AC297" s="306">
        <v>0.46923574805259699</v>
      </c>
      <c r="AD297" s="306">
        <v>0.51463860273361195</v>
      </c>
    </row>
    <row r="298" spans="1:30" x14ac:dyDescent="0.25">
      <c r="A298" s="912" t="s">
        <v>725</v>
      </c>
      <c r="AA298" s="306">
        <v>1264.49340820313</v>
      </c>
      <c r="AB298" s="306">
        <v>1294.40185546875</v>
      </c>
      <c r="AC298" s="306">
        <v>1313.13012695313</v>
      </c>
      <c r="AD298" s="306">
        <v>1339.67895507813</v>
      </c>
    </row>
    <row r="299" spans="1:30" x14ac:dyDescent="0.25">
      <c r="A299" s="912" t="s">
        <v>473</v>
      </c>
      <c r="B299" s="914">
        <v>231.10064697265599</v>
      </c>
      <c r="C299" s="914">
        <v>238.40081787109401</v>
      </c>
      <c r="D299" s="914">
        <v>250.00378417968801</v>
      </c>
      <c r="E299" s="914">
        <v>223.81915283203099</v>
      </c>
      <c r="F299" s="914">
        <v>215.29118347168</v>
      </c>
      <c r="G299" s="914">
        <v>224.09677124023401</v>
      </c>
      <c r="H299" s="914">
        <v>227.34310913085901</v>
      </c>
      <c r="I299" s="914">
        <v>227.85260009765599</v>
      </c>
      <c r="J299" s="914">
        <v>231.24415588378901</v>
      </c>
      <c r="K299" s="914">
        <v>234.18721008300801</v>
      </c>
      <c r="L299" s="914">
        <v>238.75100708007801</v>
      </c>
      <c r="M299" s="914">
        <v>243.18489074707</v>
      </c>
      <c r="N299" s="914">
        <v>248.169021606445</v>
      </c>
      <c r="O299" s="914">
        <v>252.72660827636699</v>
      </c>
      <c r="P299" s="914">
        <v>258.44952392578102</v>
      </c>
      <c r="Q299" s="914">
        <v>262.50808715820301</v>
      </c>
      <c r="R299" s="914">
        <v>265.94851684570301</v>
      </c>
      <c r="S299" s="914">
        <v>267.30322265625</v>
      </c>
      <c r="T299" s="914">
        <v>270.58847045898398</v>
      </c>
      <c r="U299" s="914">
        <v>272.04168701171898</v>
      </c>
      <c r="V299" s="914">
        <v>276.25186157226602</v>
      </c>
      <c r="W299" s="914">
        <v>282.20260620117199</v>
      </c>
      <c r="X299" s="914">
        <v>288.93267822265602</v>
      </c>
      <c r="Y299" s="914">
        <v>293.60751342773398</v>
      </c>
      <c r="Z299" s="914">
        <v>298.90402221679699</v>
      </c>
      <c r="AA299" s="306"/>
      <c r="AB299" s="306"/>
      <c r="AC299" s="306"/>
      <c r="AD299" s="306"/>
    </row>
    <row r="300" spans="1:30" x14ac:dyDescent="0.25">
      <c r="A300" s="912" t="s">
        <v>480</v>
      </c>
      <c r="B300" s="914">
        <v>170.28274536132801</v>
      </c>
      <c r="C300" s="914">
        <v>172.89260864257801</v>
      </c>
      <c r="D300" s="914">
        <v>183.352294921875</v>
      </c>
      <c r="E300" s="914">
        <v>163.89425659179699</v>
      </c>
      <c r="F300" s="914">
        <v>157.14476013183599</v>
      </c>
      <c r="G300" s="914">
        <v>164.69047546386699</v>
      </c>
      <c r="H300" s="914">
        <v>166.42567443847699</v>
      </c>
      <c r="I300" s="914">
        <v>169.00093078613301</v>
      </c>
      <c r="J300" s="914">
        <v>173.04789733886699</v>
      </c>
      <c r="K300" s="914">
        <v>176.93461608886699</v>
      </c>
      <c r="L300" s="914">
        <v>182.04042053222699</v>
      </c>
      <c r="M300" s="914">
        <v>187.24485778808599</v>
      </c>
      <c r="N300" s="914">
        <v>192.69107055664099</v>
      </c>
      <c r="O300" s="914">
        <v>197.508544921875</v>
      </c>
      <c r="P300" s="914">
        <v>203.26272583007801</v>
      </c>
      <c r="Q300" s="914">
        <v>208.31881713867199</v>
      </c>
      <c r="R300" s="914">
        <v>212.33370971679699</v>
      </c>
      <c r="S300" s="914">
        <v>214.22947692871099</v>
      </c>
      <c r="T300" s="914">
        <v>217.23475646972699</v>
      </c>
      <c r="U300" s="914">
        <v>219.65505981445301</v>
      </c>
      <c r="V300" s="914">
        <v>223.61666870117199</v>
      </c>
      <c r="W300" s="914">
        <v>229.31947326660199</v>
      </c>
      <c r="X300" s="914">
        <v>235.82908630371099</v>
      </c>
      <c r="Y300" s="914">
        <v>241.79779052734401</v>
      </c>
      <c r="Z300" s="914">
        <v>247.76422119140599</v>
      </c>
      <c r="AA300" s="306"/>
      <c r="AB300" s="306"/>
      <c r="AC300" s="306"/>
      <c r="AD300" s="306"/>
    </row>
    <row r="301" spans="1:30" x14ac:dyDescent="0.25">
      <c r="A301" s="912" t="s">
        <v>515</v>
      </c>
      <c r="B301" s="914">
        <v>216.08058166503901</v>
      </c>
      <c r="C301" s="914">
        <v>226.88609313964801</v>
      </c>
      <c r="D301" s="914">
        <v>248.66896057128901</v>
      </c>
      <c r="E301" s="914">
        <v>181.39601135253901</v>
      </c>
      <c r="F301" s="914">
        <v>151.70443725585901</v>
      </c>
      <c r="G301" s="914">
        <v>172.23597717285199</v>
      </c>
      <c r="H301" s="914">
        <v>186.63681030273401</v>
      </c>
      <c r="I301" s="914">
        <v>200.19924926757801</v>
      </c>
      <c r="J301" s="914">
        <v>207.03741455078099</v>
      </c>
      <c r="K301" s="914">
        <v>213.45352172851599</v>
      </c>
      <c r="L301" s="914">
        <v>218.62767028808599</v>
      </c>
      <c r="M301" s="914">
        <v>224.29528808593801</v>
      </c>
      <c r="N301" s="914">
        <v>229.96401977539099</v>
      </c>
      <c r="O301" s="914">
        <v>233.76069641113301</v>
      </c>
      <c r="P301" s="914">
        <v>239.065841674805</v>
      </c>
      <c r="Q301" s="914">
        <v>241.45851135253901</v>
      </c>
      <c r="R301" s="914">
        <v>242.383544921875</v>
      </c>
      <c r="S301" s="914">
        <v>242.41815185546901</v>
      </c>
      <c r="T301" s="914">
        <v>242.89247131347699</v>
      </c>
      <c r="U301" s="914">
        <v>240.916915893555</v>
      </c>
      <c r="V301" s="914">
        <v>241.41357421875</v>
      </c>
      <c r="W301" s="914">
        <v>242.50785827636699</v>
      </c>
      <c r="X301" s="914">
        <v>244.85752868652301</v>
      </c>
      <c r="Y301" s="914">
        <v>245.86729431152301</v>
      </c>
      <c r="Z301" s="914">
        <v>245.87216186523401</v>
      </c>
      <c r="AA301" s="306"/>
      <c r="AB301" s="306"/>
      <c r="AC301" s="306"/>
      <c r="AD301" s="306"/>
    </row>
    <row r="302" spans="1:30" x14ac:dyDescent="0.25">
      <c r="A302" s="912" t="s">
        <v>487</v>
      </c>
      <c r="B302" s="914">
        <v>564.62982177734398</v>
      </c>
      <c r="C302" s="914">
        <v>596.84759521484398</v>
      </c>
      <c r="D302" s="914">
        <v>693.65460205078102</v>
      </c>
      <c r="E302" s="914">
        <v>393.76574707031301</v>
      </c>
      <c r="F302" s="914">
        <v>430.90808105468801</v>
      </c>
      <c r="G302" s="914">
        <v>516.84307861328102</v>
      </c>
      <c r="H302" s="914">
        <v>568.141357421875</v>
      </c>
      <c r="I302" s="914">
        <v>610.89111328125</v>
      </c>
      <c r="J302" s="914">
        <v>646.41064453125</v>
      </c>
      <c r="K302" s="914">
        <v>676.39013671875</v>
      </c>
      <c r="L302" s="914">
        <v>696.72686767578102</v>
      </c>
      <c r="M302" s="914">
        <v>719.33160400390602</v>
      </c>
      <c r="N302" s="914">
        <v>737.13671875</v>
      </c>
      <c r="O302" s="914">
        <v>750.27301025390602</v>
      </c>
      <c r="P302" s="914">
        <v>759.33123779296898</v>
      </c>
      <c r="Q302" s="914">
        <v>760.33734130859398</v>
      </c>
      <c r="R302" s="914">
        <v>761.04602050781295</v>
      </c>
      <c r="S302" s="914">
        <v>771.55059814453102</v>
      </c>
      <c r="T302" s="914">
        <v>780.57421875</v>
      </c>
      <c r="U302" s="914">
        <v>783.147216796875</v>
      </c>
      <c r="V302" s="914">
        <v>796.70227050781295</v>
      </c>
      <c r="W302" s="914">
        <v>794.56842041015602</v>
      </c>
      <c r="X302" s="914">
        <v>811.39251708984398</v>
      </c>
      <c r="Y302" s="914">
        <v>832.07995605468795</v>
      </c>
      <c r="Z302" s="914">
        <v>835.36431884765602</v>
      </c>
      <c r="AA302" s="306"/>
      <c r="AB302" s="306"/>
      <c r="AC302" s="306"/>
      <c r="AD302" s="306"/>
    </row>
    <row r="303" spans="1:30" x14ac:dyDescent="0.25">
      <c r="A303" s="912" t="s">
        <v>516</v>
      </c>
      <c r="B303" s="914">
        <v>1182.09375</v>
      </c>
      <c r="C303" s="914">
        <v>1235.02709960938</v>
      </c>
      <c r="D303" s="914">
        <v>1375.6796875</v>
      </c>
      <c r="E303" s="914">
        <v>962.87518310546898</v>
      </c>
      <c r="F303" s="914">
        <v>955.04846191406295</v>
      </c>
      <c r="G303" s="914">
        <v>1077.86633300781</v>
      </c>
      <c r="H303" s="914">
        <v>1148.54699707031</v>
      </c>
      <c r="I303" s="914">
        <v>1207.94384765625</v>
      </c>
      <c r="J303" s="914">
        <v>1257.74011230469</v>
      </c>
      <c r="K303" s="914">
        <v>1300.96545410156</v>
      </c>
      <c r="L303" s="914">
        <v>1336.14599609375</v>
      </c>
      <c r="M303" s="914">
        <v>1374.056640625</v>
      </c>
      <c r="N303" s="914">
        <v>1407.96081542969</v>
      </c>
      <c r="O303" s="914">
        <v>1434.26879882813</v>
      </c>
      <c r="P303" s="914">
        <v>1460.109375</v>
      </c>
      <c r="Q303" s="914">
        <v>1472.62280273438</v>
      </c>
      <c r="R303" s="914">
        <v>1481.71179199219</v>
      </c>
      <c r="S303" s="914">
        <v>1495.50146484375</v>
      </c>
      <c r="T303" s="914">
        <v>1511.28991699219</v>
      </c>
      <c r="U303" s="914">
        <v>1515.76086425781</v>
      </c>
      <c r="V303" s="914">
        <v>1537.984375</v>
      </c>
      <c r="W303" s="914">
        <v>1548.59838867188</v>
      </c>
      <c r="X303" s="914">
        <v>1581.01184082031</v>
      </c>
      <c r="Y303" s="914">
        <v>1613.3525390625</v>
      </c>
      <c r="Z303" s="914">
        <v>1627.90478515625</v>
      </c>
      <c r="AA303" s="306"/>
      <c r="AB303" s="306"/>
      <c r="AC303" s="306"/>
      <c r="AD303" s="306"/>
    </row>
    <row r="304" spans="1:30" x14ac:dyDescent="0.25">
      <c r="A304" s="912" t="s">
        <v>629</v>
      </c>
      <c r="B304" s="914">
        <v>3.2131362706422799E-2</v>
      </c>
      <c r="C304" s="914">
        <v>4.0145620703697198E-2</v>
      </c>
      <c r="D304" s="914">
        <v>3.7687420845031697E-2</v>
      </c>
      <c r="E304" s="914">
        <v>2.54867300391197E-2</v>
      </c>
      <c r="F304" s="914">
        <v>5.4010055959224701E-2</v>
      </c>
      <c r="G304" s="914">
        <v>6.77362531423569E-2</v>
      </c>
      <c r="H304" s="914">
        <v>8.3178348839283003E-2</v>
      </c>
      <c r="I304" s="914">
        <v>9.4869345426559407E-2</v>
      </c>
      <c r="J304" s="914">
        <v>0.113030456006527</v>
      </c>
      <c r="K304" s="914">
        <v>1.97330021858215</v>
      </c>
      <c r="L304" s="914">
        <v>4.8567194938659703</v>
      </c>
      <c r="M304" s="914">
        <v>6.7303171157836896</v>
      </c>
      <c r="N304" s="914">
        <v>10.514961242675801</v>
      </c>
      <c r="O304" s="914">
        <v>15.7356252670288</v>
      </c>
      <c r="P304" s="914">
        <v>22.100711822509801</v>
      </c>
      <c r="Q304" s="914">
        <v>25.9892463684082</v>
      </c>
      <c r="R304" s="914">
        <v>35.539012908935497</v>
      </c>
      <c r="S304" s="914">
        <v>35.597633361816399</v>
      </c>
      <c r="T304" s="914">
        <v>34.1677055358887</v>
      </c>
      <c r="U304" s="914">
        <v>35.613494873046903</v>
      </c>
      <c r="V304" s="914">
        <v>37.140151977539098</v>
      </c>
      <c r="W304" s="914">
        <v>45.276290893554702</v>
      </c>
      <c r="X304" s="914">
        <v>47.974498748779297</v>
      </c>
      <c r="Y304" s="914">
        <v>53.190200805664098</v>
      </c>
      <c r="Z304" s="914">
        <v>54.179977416992202</v>
      </c>
      <c r="AA304" s="306"/>
      <c r="AB304" s="306"/>
      <c r="AC304" s="306"/>
      <c r="AD304" s="306"/>
    </row>
    <row r="305" spans="1:30" x14ac:dyDescent="0.25">
      <c r="A305" s="912" t="s">
        <v>518</v>
      </c>
      <c r="B305" s="914">
        <v>1182.12585449219</v>
      </c>
      <c r="C305" s="914">
        <v>1235.06726074219</v>
      </c>
      <c r="D305" s="914">
        <v>1375.71740722656</v>
      </c>
      <c r="E305" s="914">
        <v>962.90069580078102</v>
      </c>
      <c r="F305" s="914">
        <v>955.10247802734398</v>
      </c>
      <c r="G305" s="914">
        <v>1077.93408203125</v>
      </c>
      <c r="H305" s="914">
        <v>1148.63012695313</v>
      </c>
      <c r="I305" s="914">
        <v>1208.03869628906</v>
      </c>
      <c r="J305" s="914">
        <v>1257.85314941406</v>
      </c>
      <c r="K305" s="914">
        <v>1302.93872070313</v>
      </c>
      <c r="L305" s="914">
        <v>1341.00268554688</v>
      </c>
      <c r="M305" s="914">
        <v>1380.78698730469</v>
      </c>
      <c r="N305" s="914">
        <v>1418.47583007813</v>
      </c>
      <c r="O305" s="914">
        <v>1450.00439453125</v>
      </c>
      <c r="P305" s="914">
        <v>1482.21008300781</v>
      </c>
      <c r="Q305" s="914">
        <v>1498.61206054688</v>
      </c>
      <c r="R305" s="914">
        <v>1517.25085449219</v>
      </c>
      <c r="S305" s="914">
        <v>1531.09912109375</v>
      </c>
      <c r="T305" s="914">
        <v>1545.45764160156</v>
      </c>
      <c r="U305" s="914">
        <v>1551.37438964844</v>
      </c>
      <c r="V305" s="914">
        <v>1575.12451171875</v>
      </c>
      <c r="W305" s="914">
        <v>1593.87463378906</v>
      </c>
      <c r="X305" s="914">
        <v>1628.986328125</v>
      </c>
      <c r="Y305" s="914">
        <v>1666.54272460938</v>
      </c>
      <c r="Z305" s="914">
        <v>1682.08471679688</v>
      </c>
      <c r="AA305" s="306"/>
      <c r="AB305" s="306"/>
      <c r="AC305" s="306"/>
      <c r="AD305" s="306"/>
    </row>
    <row r="306" spans="1:30" x14ac:dyDescent="0.25">
      <c r="AA306" s="306"/>
      <c r="AB306" s="306"/>
      <c r="AC306" s="306"/>
      <c r="AD306" s="306"/>
    </row>
    <row r="307" spans="1:30" x14ac:dyDescent="0.25">
      <c r="AA307" s="306"/>
      <c r="AB307" s="306"/>
      <c r="AC307" s="306"/>
      <c r="AD307" s="306"/>
    </row>
    <row r="308" spans="1:30" x14ac:dyDescent="0.25">
      <c r="A308" s="912" t="s">
        <v>726</v>
      </c>
      <c r="AA308" s="306"/>
      <c r="AB308" s="306"/>
      <c r="AC308" s="306"/>
      <c r="AD308" s="306"/>
    </row>
    <row r="309" spans="1:30" x14ac:dyDescent="0.25">
      <c r="A309" s="912" t="s">
        <v>473</v>
      </c>
      <c r="AA309" s="306"/>
      <c r="AB309" s="306"/>
      <c r="AC309" s="306"/>
      <c r="AD309" s="306"/>
    </row>
    <row r="310" spans="1:30" x14ac:dyDescent="0.25">
      <c r="A310" s="912" t="s">
        <v>609</v>
      </c>
      <c r="B310" s="914">
        <v>23.2563285827637</v>
      </c>
      <c r="C310" s="914">
        <v>24.973464965820298</v>
      </c>
      <c r="D310" s="914">
        <v>29.096658706665</v>
      </c>
      <c r="E310" s="914">
        <v>22.194786071777301</v>
      </c>
      <c r="F310" s="914">
        <v>21.477947235107401</v>
      </c>
      <c r="G310" s="914">
        <v>24.1509113311768</v>
      </c>
      <c r="H310" s="914">
        <v>26.557428359985401</v>
      </c>
      <c r="I310" s="914">
        <v>28.936630249023398</v>
      </c>
      <c r="J310" s="914">
        <v>31.2247924804688</v>
      </c>
      <c r="K310" s="914">
        <v>33.758499145507798</v>
      </c>
      <c r="L310" s="914">
        <v>35.743316650390597</v>
      </c>
      <c r="M310" s="914">
        <v>37.599853515625</v>
      </c>
      <c r="N310" s="914">
        <v>39.552177429199197</v>
      </c>
      <c r="O310" s="914">
        <v>40.9905815124512</v>
      </c>
      <c r="P310" s="914">
        <v>42.334590911865199</v>
      </c>
      <c r="Q310" s="914">
        <v>43.7123832702637</v>
      </c>
      <c r="R310" s="914">
        <v>44.985881805419901</v>
      </c>
      <c r="S310" s="914">
        <v>46.523696899414098</v>
      </c>
      <c r="T310" s="914">
        <v>47.765018463134801</v>
      </c>
      <c r="U310" s="914">
        <v>48.143123626708999</v>
      </c>
      <c r="V310" s="914">
        <v>49.548942565917997</v>
      </c>
      <c r="W310" s="914">
        <v>50.986961364746101</v>
      </c>
      <c r="X310" s="914">
        <v>52.580905914306598</v>
      </c>
      <c r="Y310" s="914">
        <v>53.965934753417997</v>
      </c>
      <c r="Z310" s="914">
        <v>55.648300170898402</v>
      </c>
      <c r="AA310" s="306"/>
      <c r="AB310" s="306"/>
      <c r="AC310" s="306"/>
      <c r="AD310" s="306"/>
    </row>
    <row r="311" spans="1:30" x14ac:dyDescent="0.25">
      <c r="A311" s="912" t="s">
        <v>610</v>
      </c>
      <c r="B311" s="914">
        <v>17.979913711547901</v>
      </c>
      <c r="C311" s="914">
        <v>19.664405822753899</v>
      </c>
      <c r="D311" s="914">
        <v>24.466548919677699</v>
      </c>
      <c r="E311" s="914">
        <v>16.188474655151399</v>
      </c>
      <c r="F311" s="914">
        <v>13.8549404144287</v>
      </c>
      <c r="G311" s="914">
        <v>16.4927158355713</v>
      </c>
      <c r="H311" s="914">
        <v>18.5955104827881</v>
      </c>
      <c r="I311" s="914">
        <v>20.348911285400401</v>
      </c>
      <c r="J311" s="914">
        <v>22.1809597015381</v>
      </c>
      <c r="K311" s="914">
        <v>24.3712253570557</v>
      </c>
      <c r="L311" s="914">
        <v>25.9372863769531</v>
      </c>
      <c r="M311" s="914">
        <v>27.5034885406494</v>
      </c>
      <c r="N311" s="914">
        <v>29.0146675109863</v>
      </c>
      <c r="O311" s="914">
        <v>30.168525695800799</v>
      </c>
      <c r="P311" s="914">
        <v>31.2883205413818</v>
      </c>
      <c r="Q311" s="914">
        <v>32.275276184082003</v>
      </c>
      <c r="R311" s="914">
        <v>33.246475219726598</v>
      </c>
      <c r="S311" s="914">
        <v>34.4459838867188</v>
      </c>
      <c r="T311" s="914">
        <v>35.640113830566399</v>
      </c>
      <c r="U311" s="914">
        <v>35.882171630859403</v>
      </c>
      <c r="V311" s="914">
        <v>37.065284729003899</v>
      </c>
      <c r="W311" s="914">
        <v>38.310382843017599</v>
      </c>
      <c r="X311" s="914">
        <v>39.641868591308601</v>
      </c>
      <c r="Y311" s="914">
        <v>40.905982971191399</v>
      </c>
      <c r="Z311" s="914">
        <v>42.365245819091797</v>
      </c>
      <c r="AA311" s="306"/>
      <c r="AB311" s="306"/>
      <c r="AC311" s="306"/>
      <c r="AD311" s="306"/>
    </row>
    <row r="312" spans="1:30" x14ac:dyDescent="0.25">
      <c r="A312" s="912" t="s">
        <v>510</v>
      </c>
      <c r="B312" s="914">
        <v>13.3406887054443</v>
      </c>
      <c r="C312" s="914">
        <v>12.691158294677701</v>
      </c>
      <c r="D312" s="914">
        <v>13.2631158828735</v>
      </c>
      <c r="E312" s="914">
        <v>11.061133384704601</v>
      </c>
      <c r="F312" s="914">
        <v>11.614992141723601</v>
      </c>
      <c r="G312" s="914">
        <v>12.061012268066399</v>
      </c>
      <c r="H312" s="914">
        <v>12.1186227798462</v>
      </c>
      <c r="I312" s="914">
        <v>12.236530303955099</v>
      </c>
      <c r="J312" s="914">
        <v>12.476335525512701</v>
      </c>
      <c r="K312" s="914">
        <v>12.8177757263184</v>
      </c>
      <c r="L312" s="914">
        <v>13.333586692810099</v>
      </c>
      <c r="M312" s="914">
        <v>13.900782585144</v>
      </c>
      <c r="N312" s="914">
        <v>14.492022514343301</v>
      </c>
      <c r="O312" s="914">
        <v>15.1641521453857</v>
      </c>
      <c r="P312" s="914">
        <v>15.945101737976101</v>
      </c>
      <c r="Q312" s="914">
        <v>16.661958694458001</v>
      </c>
      <c r="R312" s="914">
        <v>17.186347961425799</v>
      </c>
      <c r="S312" s="914">
        <v>17.308622360229499</v>
      </c>
      <c r="T312" s="914">
        <v>17.6488857269287</v>
      </c>
      <c r="U312" s="914">
        <v>17.9868679046631</v>
      </c>
      <c r="V312" s="914">
        <v>18.635103225708001</v>
      </c>
      <c r="W312" s="914">
        <v>19.4500408172607</v>
      </c>
      <c r="X312" s="914">
        <v>20.3657627105713</v>
      </c>
      <c r="Y312" s="914">
        <v>21.1996364593506</v>
      </c>
      <c r="Z312" s="914">
        <v>22.095756530761701</v>
      </c>
      <c r="AA312" s="306"/>
      <c r="AB312" s="306"/>
      <c r="AC312" s="306"/>
      <c r="AD312" s="306"/>
    </row>
    <row r="313" spans="1:30" x14ac:dyDescent="0.25">
      <c r="A313" s="912" t="s">
        <v>479</v>
      </c>
      <c r="B313" s="914">
        <v>30.388185501098601</v>
      </c>
      <c r="C313" s="914">
        <v>31.181957244873001</v>
      </c>
      <c r="D313" s="914">
        <v>32.471218109130902</v>
      </c>
      <c r="E313" s="914">
        <v>31.722009658813501</v>
      </c>
      <c r="F313" s="914">
        <v>29.6958332061768</v>
      </c>
      <c r="G313" s="914">
        <v>31.365653991699201</v>
      </c>
      <c r="H313" s="914">
        <v>32.001548767089801</v>
      </c>
      <c r="I313" s="914">
        <v>32.924289703369098</v>
      </c>
      <c r="J313" s="914">
        <v>34.030689239502003</v>
      </c>
      <c r="K313" s="914">
        <v>34.890899658203097</v>
      </c>
      <c r="L313" s="914">
        <v>35.995761871337898</v>
      </c>
      <c r="M313" s="914">
        <v>37.227577209472699</v>
      </c>
      <c r="N313" s="914">
        <v>38.5026245117188</v>
      </c>
      <c r="O313" s="914">
        <v>39.672031402587898</v>
      </c>
      <c r="P313" s="914">
        <v>41.180412292480497</v>
      </c>
      <c r="Q313" s="914">
        <v>42.698352813720703</v>
      </c>
      <c r="R313" s="914">
        <v>44.053905487060497</v>
      </c>
      <c r="S313" s="914">
        <v>45.011627197265597</v>
      </c>
      <c r="T313" s="914">
        <v>46.023651123046903</v>
      </c>
      <c r="U313" s="914">
        <v>46.971866607666001</v>
      </c>
      <c r="V313" s="914">
        <v>48.032154083252003</v>
      </c>
      <c r="W313" s="914">
        <v>49.565544128417997</v>
      </c>
      <c r="X313" s="914">
        <v>51.240451812744098</v>
      </c>
      <c r="Y313" s="914">
        <v>52.949665069580099</v>
      </c>
      <c r="Z313" s="914">
        <v>54.583251953125</v>
      </c>
      <c r="AA313" s="306"/>
      <c r="AB313" s="306"/>
      <c r="AC313" s="306"/>
      <c r="AD313" s="306"/>
    </row>
    <row r="314" spans="1:30" x14ac:dyDescent="0.25">
      <c r="AA314" s="306"/>
      <c r="AB314" s="306"/>
      <c r="AC314" s="306"/>
      <c r="AD314" s="306"/>
    </row>
    <row r="315" spans="1:30" x14ac:dyDescent="0.25">
      <c r="A315" s="912" t="s">
        <v>480</v>
      </c>
      <c r="AA315" s="306"/>
      <c r="AB315" s="306"/>
      <c r="AC315" s="306"/>
      <c r="AD315" s="306"/>
    </row>
    <row r="316" spans="1:30" x14ac:dyDescent="0.25">
      <c r="A316" s="912" t="s">
        <v>609</v>
      </c>
      <c r="B316" s="914">
        <v>20.6414604187012</v>
      </c>
      <c r="C316" s="914">
        <v>23.041419982910199</v>
      </c>
      <c r="D316" s="914">
        <v>24.0578727722168</v>
      </c>
      <c r="E316" s="914">
        <v>21.6475944519043</v>
      </c>
      <c r="F316" s="914">
        <v>18.202018737793001</v>
      </c>
      <c r="G316" s="914">
        <v>20.8180141448975</v>
      </c>
      <c r="H316" s="914">
        <v>23.171899795532202</v>
      </c>
      <c r="I316" s="914">
        <v>25.4778232574463</v>
      </c>
      <c r="J316" s="914">
        <v>27.6801948547363</v>
      </c>
      <c r="K316" s="914">
        <v>30.122516632080099</v>
      </c>
      <c r="L316" s="914">
        <v>32.012001037597699</v>
      </c>
      <c r="M316" s="914">
        <v>33.770454406738303</v>
      </c>
      <c r="N316" s="914">
        <v>35.6212158203125</v>
      </c>
      <c r="O316" s="914">
        <v>36.9546508789063</v>
      </c>
      <c r="P316" s="914">
        <v>38.187240600585902</v>
      </c>
      <c r="Q316" s="914">
        <v>39.449775695800803</v>
      </c>
      <c r="R316" s="914">
        <v>40.605808258056598</v>
      </c>
      <c r="S316" s="914">
        <v>42.0293998718262</v>
      </c>
      <c r="T316" s="914">
        <v>43.160079956054702</v>
      </c>
      <c r="U316" s="914">
        <v>43.432140350341797</v>
      </c>
      <c r="V316" s="914">
        <v>44.7312202453613</v>
      </c>
      <c r="W316" s="914">
        <v>46.061283111572301</v>
      </c>
      <c r="X316" s="914">
        <v>47.542713165283203</v>
      </c>
      <c r="Y316" s="914">
        <v>48.814918518066399</v>
      </c>
      <c r="Z316" s="914">
        <v>50.382663726806598</v>
      </c>
      <c r="AA316" s="306"/>
      <c r="AB316" s="306"/>
      <c r="AC316" s="306"/>
      <c r="AD316" s="306"/>
    </row>
    <row r="317" spans="1:30" x14ac:dyDescent="0.25">
      <c r="A317" s="912" t="s">
        <v>610</v>
      </c>
      <c r="B317" s="914">
        <v>14.625953674316399</v>
      </c>
      <c r="C317" s="914">
        <v>16.054100036621101</v>
      </c>
      <c r="D317" s="914">
        <v>21.4175109863281</v>
      </c>
      <c r="E317" s="914">
        <v>14.1806936264038</v>
      </c>
      <c r="F317" s="914">
        <v>11.1656141281128</v>
      </c>
      <c r="G317" s="914">
        <v>13.940697669982899</v>
      </c>
      <c r="H317" s="914">
        <v>16.055301666259801</v>
      </c>
      <c r="I317" s="914">
        <v>18.2004089355469</v>
      </c>
      <c r="J317" s="914">
        <v>20.072311401367202</v>
      </c>
      <c r="K317" s="914">
        <v>21.922914505004901</v>
      </c>
      <c r="L317" s="914">
        <v>23.436100006103501</v>
      </c>
      <c r="M317" s="914">
        <v>24.993484497070298</v>
      </c>
      <c r="N317" s="914">
        <v>26.4673175811768</v>
      </c>
      <c r="O317" s="914">
        <v>27.614213943481399</v>
      </c>
      <c r="P317" s="914">
        <v>28.7058811187744</v>
      </c>
      <c r="Q317" s="914">
        <v>29.4854850769043</v>
      </c>
      <c r="R317" s="914">
        <v>30.5256862640381</v>
      </c>
      <c r="S317" s="914">
        <v>31.597146987915</v>
      </c>
      <c r="T317" s="914">
        <v>32.548923492431598</v>
      </c>
      <c r="U317" s="914">
        <v>32.997859954833999</v>
      </c>
      <c r="V317" s="914">
        <v>34.165657043457003</v>
      </c>
      <c r="W317" s="914">
        <v>35.000114440917997</v>
      </c>
      <c r="X317" s="914">
        <v>36.3691596984863</v>
      </c>
      <c r="Y317" s="914">
        <v>37.943679809570298</v>
      </c>
      <c r="Z317" s="914">
        <v>39.006439208984403</v>
      </c>
      <c r="AA317" s="306"/>
      <c r="AB317" s="306"/>
      <c r="AC317" s="306"/>
      <c r="AD317" s="306"/>
    </row>
    <row r="318" spans="1:30" x14ac:dyDescent="0.25">
      <c r="A318" s="912" t="s">
        <v>723</v>
      </c>
      <c r="B318" s="914">
        <v>8.64862155914307</v>
      </c>
      <c r="C318" s="914">
        <v>10.3074436187744</v>
      </c>
      <c r="D318" s="914">
        <v>13.7067270278931</v>
      </c>
      <c r="E318" s="914">
        <v>6.9139137268066397</v>
      </c>
      <c r="F318" s="914">
        <v>6.0204734802246103</v>
      </c>
      <c r="G318" s="914">
        <v>9.0269355773925799</v>
      </c>
      <c r="H318" s="914">
        <v>10.767860412597701</v>
      </c>
      <c r="I318" s="914">
        <v>12.611166954040501</v>
      </c>
      <c r="J318" s="914">
        <v>14.3083610534668</v>
      </c>
      <c r="K318" s="914">
        <v>16.269037246704102</v>
      </c>
      <c r="L318" s="914">
        <v>17.569841384887699</v>
      </c>
      <c r="M318" s="914">
        <v>18.511304855346701</v>
      </c>
      <c r="N318" s="914">
        <v>19.7891235351563</v>
      </c>
      <c r="O318" s="914">
        <v>20.573390960693398</v>
      </c>
      <c r="P318" s="914">
        <v>21.404872894287099</v>
      </c>
      <c r="Q318" s="914">
        <v>22.193275451660199</v>
      </c>
      <c r="R318" s="914">
        <v>22.9593410491943</v>
      </c>
      <c r="S318" s="914">
        <v>23.7928276062012</v>
      </c>
      <c r="T318" s="914">
        <v>24.398706436157202</v>
      </c>
      <c r="U318" s="914">
        <v>24.292516708373999</v>
      </c>
      <c r="V318" s="914">
        <v>25.0136394500732</v>
      </c>
      <c r="W318" s="914">
        <v>25.751762390136701</v>
      </c>
      <c r="X318" s="914">
        <v>26.606601715087901</v>
      </c>
      <c r="Y318" s="914">
        <v>27.4516487121582</v>
      </c>
      <c r="Z318" s="914">
        <v>28.286119461059599</v>
      </c>
      <c r="AA318" s="306"/>
      <c r="AB318" s="306"/>
      <c r="AC318" s="306"/>
      <c r="AD318" s="306"/>
    </row>
    <row r="319" spans="1:30" x14ac:dyDescent="0.25">
      <c r="A319" s="912" t="s">
        <v>510</v>
      </c>
      <c r="B319" s="914">
        <v>11.5840444564819</v>
      </c>
      <c r="C319" s="914">
        <v>10.9898433685303</v>
      </c>
      <c r="D319" s="914">
        <v>11.588038444519</v>
      </c>
      <c r="E319" s="914">
        <v>9.1930990219116193</v>
      </c>
      <c r="F319" s="914">
        <v>9.8226709365844709</v>
      </c>
      <c r="G319" s="914">
        <v>10.233100891113301</v>
      </c>
      <c r="H319" s="914">
        <v>10.334647178649901</v>
      </c>
      <c r="I319" s="914">
        <v>10.4663095474243</v>
      </c>
      <c r="J319" s="914">
        <v>10.734943389892599</v>
      </c>
      <c r="K319" s="914">
        <v>11.106437683105501</v>
      </c>
      <c r="L319" s="914">
        <v>11.600093841552701</v>
      </c>
      <c r="M319" s="914">
        <v>12.1229543685913</v>
      </c>
      <c r="N319" s="914">
        <v>12.6781578063965</v>
      </c>
      <c r="O319" s="914">
        <v>13.3144483566284</v>
      </c>
      <c r="P319" s="914">
        <v>14.069993019104</v>
      </c>
      <c r="Q319" s="914">
        <v>14.7329454421997</v>
      </c>
      <c r="R319" s="914">
        <v>15.223674774169901</v>
      </c>
      <c r="S319" s="914">
        <v>15.329276084899901</v>
      </c>
      <c r="T319" s="914">
        <v>15.6546773910522</v>
      </c>
      <c r="U319" s="914">
        <v>15.9318437576294</v>
      </c>
      <c r="V319" s="914">
        <v>16.5416469573975</v>
      </c>
      <c r="W319" s="914">
        <v>17.316057205200199</v>
      </c>
      <c r="X319" s="914">
        <v>18.194717407226602</v>
      </c>
      <c r="Y319" s="914">
        <v>18.967941284179702</v>
      </c>
      <c r="Z319" s="914">
        <v>19.811794281005898</v>
      </c>
      <c r="AA319" s="306"/>
      <c r="AB319" s="306"/>
      <c r="AC319" s="306"/>
      <c r="AD319" s="306"/>
    </row>
    <row r="320" spans="1:30" x14ac:dyDescent="0.25">
      <c r="A320" s="912" t="s">
        <v>479</v>
      </c>
      <c r="B320" s="914">
        <v>27.631908416748001</v>
      </c>
      <c r="C320" s="914">
        <v>28.029735565185501</v>
      </c>
      <c r="D320" s="914">
        <v>29.6960258483887</v>
      </c>
      <c r="E320" s="914">
        <v>28.491619110107401</v>
      </c>
      <c r="F320" s="914">
        <v>25.7724418640137</v>
      </c>
      <c r="G320" s="914">
        <v>26.858903884887699</v>
      </c>
      <c r="H320" s="914">
        <v>27.045906066894499</v>
      </c>
      <c r="I320" s="914">
        <v>27.5620422363281</v>
      </c>
      <c r="J320" s="914">
        <v>28.370775222778299</v>
      </c>
      <c r="K320" s="914">
        <v>29.106733322143601</v>
      </c>
      <c r="L320" s="914">
        <v>30.1617736816406</v>
      </c>
      <c r="M320" s="914">
        <v>31.290737152099599</v>
      </c>
      <c r="N320" s="914">
        <v>32.536418914794901</v>
      </c>
      <c r="O320" s="914">
        <v>33.661582946777301</v>
      </c>
      <c r="P320" s="914">
        <v>35.072307586669901</v>
      </c>
      <c r="Q320" s="914">
        <v>36.4632377624512</v>
      </c>
      <c r="R320" s="914">
        <v>37.713531494140597</v>
      </c>
      <c r="S320" s="914">
        <v>38.535266876220703</v>
      </c>
      <c r="T320" s="914">
        <v>39.429233551025398</v>
      </c>
      <c r="U320" s="914">
        <v>40.172752380371101</v>
      </c>
      <c r="V320" s="914">
        <v>41.0662841796875</v>
      </c>
      <c r="W320" s="914">
        <v>42.386928558349602</v>
      </c>
      <c r="X320" s="914">
        <v>43.920989990234403</v>
      </c>
      <c r="Y320" s="914">
        <v>45.4139213562012</v>
      </c>
      <c r="Z320" s="914">
        <v>46.925571441650398</v>
      </c>
      <c r="AA320" s="306"/>
      <c r="AB320" s="306"/>
      <c r="AC320" s="306"/>
      <c r="AD320" s="306"/>
    </row>
    <row r="321" spans="1:30" x14ac:dyDescent="0.25">
      <c r="AA321" s="306"/>
      <c r="AB321" s="306"/>
      <c r="AC321" s="306"/>
      <c r="AD321" s="306"/>
    </row>
    <row r="322" spans="1:30" x14ac:dyDescent="0.25">
      <c r="A322" s="912" t="s">
        <v>612</v>
      </c>
      <c r="AA322" s="306"/>
      <c r="AB322" s="306"/>
      <c r="AC322" s="306"/>
      <c r="AD322" s="306"/>
    </row>
    <row r="323" spans="1:30" x14ac:dyDescent="0.25">
      <c r="A323" s="912" t="s">
        <v>609</v>
      </c>
      <c r="B323" s="914">
        <v>20.489143371581999</v>
      </c>
      <c r="C323" s="914">
        <v>23.3795166015625</v>
      </c>
      <c r="D323" s="914">
        <v>27.232301712036101</v>
      </c>
      <c r="E323" s="914">
        <v>22.957033157348601</v>
      </c>
      <c r="F323" s="914">
        <v>17.265552520751999</v>
      </c>
      <c r="G323" s="914">
        <v>19.8652458190918</v>
      </c>
      <c r="H323" s="914">
        <v>22.207704544067401</v>
      </c>
      <c r="I323" s="914">
        <v>24.495702743530298</v>
      </c>
      <c r="J323" s="914">
        <v>26.6714878082275</v>
      </c>
      <c r="K323" s="914">
        <v>29.0830192565918</v>
      </c>
      <c r="L323" s="914">
        <v>30.951156616210898</v>
      </c>
      <c r="M323" s="914">
        <v>32.690711975097699</v>
      </c>
      <c r="N323" s="914">
        <v>34.514808654785199</v>
      </c>
      <c r="O323" s="914">
        <v>35.846107482910199</v>
      </c>
      <c r="P323" s="914">
        <v>37.040077209472699</v>
      </c>
      <c r="Q323" s="914">
        <v>38.301750183105497</v>
      </c>
      <c r="R323" s="914">
        <v>39.421558380127003</v>
      </c>
      <c r="S323" s="914">
        <v>40.814861297607401</v>
      </c>
      <c r="T323" s="914">
        <v>41.884078979492202</v>
      </c>
      <c r="U323" s="914">
        <v>42.155609130859403</v>
      </c>
      <c r="V323" s="914">
        <v>43.402267456054702</v>
      </c>
      <c r="W323" s="914">
        <v>44.705905914306598</v>
      </c>
      <c r="X323" s="914">
        <v>46.153343200683601</v>
      </c>
      <c r="Y323" s="914">
        <v>47.236614227294901</v>
      </c>
      <c r="Z323" s="914">
        <v>48.820529937744098</v>
      </c>
      <c r="AA323" s="306"/>
      <c r="AB323" s="306"/>
      <c r="AC323" s="306"/>
      <c r="AD323" s="306"/>
    </row>
    <row r="324" spans="1:30" x14ac:dyDescent="0.25">
      <c r="A324" s="912" t="s">
        <v>610</v>
      </c>
      <c r="B324" s="914">
        <v>15.3226671218872</v>
      </c>
      <c r="C324" s="914">
        <v>16.8219394683838</v>
      </c>
      <c r="D324" s="914">
        <v>22.4200763702393</v>
      </c>
      <c r="E324" s="914">
        <v>14.749831199646</v>
      </c>
      <c r="F324" s="914">
        <v>11.025536537170399</v>
      </c>
      <c r="G324" s="914">
        <v>14.0721025466919</v>
      </c>
      <c r="H324" s="914">
        <v>16.2283020019531</v>
      </c>
      <c r="I324" s="914">
        <v>18.6841716766357</v>
      </c>
      <c r="J324" s="914">
        <v>20.619239807128899</v>
      </c>
      <c r="K324" s="914">
        <v>22.302150726318398</v>
      </c>
      <c r="L324" s="914">
        <v>23.831027984619102</v>
      </c>
      <c r="M324" s="914">
        <v>25.434989929199201</v>
      </c>
      <c r="N324" s="914">
        <v>26.940843582153299</v>
      </c>
      <c r="O324" s="914">
        <v>28.1489963531494</v>
      </c>
      <c r="P324" s="914">
        <v>29.2844352722168</v>
      </c>
      <c r="Q324" s="914">
        <v>29.987220764160199</v>
      </c>
      <c r="R324" s="914">
        <v>31.1475830078125</v>
      </c>
      <c r="S324" s="914">
        <v>32.191192626953097</v>
      </c>
      <c r="T324" s="914">
        <v>33.043167114257798</v>
      </c>
      <c r="U324" s="914">
        <v>33.6753120422363</v>
      </c>
      <c r="V324" s="914">
        <v>34.892765045166001</v>
      </c>
      <c r="W324" s="914">
        <v>35.508182525634801</v>
      </c>
      <c r="X324" s="914">
        <v>36.966400146484403</v>
      </c>
      <c r="Y324" s="914">
        <v>38.821296691894503</v>
      </c>
      <c r="Z324" s="914">
        <v>39.679729461669901</v>
      </c>
      <c r="AA324" s="306"/>
      <c r="AB324" s="306"/>
      <c r="AC324" s="306"/>
      <c r="AD324" s="306"/>
    </row>
    <row r="325" spans="1:30" x14ac:dyDescent="0.25">
      <c r="A325" s="912" t="s">
        <v>611</v>
      </c>
      <c r="B325" s="914">
        <v>8.9709205627441406</v>
      </c>
      <c r="C325" s="914">
        <v>10.5954837799072</v>
      </c>
      <c r="D325" s="914">
        <v>14.049506187439</v>
      </c>
      <c r="E325" s="914">
        <v>7.1343002319335902</v>
      </c>
      <c r="F325" s="914">
        <v>10.215766906738301</v>
      </c>
      <c r="G325" s="914">
        <v>12.8617763519287</v>
      </c>
      <c r="H325" s="914">
        <v>14.814771652221699</v>
      </c>
      <c r="I325" s="914">
        <v>16.696189880371101</v>
      </c>
      <c r="J325" s="914">
        <v>18.396284103393601</v>
      </c>
      <c r="K325" s="914">
        <v>20.378862380981399</v>
      </c>
      <c r="L325" s="914">
        <v>21.7460041046143</v>
      </c>
      <c r="M325" s="914">
        <v>22.969861984252901</v>
      </c>
      <c r="N325" s="914">
        <v>24.3396511077881</v>
      </c>
      <c r="O325" s="914">
        <v>25.3345756530762</v>
      </c>
      <c r="P325" s="914">
        <v>26.3205471038818</v>
      </c>
      <c r="Q325" s="914">
        <v>27.310920715331999</v>
      </c>
      <c r="R325" s="914">
        <v>28.174968719482401</v>
      </c>
      <c r="S325" s="914">
        <v>29.129919052123999</v>
      </c>
      <c r="T325" s="914">
        <v>29.910713195800799</v>
      </c>
      <c r="U325" s="914">
        <v>30.004579544067401</v>
      </c>
      <c r="V325" s="914">
        <v>30.867444992065401</v>
      </c>
      <c r="W325" s="914">
        <v>31.741449356079102</v>
      </c>
      <c r="X325" s="914">
        <v>32.901214599609403</v>
      </c>
      <c r="Y325" s="914">
        <v>33.791465759277301</v>
      </c>
      <c r="Z325" s="914">
        <v>34.9404487609863</v>
      </c>
      <c r="AA325" s="306"/>
      <c r="AB325" s="306"/>
      <c r="AC325" s="306"/>
      <c r="AD325" s="306"/>
    </row>
    <row r="326" spans="1:30" x14ac:dyDescent="0.25">
      <c r="A326" s="912" t="s">
        <v>613</v>
      </c>
      <c r="B326" s="914">
        <v>7.7454247474670401</v>
      </c>
      <c r="C326" s="914">
        <v>7.5152516365051296</v>
      </c>
      <c r="D326" s="914">
        <v>8.9947338104247994</v>
      </c>
      <c r="E326" s="914">
        <v>5.0039734840393102</v>
      </c>
      <c r="F326" s="914">
        <v>5.7063522338867196</v>
      </c>
      <c r="G326" s="914">
        <v>6.1171517372131303</v>
      </c>
      <c r="H326" s="914">
        <v>6.2487673759460396</v>
      </c>
      <c r="I326" s="914">
        <v>6.4428400993347203</v>
      </c>
      <c r="J326" s="914">
        <v>6.7520828247070304</v>
      </c>
      <c r="K326" s="914">
        <v>7.1508984565734899</v>
      </c>
      <c r="L326" s="914">
        <v>7.5258989334106401</v>
      </c>
      <c r="M326" s="914">
        <v>7.9240221977233896</v>
      </c>
      <c r="N326" s="914">
        <v>8.3488731384277308</v>
      </c>
      <c r="O326" s="914">
        <v>8.8619937896728498</v>
      </c>
      <c r="P326" s="914">
        <v>9.4837093353271502</v>
      </c>
      <c r="Q326" s="914">
        <v>9.9987487792968803</v>
      </c>
      <c r="R326" s="914">
        <v>10.352954864501999</v>
      </c>
      <c r="S326" s="914">
        <v>10.3336448669434</v>
      </c>
      <c r="T326" s="914">
        <v>10.549848556518601</v>
      </c>
      <c r="U326" s="914">
        <v>10.6489877700806</v>
      </c>
      <c r="V326" s="914">
        <v>11.076291084289601</v>
      </c>
      <c r="W326" s="914">
        <v>11.6912574768066</v>
      </c>
      <c r="X326" s="914">
        <v>12.4464559555054</v>
      </c>
      <c r="Y326" s="914">
        <v>13.0579080581665</v>
      </c>
      <c r="Z326" s="914">
        <v>13.758059501647899</v>
      </c>
      <c r="AA326" s="306"/>
      <c r="AB326" s="306"/>
      <c r="AC326" s="306"/>
      <c r="AD326" s="306"/>
    </row>
    <row r="327" spans="1:30" x14ac:dyDescent="0.25">
      <c r="A327" s="912" t="s">
        <v>614</v>
      </c>
      <c r="B327" s="914">
        <v>3.53999996185303</v>
      </c>
      <c r="C327" s="914">
        <v>3.6099998950958301</v>
      </c>
      <c r="D327" s="914">
        <v>4.1449666023254403</v>
      </c>
      <c r="E327" s="914">
        <v>4.1784791946411097</v>
      </c>
      <c r="F327" s="914">
        <v>4.1485314369201696</v>
      </c>
      <c r="G327" s="914">
        <v>4.3175525665283203</v>
      </c>
      <c r="H327" s="914">
        <v>4.44484186172485</v>
      </c>
      <c r="I327" s="914">
        <v>4.5821456909179696</v>
      </c>
      <c r="J327" s="914">
        <v>4.7206311225891104</v>
      </c>
      <c r="K327" s="914">
        <v>4.8563599586486799</v>
      </c>
      <c r="L327" s="914">
        <v>4.9913563728332502</v>
      </c>
      <c r="M327" s="914">
        <v>5.1233406066894496</v>
      </c>
      <c r="N327" s="914">
        <v>5.2680139541626003</v>
      </c>
      <c r="O327" s="914">
        <v>5.4137320518493697</v>
      </c>
      <c r="P327" s="914">
        <v>5.5743689537048304</v>
      </c>
      <c r="Q327" s="914">
        <v>5.7906579971313503</v>
      </c>
      <c r="R327" s="914">
        <v>6.0209679603576696</v>
      </c>
      <c r="S327" s="914">
        <v>6.20045709609985</v>
      </c>
      <c r="T327" s="914">
        <v>6.3775997161865199</v>
      </c>
      <c r="U327" s="914">
        <v>6.5161404609680202</v>
      </c>
      <c r="V327" s="914">
        <v>6.6299972534179696</v>
      </c>
      <c r="W327" s="914">
        <v>6.7667918205261204</v>
      </c>
      <c r="X327" s="914">
        <v>6.88553714752197</v>
      </c>
      <c r="Y327" s="914">
        <v>6.9704546928405797</v>
      </c>
      <c r="Z327" s="914">
        <v>7.0137753486633301</v>
      </c>
    </row>
    <row r="328" spans="1:30" x14ac:dyDescent="0.25">
      <c r="A328" s="912" t="s">
        <v>615</v>
      </c>
      <c r="B328" s="914">
        <v>2.3399634361267099</v>
      </c>
      <c r="C328" s="914">
        <v>2.4299483299255402</v>
      </c>
      <c r="D328" s="914">
        <v>2.5979068279266402</v>
      </c>
      <c r="E328" s="914">
        <v>2.52754878997803</v>
      </c>
      <c r="F328" s="914">
        <v>2.4808654785156299</v>
      </c>
      <c r="G328" s="914">
        <v>2.6002757549285902</v>
      </c>
      <c r="H328" s="914">
        <v>2.6509947776794398</v>
      </c>
      <c r="I328" s="914">
        <v>2.73208808898926</v>
      </c>
      <c r="J328" s="914">
        <v>2.8122007846832302</v>
      </c>
      <c r="K328" s="914">
        <v>2.8687095642089799</v>
      </c>
      <c r="L328" s="914">
        <v>2.94158983230591</v>
      </c>
      <c r="M328" s="914">
        <v>3.0178208351135298</v>
      </c>
      <c r="N328" s="914">
        <v>3.1028199195861799</v>
      </c>
      <c r="O328" s="914">
        <v>3.17316722869873</v>
      </c>
      <c r="P328" s="914">
        <v>3.2616541385650599</v>
      </c>
      <c r="Q328" s="914">
        <v>3.3479356765747101</v>
      </c>
      <c r="R328" s="914">
        <v>3.4371068477630602</v>
      </c>
      <c r="S328" s="914">
        <v>3.5193088054657</v>
      </c>
      <c r="T328" s="914">
        <v>3.6053638458252002</v>
      </c>
      <c r="U328" s="914">
        <v>3.6816923618316699</v>
      </c>
      <c r="V328" s="914">
        <v>3.7800858020782502</v>
      </c>
      <c r="W328" s="914">
        <v>3.88063645362854</v>
      </c>
      <c r="X328" s="914">
        <v>3.98858737945557</v>
      </c>
      <c r="Y328" s="914">
        <v>4.1003923416137704</v>
      </c>
      <c r="Z328" s="914">
        <v>4.2166938781738299</v>
      </c>
    </row>
    <row r="329" spans="1:30" x14ac:dyDescent="0.25">
      <c r="A329" s="912" t="s">
        <v>616</v>
      </c>
      <c r="B329" s="914">
        <v>0</v>
      </c>
      <c r="C329" s="914">
        <v>0</v>
      </c>
      <c r="D329" s="914">
        <v>0</v>
      </c>
      <c r="E329" s="914">
        <v>0</v>
      </c>
      <c r="F329" s="914">
        <v>0</v>
      </c>
      <c r="G329" s="914">
        <v>1.5889266729354901</v>
      </c>
      <c r="H329" s="914">
        <v>1.46094393730164</v>
      </c>
      <c r="I329" s="914">
        <v>1.28843116760254</v>
      </c>
      <c r="J329" s="914">
        <v>1.5101318359375</v>
      </c>
      <c r="K329" s="914">
        <v>1.50810551643372</v>
      </c>
      <c r="L329" s="914">
        <v>1.5213859081268299</v>
      </c>
      <c r="M329" s="914">
        <v>1.53951179981232</v>
      </c>
      <c r="N329" s="914">
        <v>1.58338570594788</v>
      </c>
      <c r="O329" s="914">
        <v>1.63723039627075</v>
      </c>
      <c r="P329" s="914">
        <v>1.71289122104645</v>
      </c>
      <c r="Q329" s="914">
        <v>1.76114201545715</v>
      </c>
      <c r="R329" s="914">
        <v>1.8119050264358501</v>
      </c>
      <c r="S329" s="914">
        <v>1.8629466295242301</v>
      </c>
      <c r="T329" s="914">
        <v>1.9169825315475499</v>
      </c>
      <c r="U329" s="914">
        <v>1.9466364383697501</v>
      </c>
      <c r="V329" s="914">
        <v>1.9911848306655899</v>
      </c>
      <c r="W329" s="914">
        <v>2.0416746139526398</v>
      </c>
      <c r="X329" s="914">
        <v>2.09020328521729</v>
      </c>
      <c r="Y329" s="914">
        <v>2.1373581886291499</v>
      </c>
      <c r="Z329" s="914">
        <v>2.1847438812255899</v>
      </c>
    </row>
    <row r="330" spans="1:30" x14ac:dyDescent="0.25">
      <c r="A330" s="912" t="s">
        <v>479</v>
      </c>
      <c r="B330" s="914">
        <v>17.918214797973601</v>
      </c>
      <c r="C330" s="914">
        <v>18.6226921081543</v>
      </c>
      <c r="D330" s="914">
        <v>20.7813816070557</v>
      </c>
      <c r="E330" s="914">
        <v>19.773582458496101</v>
      </c>
      <c r="F330" s="914">
        <v>17.462970733642599</v>
      </c>
      <c r="G330" s="914">
        <v>18.126573562622099</v>
      </c>
      <c r="H330" s="914">
        <v>18.238889694213899</v>
      </c>
      <c r="I330" s="914">
        <v>18.4867153167725</v>
      </c>
      <c r="J330" s="914">
        <v>19.006654739379901</v>
      </c>
      <c r="K330" s="914">
        <v>19.565620422363299</v>
      </c>
      <c r="L330" s="914">
        <v>20.355871200561499</v>
      </c>
      <c r="M330" s="914">
        <v>21.173530578613299</v>
      </c>
      <c r="N330" s="914">
        <v>22.037576675415</v>
      </c>
      <c r="O330" s="914">
        <v>22.867145538330099</v>
      </c>
      <c r="P330" s="914">
        <v>23.876249313354499</v>
      </c>
      <c r="Q330" s="914">
        <v>24.851699829101602</v>
      </c>
      <c r="R330" s="914">
        <v>25.777753829956101</v>
      </c>
      <c r="S330" s="914">
        <v>26.392097473144499</v>
      </c>
      <c r="T330" s="914">
        <v>27.017583847045898</v>
      </c>
      <c r="U330" s="914">
        <v>27.588447570800799</v>
      </c>
      <c r="V330" s="914">
        <v>28.206142425537099</v>
      </c>
      <c r="W330" s="914">
        <v>29.1773777008057</v>
      </c>
      <c r="X330" s="914">
        <v>30.336851119995099</v>
      </c>
      <c r="Y330" s="914">
        <v>31.4674072265625</v>
      </c>
      <c r="Z330" s="914">
        <v>32.538986206054702</v>
      </c>
    </row>
    <row r="332" spans="1:30" x14ac:dyDescent="0.25">
      <c r="A332" s="912" t="s">
        <v>487</v>
      </c>
    </row>
    <row r="333" spans="1:30" x14ac:dyDescent="0.25">
      <c r="A333" s="912" t="s">
        <v>617</v>
      </c>
      <c r="B333" s="914">
        <v>21.711509704589801</v>
      </c>
      <c r="C333" s="914">
        <v>25.0072345733643</v>
      </c>
      <c r="D333" s="914">
        <v>29.391622543335</v>
      </c>
      <c r="E333" s="914">
        <v>22.380046844482401</v>
      </c>
      <c r="F333" s="914">
        <v>21.3089294433594</v>
      </c>
      <c r="G333" s="914">
        <v>23.935417175293001</v>
      </c>
      <c r="H333" s="914">
        <v>26.369024276733398</v>
      </c>
      <c r="I333" s="914">
        <v>28.752412796020501</v>
      </c>
      <c r="J333" s="914">
        <v>31.0282287597656</v>
      </c>
      <c r="K333" s="914">
        <v>33.547065734863303</v>
      </c>
      <c r="L333" s="914">
        <v>35.514869689941399</v>
      </c>
      <c r="M333" s="914">
        <v>37.352748870849602</v>
      </c>
      <c r="N333" s="914">
        <v>39.287044525146499</v>
      </c>
      <c r="O333" s="914">
        <v>40.7039604187012</v>
      </c>
      <c r="P333" s="914">
        <v>42.024444580078097</v>
      </c>
      <c r="Q333" s="914">
        <v>43.379894256591797</v>
      </c>
      <c r="R333" s="914">
        <v>44.630382537841797</v>
      </c>
      <c r="S333" s="914">
        <v>46.145259857177699</v>
      </c>
      <c r="T333" s="914">
        <v>47.363857269287102</v>
      </c>
      <c r="U333" s="914">
        <v>47.7197074890137</v>
      </c>
      <c r="V333" s="914">
        <v>49.102500915527301</v>
      </c>
      <c r="W333" s="914">
        <v>50.517303466796903</v>
      </c>
      <c r="X333" s="914">
        <v>52.086456298828097</v>
      </c>
      <c r="Y333" s="914">
        <v>53.442653656005902</v>
      </c>
      <c r="Z333" s="914">
        <v>55.104091644287102</v>
      </c>
    </row>
    <row r="334" spans="1:30" x14ac:dyDescent="0.25">
      <c r="A334" s="912" t="s">
        <v>618</v>
      </c>
      <c r="B334" s="914">
        <v>24.84494972229</v>
      </c>
      <c r="C334" s="914">
        <v>26.818180084228501</v>
      </c>
      <c r="D334" s="914">
        <v>34.822681427002003</v>
      </c>
      <c r="E334" s="914">
        <v>21.049989700317401</v>
      </c>
      <c r="F334" s="914">
        <v>19.580844879150401</v>
      </c>
      <c r="G334" s="914">
        <v>23.622909545898398</v>
      </c>
      <c r="H334" s="914">
        <v>25.881950378418001</v>
      </c>
      <c r="I334" s="914">
        <v>28.009447097778299</v>
      </c>
      <c r="J334" s="914">
        <v>30.2537937164307</v>
      </c>
      <c r="K334" s="914">
        <v>28.866632461547901</v>
      </c>
      <c r="L334" s="914">
        <v>30.4276523590088</v>
      </c>
      <c r="M334" s="914">
        <v>31.969417572021499</v>
      </c>
      <c r="N334" s="914">
        <v>32.765193939208999</v>
      </c>
      <c r="O334" s="914">
        <v>35.757926940917997</v>
      </c>
      <c r="P334" s="914">
        <v>37.577915191650398</v>
      </c>
      <c r="Q334" s="914">
        <v>38.662086486816399</v>
      </c>
      <c r="R334" s="914">
        <v>39.8419189453125</v>
      </c>
      <c r="S334" s="914">
        <v>41.092353820800803</v>
      </c>
      <c r="T334" s="914">
        <v>42.114028930664098</v>
      </c>
      <c r="U334" s="914">
        <v>42.893341064453097</v>
      </c>
      <c r="V334" s="914">
        <v>44.2104301452637</v>
      </c>
      <c r="W334" s="914">
        <v>44.896373748779297</v>
      </c>
      <c r="X334" s="914">
        <v>46.4299926757813</v>
      </c>
      <c r="Y334" s="914">
        <v>48.419319152832003</v>
      </c>
      <c r="Z334" s="914">
        <v>48.957271575927699</v>
      </c>
    </row>
    <row r="335" spans="1:30" x14ac:dyDescent="0.25">
      <c r="A335" s="912" t="s">
        <v>619</v>
      </c>
      <c r="B335" s="914">
        <v>21.213121414184599</v>
      </c>
      <c r="C335" s="914">
        <v>22.982162475585898</v>
      </c>
      <c r="D335" s="914">
        <v>26.749811172485401</v>
      </c>
      <c r="E335" s="914">
        <v>16.175968170166001</v>
      </c>
      <c r="F335" s="914">
        <v>18.381326675415</v>
      </c>
      <c r="G335" s="914">
        <v>21.693702697753899</v>
      </c>
      <c r="H335" s="914">
        <v>23.709007263183601</v>
      </c>
      <c r="I335" s="914">
        <v>25.449525833129901</v>
      </c>
      <c r="J335" s="914">
        <v>27.424634933471701</v>
      </c>
      <c r="K335" s="914">
        <v>29.529468536376999</v>
      </c>
      <c r="L335" s="914">
        <v>31.27219581604</v>
      </c>
      <c r="M335" s="914">
        <v>33.093906402587898</v>
      </c>
      <c r="N335" s="914">
        <v>34.856166839599602</v>
      </c>
      <c r="O335" s="914">
        <v>36.438858032226598</v>
      </c>
      <c r="P335" s="914">
        <v>38.015861511230497</v>
      </c>
      <c r="Q335" s="914">
        <v>39.139541625976598</v>
      </c>
      <c r="R335" s="914">
        <v>40.478176116943402</v>
      </c>
      <c r="S335" s="914">
        <v>41.691452026367202</v>
      </c>
      <c r="T335" s="914">
        <v>42.679801940917997</v>
      </c>
      <c r="U335" s="914">
        <v>43.464977264404297</v>
      </c>
      <c r="V335" s="914">
        <v>44.780059814453097</v>
      </c>
      <c r="W335" s="914">
        <v>45.673988342285199</v>
      </c>
      <c r="X335" s="914">
        <v>47.254981994628899</v>
      </c>
      <c r="Y335" s="914">
        <v>49.557445526122997</v>
      </c>
      <c r="Z335" s="914">
        <v>49.9830131530762</v>
      </c>
    </row>
    <row r="336" spans="1:30" x14ac:dyDescent="0.25">
      <c r="A336" s="912" t="s">
        <v>620</v>
      </c>
      <c r="B336" s="914">
        <v>14.844763755798301</v>
      </c>
      <c r="C336" s="914">
        <v>16.0964660644531</v>
      </c>
      <c r="D336" s="914">
        <v>22.673322677612301</v>
      </c>
      <c r="E336" s="914">
        <v>10.878761291503899</v>
      </c>
      <c r="F336" s="914">
        <v>10.805939674377401</v>
      </c>
      <c r="G336" s="914">
        <v>13.641165733337401</v>
      </c>
      <c r="H336" s="914">
        <v>15.7883806228638</v>
      </c>
      <c r="I336" s="914">
        <v>17.847295761108398</v>
      </c>
      <c r="J336" s="914">
        <v>19.768560409545898</v>
      </c>
      <c r="K336" s="914">
        <v>21.6021404266357</v>
      </c>
      <c r="L336" s="914">
        <v>23.1407794952393</v>
      </c>
      <c r="M336" s="914">
        <v>24.738756179809599</v>
      </c>
      <c r="N336" s="914">
        <v>26.200944900512699</v>
      </c>
      <c r="O336" s="914">
        <v>27.323936462402301</v>
      </c>
      <c r="P336" s="914">
        <v>28.3911018371582</v>
      </c>
      <c r="Q336" s="914">
        <v>29.343944549560501</v>
      </c>
      <c r="R336" s="914">
        <v>30.208518981933601</v>
      </c>
      <c r="S336" s="914">
        <v>31.274351119995099</v>
      </c>
      <c r="T336" s="914">
        <v>32.279064178466797</v>
      </c>
      <c r="U336" s="914">
        <v>32.661514282226598</v>
      </c>
      <c r="V336" s="914">
        <v>33.853298187255902</v>
      </c>
      <c r="W336" s="914">
        <v>34.868740081787102</v>
      </c>
      <c r="X336" s="914">
        <v>36.320652008056598</v>
      </c>
      <c r="Y336" s="914">
        <v>37.773586273193402</v>
      </c>
      <c r="Z336" s="914">
        <v>39.040420532226598</v>
      </c>
    </row>
    <row r="337" spans="1:70" x14ac:dyDescent="0.25">
      <c r="A337" s="912" t="s">
        <v>724</v>
      </c>
      <c r="B337" s="914">
        <v>19.740650177001999</v>
      </c>
      <c r="C337" s="914">
        <v>20.921422958373999</v>
      </c>
      <c r="D337" s="914">
        <v>27.660943984985401</v>
      </c>
      <c r="E337" s="914">
        <v>15.872093200683601</v>
      </c>
      <c r="F337" s="914">
        <v>15.1842641830444</v>
      </c>
      <c r="G337" s="914">
        <v>17.936090469360401</v>
      </c>
      <c r="H337" s="914">
        <v>20.100133895873999</v>
      </c>
      <c r="I337" s="914">
        <v>22.737785339355501</v>
      </c>
      <c r="J337" s="914">
        <v>24.745433807373001</v>
      </c>
      <c r="K337" s="914">
        <v>26.438911437988299</v>
      </c>
      <c r="L337" s="914">
        <v>28.0228977203369</v>
      </c>
      <c r="M337" s="914">
        <v>29.7338352203369</v>
      </c>
      <c r="N337" s="914">
        <v>31.2589511871338</v>
      </c>
      <c r="O337" s="914">
        <v>32.543869018554702</v>
      </c>
      <c r="P337" s="914">
        <v>33.764415740966797</v>
      </c>
      <c r="Q337" s="914">
        <v>34.490653991699197</v>
      </c>
      <c r="R337" s="914">
        <v>35.692588806152301</v>
      </c>
      <c r="S337" s="914">
        <v>36.884777069091797</v>
      </c>
      <c r="T337" s="914">
        <v>37.7488403320313</v>
      </c>
      <c r="U337" s="914">
        <v>38.541912078857401</v>
      </c>
      <c r="V337" s="914">
        <v>39.811958312988303</v>
      </c>
      <c r="W337" s="914">
        <v>40.433952331542997</v>
      </c>
      <c r="X337" s="914">
        <v>41.980552673339801</v>
      </c>
      <c r="Y337" s="914">
        <v>44.0175971984863</v>
      </c>
      <c r="Z337" s="914">
        <v>44.845256805419901</v>
      </c>
    </row>
    <row r="338" spans="1:70" x14ac:dyDescent="0.25">
      <c r="A338" s="912" t="s">
        <v>611</v>
      </c>
      <c r="B338" s="914">
        <v>7.9912142753601101</v>
      </c>
      <c r="C338" s="914">
        <v>9.4357099533081108</v>
      </c>
      <c r="D338" s="914">
        <v>14.5987691879272</v>
      </c>
      <c r="E338" s="914">
        <v>6.5974926948547399</v>
      </c>
      <c r="F338" s="914">
        <v>6.8336348533630398</v>
      </c>
      <c r="G338" s="914">
        <v>9.1002550125122106</v>
      </c>
      <c r="H338" s="914">
        <v>10.9850196838379</v>
      </c>
      <c r="I338" s="914">
        <v>12.7856092453003</v>
      </c>
      <c r="J338" s="914">
        <v>14.3925485610962</v>
      </c>
      <c r="K338" s="914">
        <v>16.284711837768601</v>
      </c>
      <c r="L338" s="914">
        <v>17.587419509887699</v>
      </c>
      <c r="M338" s="914">
        <v>18.815961837768601</v>
      </c>
      <c r="N338" s="914">
        <v>20.079933166503899</v>
      </c>
      <c r="O338" s="914">
        <v>21.0047607421875</v>
      </c>
      <c r="P338" s="914">
        <v>21.793167114257798</v>
      </c>
      <c r="Q338" s="914">
        <v>22.696048736572301</v>
      </c>
      <c r="R338" s="914">
        <v>23.3086338043213</v>
      </c>
      <c r="S338" s="914">
        <v>24.011238098144499</v>
      </c>
      <c r="T338" s="914">
        <v>24.648492813110401</v>
      </c>
      <c r="U338" s="914">
        <v>24.8559169769287</v>
      </c>
      <c r="V338" s="914">
        <v>25.6537380218506</v>
      </c>
      <c r="W338" s="914">
        <v>26.666080474853501</v>
      </c>
      <c r="X338" s="914">
        <v>27.731492996215799</v>
      </c>
      <c r="Y338" s="914">
        <v>28.609724044799801</v>
      </c>
      <c r="Z338" s="914">
        <v>29.807550430297901</v>
      </c>
    </row>
    <row r="339" spans="1:70" x14ac:dyDescent="0.25">
      <c r="A339" s="912" t="s">
        <v>622</v>
      </c>
      <c r="B339" s="914">
        <v>15.1338348388672</v>
      </c>
      <c r="C339" s="914">
        <v>15.4958410263062</v>
      </c>
      <c r="D339" s="914">
        <v>17.260919570922901</v>
      </c>
      <c r="E339" s="914">
        <v>13.197589874267599</v>
      </c>
      <c r="F339" s="914">
        <v>14.011960029602101</v>
      </c>
      <c r="G339" s="914">
        <v>14.5198259353638</v>
      </c>
      <c r="H339" s="914">
        <v>14.7125358581543</v>
      </c>
      <c r="I339" s="914">
        <v>14.9809007644653</v>
      </c>
      <c r="J339" s="914">
        <v>15.3987216949463</v>
      </c>
      <c r="K339" s="914">
        <v>15.929105758666999</v>
      </c>
      <c r="L339" s="914">
        <v>16.444049835205099</v>
      </c>
      <c r="M339" s="914">
        <v>16.986526489257798</v>
      </c>
      <c r="N339" s="914">
        <v>17.562019348144499</v>
      </c>
      <c r="O339" s="914">
        <v>18.214298248291001</v>
      </c>
      <c r="P339" s="914">
        <v>18.978889465331999</v>
      </c>
      <c r="Q339" s="914">
        <v>19.653842926025401</v>
      </c>
      <c r="R339" s="914">
        <v>20.151586532592798</v>
      </c>
      <c r="S339" s="914">
        <v>20.264110565185501</v>
      </c>
      <c r="T339" s="914">
        <v>20.6345119476318</v>
      </c>
      <c r="U339" s="914">
        <v>20.930568695068398</v>
      </c>
      <c r="V339" s="914">
        <v>21.5493049621582</v>
      </c>
      <c r="W339" s="914">
        <v>22.330928802490199</v>
      </c>
      <c r="X339" s="914">
        <v>23.217420578002901</v>
      </c>
      <c r="Y339" s="914">
        <v>23.984209060668899</v>
      </c>
      <c r="Z339" s="914">
        <v>24.842088699340799</v>
      </c>
    </row>
    <row r="340" spans="1:70" x14ac:dyDescent="0.25">
      <c r="A340" s="912" t="s">
        <v>479</v>
      </c>
      <c r="B340" s="914">
        <v>29.552911758422901</v>
      </c>
      <c r="C340" s="914">
        <v>30.777971267700199</v>
      </c>
      <c r="D340" s="914">
        <v>34.475650787353501</v>
      </c>
      <c r="E340" s="914">
        <v>32.511272430419901</v>
      </c>
      <c r="F340" s="914">
        <v>28.3578701019287</v>
      </c>
      <c r="G340" s="914">
        <v>29.9883632659912</v>
      </c>
      <c r="H340" s="914">
        <v>30.793474197387699</v>
      </c>
      <c r="I340" s="914">
        <v>31.290824890136701</v>
      </c>
      <c r="J340" s="914">
        <v>31.788017272949201</v>
      </c>
      <c r="K340" s="914">
        <v>32.228786468505902</v>
      </c>
      <c r="L340" s="914">
        <v>33.101249694824197</v>
      </c>
      <c r="M340" s="914">
        <v>33.873565673828097</v>
      </c>
      <c r="N340" s="914">
        <v>34.876777648925803</v>
      </c>
      <c r="O340" s="914">
        <v>35.790927886962898</v>
      </c>
      <c r="P340" s="914">
        <v>37.005527496337898</v>
      </c>
      <c r="Q340" s="914">
        <v>38.374465942382798</v>
      </c>
      <c r="R340" s="914">
        <v>39.741268157958999</v>
      </c>
      <c r="S340" s="914">
        <v>40.743644714355497</v>
      </c>
      <c r="T340" s="914">
        <v>41.832027435302699</v>
      </c>
      <c r="U340" s="914">
        <v>42.8788452148438</v>
      </c>
      <c r="V340" s="914">
        <v>44.165149688720703</v>
      </c>
      <c r="W340" s="914">
        <v>45.822151184082003</v>
      </c>
      <c r="X340" s="914">
        <v>47.770866394042997</v>
      </c>
      <c r="Y340" s="914">
        <v>49.4786567687988</v>
      </c>
      <c r="Z340" s="914">
        <v>51.408214569091797</v>
      </c>
    </row>
    <row r="341" spans="1:70" x14ac:dyDescent="0.25">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5">
      <c r="A342" s="912" t="s">
        <v>623</v>
      </c>
    </row>
    <row r="343" spans="1:70" x14ac:dyDescent="0.25">
      <c r="A343" s="912" t="s">
        <v>610</v>
      </c>
      <c r="B343" s="914">
        <v>13.411901473999</v>
      </c>
      <c r="C343" s="914">
        <v>14.7725219726563</v>
      </c>
      <c r="D343" s="914">
        <v>19.598173141479499</v>
      </c>
      <c r="E343" s="914">
        <v>12.9002075195313</v>
      </c>
      <c r="F343" s="914">
        <v>10.160784721374499</v>
      </c>
      <c r="G343" s="914">
        <v>12.683879852294901</v>
      </c>
      <c r="H343" s="914">
        <v>14.742367744445801</v>
      </c>
      <c r="I343" s="914">
        <v>16.466316223144499</v>
      </c>
      <c r="J343" s="914">
        <v>18.200975418090799</v>
      </c>
      <c r="K343" s="914">
        <v>20.294946670532202</v>
      </c>
      <c r="L343" s="914">
        <v>21.762416839599599</v>
      </c>
      <c r="M343" s="914">
        <v>23.219928741455099</v>
      </c>
      <c r="N343" s="914">
        <v>24.625257492065401</v>
      </c>
      <c r="O343" s="914">
        <v>25.658937454223601</v>
      </c>
      <c r="P343" s="914">
        <v>26.641567230224599</v>
      </c>
      <c r="Q343" s="914">
        <v>27.554689407348601</v>
      </c>
      <c r="R343" s="914">
        <v>28.433355331420898</v>
      </c>
      <c r="S343" s="914">
        <v>29.525194168090799</v>
      </c>
      <c r="T343" s="914">
        <v>30.595668792724599</v>
      </c>
      <c r="U343" s="914">
        <v>30.812200546264599</v>
      </c>
      <c r="V343" s="914">
        <v>31.8765468597412</v>
      </c>
      <c r="W343" s="914">
        <v>33.023826599121101</v>
      </c>
      <c r="X343" s="914">
        <v>34.249851226806598</v>
      </c>
      <c r="Y343" s="914">
        <v>35.370849609375</v>
      </c>
      <c r="Z343" s="914">
        <v>36.733474731445298</v>
      </c>
    </row>
    <row r="344" spans="1:70" x14ac:dyDescent="0.25">
      <c r="A344" s="912" t="s">
        <v>611</v>
      </c>
      <c r="B344" s="914">
        <v>8.1584053039550799</v>
      </c>
      <c r="C344" s="914">
        <v>8.5664386749267596</v>
      </c>
      <c r="D344" s="914">
        <v>14.623919486999499</v>
      </c>
      <c r="E344" s="914">
        <v>6.72200632095337</v>
      </c>
      <c r="F344" s="914">
        <v>6.9281921386718803</v>
      </c>
      <c r="G344" s="914">
        <v>9.7774429321289098</v>
      </c>
      <c r="H344" s="914">
        <v>11.688641548156699</v>
      </c>
      <c r="I344" s="914">
        <v>13.5591955184937</v>
      </c>
      <c r="J344" s="914">
        <v>15.198254585266101</v>
      </c>
      <c r="K344" s="914">
        <v>17.122402191162099</v>
      </c>
      <c r="L344" s="914">
        <v>18.4469089508057</v>
      </c>
      <c r="M344" s="914">
        <v>19.645553588867202</v>
      </c>
      <c r="N344" s="914">
        <v>20.905046463012699</v>
      </c>
      <c r="O344" s="914">
        <v>21.461814880371101</v>
      </c>
      <c r="P344" s="914">
        <v>22.275539398193398</v>
      </c>
      <c r="Q344" s="914">
        <v>23.178005218505898</v>
      </c>
      <c r="R344" s="914">
        <v>23.921798706054702</v>
      </c>
      <c r="S344" s="914">
        <v>24.712652206420898</v>
      </c>
      <c r="T344" s="914">
        <v>25.390251159668001</v>
      </c>
      <c r="U344" s="914">
        <v>25.605690002441399</v>
      </c>
      <c r="V344" s="914">
        <v>26.419223785400401</v>
      </c>
      <c r="W344" s="914">
        <v>27.371679306030298</v>
      </c>
      <c r="X344" s="914">
        <v>28.437421798706101</v>
      </c>
      <c r="Y344" s="914">
        <v>29.318086624145501</v>
      </c>
      <c r="Z344" s="914">
        <v>30.4597358703613</v>
      </c>
    </row>
    <row r="345" spans="1:70" x14ac:dyDescent="0.25">
      <c r="A345" s="912" t="s">
        <v>510</v>
      </c>
      <c r="B345" s="914">
        <v>6.8695855140686</v>
      </c>
      <c r="C345" s="914">
        <v>7.0191597938537598</v>
      </c>
      <c r="D345" s="914">
        <v>9.0666198730468803</v>
      </c>
      <c r="E345" s="914">
        <v>4.70163822174072</v>
      </c>
      <c r="F345" s="914">
        <v>5.3228030204772896</v>
      </c>
      <c r="G345" s="914">
        <v>5.7259230613708496</v>
      </c>
      <c r="H345" s="914">
        <v>5.8670849800109899</v>
      </c>
      <c r="I345" s="914">
        <v>5.9947657585143999</v>
      </c>
      <c r="J345" s="914">
        <v>6.2809138298034703</v>
      </c>
      <c r="K345" s="914">
        <v>6.6566915512084996</v>
      </c>
      <c r="L345" s="914">
        <v>7.0282440185546902</v>
      </c>
      <c r="M345" s="914">
        <v>7.4117355346679696</v>
      </c>
      <c r="N345" s="914">
        <v>7.8389544486999503</v>
      </c>
      <c r="O345" s="914">
        <v>8.3448457717895508</v>
      </c>
      <c r="P345" s="914">
        <v>8.9240303039550799</v>
      </c>
      <c r="Q345" s="914">
        <v>9.4456386566162092</v>
      </c>
      <c r="R345" s="914">
        <v>9.7849264144897496</v>
      </c>
      <c r="S345" s="914">
        <v>9.7760477066040004</v>
      </c>
      <c r="T345" s="914">
        <v>10.055270195007299</v>
      </c>
      <c r="U345" s="914">
        <v>10.193024635314901</v>
      </c>
      <c r="V345" s="914">
        <v>10.610521316528301</v>
      </c>
      <c r="W345" s="914">
        <v>11.20911693573</v>
      </c>
      <c r="X345" s="914">
        <v>11.9389839172363</v>
      </c>
      <c r="Y345" s="914">
        <v>12.519255638122599</v>
      </c>
      <c r="Z345" s="914">
        <v>13.197782516479499</v>
      </c>
    </row>
    <row r="346" spans="1:70" x14ac:dyDescent="0.25">
      <c r="A346" s="912" t="s">
        <v>624</v>
      </c>
      <c r="B346" s="914">
        <v>1.6900001764297501</v>
      </c>
      <c r="C346" s="914">
        <v>1.7800002098083501</v>
      </c>
      <c r="D346" s="914">
        <v>1.97352075576782</v>
      </c>
      <c r="E346" s="914">
        <v>2.0458421707153298</v>
      </c>
      <c r="F346" s="914">
        <v>1.9325078725814799</v>
      </c>
      <c r="G346" s="914">
        <v>1.9669165611267101</v>
      </c>
      <c r="H346" s="914">
        <v>1.97483730316162</v>
      </c>
      <c r="I346" s="914">
        <v>2.0363006591796902</v>
      </c>
      <c r="J346" s="914">
        <v>2.1044862270355198</v>
      </c>
      <c r="K346" s="914">
        <v>2.15470170974731</v>
      </c>
      <c r="L346" s="914">
        <v>2.2153303623199498</v>
      </c>
      <c r="M346" s="914">
        <v>2.2768745422363299</v>
      </c>
      <c r="N346" s="914">
        <v>2.3487181663513201</v>
      </c>
      <c r="O346" s="914">
        <v>2.4114518165588401</v>
      </c>
      <c r="P346" s="914">
        <v>2.4841165542602499</v>
      </c>
      <c r="Q346" s="914">
        <v>2.5551335811614999</v>
      </c>
      <c r="R346" s="914">
        <v>2.63751268386841</v>
      </c>
      <c r="S346" s="914">
        <v>2.7085535526275599</v>
      </c>
      <c r="T346" s="914">
        <v>2.7758009433746298</v>
      </c>
      <c r="U346" s="914">
        <v>2.84079241752625</v>
      </c>
      <c r="V346" s="914">
        <v>2.9094073772430402</v>
      </c>
      <c r="W346" s="914">
        <v>2.9860992431640598</v>
      </c>
      <c r="X346" s="914">
        <v>3.0685904026031499</v>
      </c>
      <c r="Y346" s="914">
        <v>3.1531631946563698</v>
      </c>
      <c r="Z346" s="914">
        <v>3.23557353019714</v>
      </c>
    </row>
    <row r="348" spans="1:70" x14ac:dyDescent="0.25">
      <c r="A348" s="912" t="s">
        <v>625</v>
      </c>
    </row>
    <row r="349" spans="1:70" x14ac:dyDescent="0.25">
      <c r="A349" s="912" t="s">
        <v>609</v>
      </c>
      <c r="B349" s="914">
        <v>15.246436119079601</v>
      </c>
      <c r="C349" s="914">
        <v>18.5313529968262</v>
      </c>
      <c r="D349" s="914">
        <v>20.134397506713899</v>
      </c>
      <c r="E349" s="914">
        <v>16.9350070953369</v>
      </c>
      <c r="F349" s="914">
        <v>16.912326812744102</v>
      </c>
      <c r="G349" s="914">
        <v>19.346534729003899</v>
      </c>
      <c r="H349" s="914">
        <v>21.4945392608643</v>
      </c>
      <c r="I349" s="914">
        <v>23.604782104492202</v>
      </c>
      <c r="J349" s="914">
        <v>25.696203231811499</v>
      </c>
      <c r="K349" s="914">
        <v>28.031579971313501</v>
      </c>
      <c r="L349" s="914">
        <v>29.828712463378899</v>
      </c>
      <c r="M349" s="914">
        <v>31.479301452636701</v>
      </c>
      <c r="N349" s="914">
        <v>33.231895446777301</v>
      </c>
      <c r="O349" s="914">
        <v>34.5145874023438</v>
      </c>
      <c r="P349" s="914">
        <v>35.698520660400398</v>
      </c>
      <c r="Q349" s="914">
        <v>36.883983612060497</v>
      </c>
      <c r="R349" s="914">
        <v>37.996242523193402</v>
      </c>
      <c r="S349" s="914">
        <v>39.337680816650398</v>
      </c>
      <c r="T349" s="914">
        <v>40.431327819824197</v>
      </c>
      <c r="U349" s="914">
        <v>40.7233276367188</v>
      </c>
      <c r="V349" s="914">
        <v>41.9925727844238</v>
      </c>
      <c r="W349" s="914">
        <v>43.322719573974602</v>
      </c>
      <c r="X349" s="914">
        <v>44.788909912109403</v>
      </c>
      <c r="Y349" s="914">
        <v>45.941520690917997</v>
      </c>
      <c r="Z349" s="914">
        <v>47.553462982177699</v>
      </c>
    </row>
    <row r="350" spans="1:70" x14ac:dyDescent="0.25">
      <c r="A350" s="912" t="s">
        <v>618</v>
      </c>
      <c r="B350" s="914">
        <v>24.84494972229</v>
      </c>
      <c r="C350" s="914">
        <v>26.818180084228501</v>
      </c>
      <c r="D350" s="914">
        <v>34.822681427002003</v>
      </c>
      <c r="E350" s="914">
        <v>21.049989700317401</v>
      </c>
      <c r="F350" s="914">
        <v>19.580844879150401</v>
      </c>
      <c r="G350" s="914">
        <v>23.622909545898398</v>
      </c>
      <c r="H350" s="914">
        <v>25.881950378418001</v>
      </c>
      <c r="I350" s="914">
        <v>28.009447097778299</v>
      </c>
      <c r="J350" s="914">
        <v>30.2537937164307</v>
      </c>
      <c r="K350" s="914">
        <v>28.866632461547901</v>
      </c>
      <c r="L350" s="914">
        <v>30.4276523590088</v>
      </c>
      <c r="M350" s="914">
        <v>31.969417572021499</v>
      </c>
      <c r="N350" s="914">
        <v>32.765193939208999</v>
      </c>
      <c r="O350" s="914">
        <v>35.757926940917997</v>
      </c>
      <c r="P350" s="914">
        <v>37.577915191650398</v>
      </c>
      <c r="Q350" s="914">
        <v>38.662086486816399</v>
      </c>
      <c r="R350" s="914">
        <v>39.8419189453125</v>
      </c>
      <c r="S350" s="914">
        <v>41.092353820800803</v>
      </c>
      <c r="T350" s="914">
        <v>42.114028930664098</v>
      </c>
      <c r="U350" s="914">
        <v>42.893341064453097</v>
      </c>
      <c r="V350" s="914">
        <v>44.2104301452637</v>
      </c>
      <c r="W350" s="914">
        <v>44.896373748779297</v>
      </c>
      <c r="X350" s="914">
        <v>46.4299926757813</v>
      </c>
      <c r="Y350" s="914">
        <v>48.419319152832003</v>
      </c>
      <c r="Z350" s="914">
        <v>48.957271575927699</v>
      </c>
    </row>
    <row r="351" spans="1:70" x14ac:dyDescent="0.25">
      <c r="A351" s="912" t="s">
        <v>619</v>
      </c>
      <c r="B351" s="914">
        <v>21.081119537353501</v>
      </c>
      <c r="C351" s="914">
        <v>22.8191947937012</v>
      </c>
      <c r="D351" s="914">
        <v>26.582485198974599</v>
      </c>
      <c r="E351" s="914">
        <v>16.308473587036101</v>
      </c>
      <c r="F351" s="914">
        <v>18.3791694641113</v>
      </c>
      <c r="G351" s="914">
        <v>21.690732955932599</v>
      </c>
      <c r="H351" s="914">
        <v>23.705785751342798</v>
      </c>
      <c r="I351" s="914">
        <v>25.446578979492202</v>
      </c>
      <c r="J351" s="914">
        <v>27.421388626098601</v>
      </c>
      <c r="K351" s="914">
        <v>29.526109695434599</v>
      </c>
      <c r="L351" s="914">
        <v>31.268815994262699</v>
      </c>
      <c r="M351" s="914">
        <v>33.090030670166001</v>
      </c>
      <c r="N351" s="914">
        <v>34.852634429931598</v>
      </c>
      <c r="O351" s="914">
        <v>36.4355278015137</v>
      </c>
      <c r="P351" s="914">
        <v>38.011890411377003</v>
      </c>
      <c r="Q351" s="914">
        <v>39.135532379150398</v>
      </c>
      <c r="R351" s="914">
        <v>40.475978851318402</v>
      </c>
      <c r="S351" s="914">
        <v>41.687484741210902</v>
      </c>
      <c r="T351" s="914">
        <v>42.675270080566399</v>
      </c>
      <c r="U351" s="914">
        <v>43.460239410400398</v>
      </c>
      <c r="V351" s="914">
        <v>44.775581359863303</v>
      </c>
      <c r="W351" s="914">
        <v>45.668975830078097</v>
      </c>
      <c r="X351" s="914">
        <v>47.250167846679702</v>
      </c>
      <c r="Y351" s="914">
        <v>49.551605224609403</v>
      </c>
      <c r="Z351" s="914">
        <v>49.978668212890597</v>
      </c>
    </row>
    <row r="352" spans="1:70" x14ac:dyDescent="0.25">
      <c r="A352" s="912" t="s">
        <v>626</v>
      </c>
      <c r="B352" s="914">
        <v>14.844763755798301</v>
      </c>
      <c r="C352" s="914">
        <v>16.0964660644531</v>
      </c>
      <c r="D352" s="914">
        <v>22.673322677612301</v>
      </c>
      <c r="E352" s="914">
        <v>10.878761291503899</v>
      </c>
      <c r="F352" s="914">
        <v>10.805939674377401</v>
      </c>
      <c r="G352" s="914">
        <v>13.641165733337401</v>
      </c>
      <c r="H352" s="914">
        <v>15.7883806228638</v>
      </c>
      <c r="I352" s="914">
        <v>17.847295761108398</v>
      </c>
      <c r="J352" s="914">
        <v>19.768560409545898</v>
      </c>
      <c r="K352" s="914">
        <v>21.6021404266357</v>
      </c>
      <c r="L352" s="914">
        <v>23.1407794952393</v>
      </c>
      <c r="M352" s="914">
        <v>24.738756179809599</v>
      </c>
      <c r="N352" s="914">
        <v>26.200944900512699</v>
      </c>
      <c r="O352" s="914">
        <v>27.323936462402301</v>
      </c>
      <c r="P352" s="914">
        <v>28.3911018371582</v>
      </c>
      <c r="Q352" s="914">
        <v>29.343944549560501</v>
      </c>
      <c r="R352" s="914">
        <v>30.208518981933601</v>
      </c>
      <c r="S352" s="914">
        <v>31.274351119995099</v>
      </c>
      <c r="T352" s="914">
        <v>32.279064178466797</v>
      </c>
      <c r="U352" s="914">
        <v>32.661514282226598</v>
      </c>
      <c r="V352" s="914">
        <v>33.853298187255902</v>
      </c>
      <c r="W352" s="914">
        <v>34.868740081787102</v>
      </c>
      <c r="X352" s="914">
        <v>36.320652008056598</v>
      </c>
      <c r="Y352" s="914">
        <v>37.773586273193402</v>
      </c>
      <c r="Z352" s="914">
        <v>39.040420532226598</v>
      </c>
    </row>
    <row r="353" spans="1:70" x14ac:dyDescent="0.25">
      <c r="A353" s="912" t="s">
        <v>610</v>
      </c>
      <c r="B353" s="914">
        <v>18.668458938598601</v>
      </c>
      <c r="C353" s="914">
        <v>19.9431552886963</v>
      </c>
      <c r="D353" s="914">
        <v>26.286823272705099</v>
      </c>
      <c r="E353" s="914">
        <v>15.636975288391101</v>
      </c>
      <c r="F353" s="914">
        <v>14.1092176437378</v>
      </c>
      <c r="G353" s="914">
        <v>16.902593612670898</v>
      </c>
      <c r="H353" s="914">
        <v>19.1516017913818</v>
      </c>
      <c r="I353" s="914">
        <v>21.744958877563501</v>
      </c>
      <c r="J353" s="914">
        <v>23.745824813842798</v>
      </c>
      <c r="K353" s="914">
        <v>25.478622436523398</v>
      </c>
      <c r="L353" s="914">
        <v>27.0623779296875</v>
      </c>
      <c r="M353" s="914">
        <v>28.722316741943398</v>
      </c>
      <c r="N353" s="914">
        <v>30.288469314575199</v>
      </c>
      <c r="O353" s="914">
        <v>31.560461044311499</v>
      </c>
      <c r="P353" s="914">
        <v>32.757129669189503</v>
      </c>
      <c r="Q353" s="914">
        <v>33.523193359375</v>
      </c>
      <c r="R353" s="914">
        <v>34.769081115722699</v>
      </c>
      <c r="S353" s="914">
        <v>35.882114410400398</v>
      </c>
      <c r="T353" s="914">
        <v>36.791599273681598</v>
      </c>
      <c r="U353" s="914">
        <v>37.5217895507813</v>
      </c>
      <c r="V353" s="914">
        <v>38.800697326660199</v>
      </c>
      <c r="W353" s="914">
        <v>39.467311859130902</v>
      </c>
      <c r="X353" s="914">
        <v>40.997920989990199</v>
      </c>
      <c r="Y353" s="914">
        <v>42.937191009521499</v>
      </c>
      <c r="Z353" s="914">
        <v>43.857540130615199</v>
      </c>
    </row>
    <row r="354" spans="1:70" x14ac:dyDescent="0.25">
      <c r="A354" s="912" t="s">
        <v>611</v>
      </c>
      <c r="B354" s="914">
        <v>8.2036781311035192</v>
      </c>
      <c r="C354" s="914">
        <v>9.3672227859497106</v>
      </c>
      <c r="D354" s="914">
        <v>14.4897508621216</v>
      </c>
      <c r="E354" s="914">
        <v>6.7128052711486799</v>
      </c>
      <c r="F354" s="914">
        <v>7.1757683753967303</v>
      </c>
      <c r="G354" s="914">
        <v>9.6609458923339808</v>
      </c>
      <c r="H354" s="914">
        <v>11.544206619262701</v>
      </c>
      <c r="I354" s="914">
        <v>13.370221138000501</v>
      </c>
      <c r="J354" s="914">
        <v>14.996021270751999</v>
      </c>
      <c r="K354" s="914">
        <v>16.898206710815401</v>
      </c>
      <c r="L354" s="914">
        <v>18.207862854003899</v>
      </c>
      <c r="M354" s="914">
        <v>19.411674499511701</v>
      </c>
      <c r="N354" s="914">
        <v>20.6822299957275</v>
      </c>
      <c r="O354" s="914">
        <v>21.516969680786101</v>
      </c>
      <c r="P354" s="914">
        <v>22.335527420043899</v>
      </c>
      <c r="Q354" s="914">
        <v>23.2407321929932</v>
      </c>
      <c r="R354" s="914">
        <v>23.916133880615199</v>
      </c>
      <c r="S354" s="914">
        <v>24.6660556793213</v>
      </c>
      <c r="T354" s="914">
        <v>25.322589874267599</v>
      </c>
      <c r="U354" s="914">
        <v>25.500698089599599</v>
      </c>
      <c r="V354" s="914">
        <v>26.3019409179688</v>
      </c>
      <c r="W354" s="914">
        <v>27.270561218261701</v>
      </c>
      <c r="X354" s="914">
        <v>28.332614898681602</v>
      </c>
      <c r="Y354" s="914">
        <v>29.2080383300781</v>
      </c>
      <c r="Z354" s="914">
        <v>30.365930557251001</v>
      </c>
    </row>
    <row r="355" spans="1:70" x14ac:dyDescent="0.25">
      <c r="A355" s="912" t="s">
        <v>510</v>
      </c>
      <c r="B355" s="914">
        <v>9.2523355484008807</v>
      </c>
      <c r="C355" s="914">
        <v>9.0060253143310494</v>
      </c>
      <c r="D355" s="914">
        <v>10.405486106872599</v>
      </c>
      <c r="E355" s="914">
        <v>6.98002004623413</v>
      </c>
      <c r="F355" s="914">
        <v>7.7092094421386701</v>
      </c>
      <c r="G355" s="914">
        <v>8.12390232086182</v>
      </c>
      <c r="H355" s="914">
        <v>8.2825136184692401</v>
      </c>
      <c r="I355" s="914">
        <v>8.4401350021362305</v>
      </c>
      <c r="J355" s="914">
        <v>8.7418422698974592</v>
      </c>
      <c r="K355" s="914">
        <v>9.1197204589843803</v>
      </c>
      <c r="L355" s="914">
        <v>9.5538625717163104</v>
      </c>
      <c r="M355" s="914">
        <v>10.0050344467163</v>
      </c>
      <c r="N355" s="914">
        <v>10.4820852279663</v>
      </c>
      <c r="O355" s="914">
        <v>11.0441122055054</v>
      </c>
      <c r="P355" s="914">
        <v>11.7092485427856</v>
      </c>
      <c r="Q355" s="914">
        <v>12.280260086059601</v>
      </c>
      <c r="R355" s="914">
        <v>12.668963432311999</v>
      </c>
      <c r="S355" s="914">
        <v>12.670117378234901</v>
      </c>
      <c r="T355" s="914">
        <v>12.917200088501</v>
      </c>
      <c r="U355" s="914">
        <v>13.0803108215332</v>
      </c>
      <c r="V355" s="914">
        <v>13.574273109436</v>
      </c>
      <c r="W355" s="914">
        <v>14.23717212677</v>
      </c>
      <c r="X355" s="914">
        <v>15.0462560653687</v>
      </c>
      <c r="Y355" s="914">
        <v>15.740474700927701</v>
      </c>
      <c r="Z355" s="914">
        <v>16.4913539886475</v>
      </c>
    </row>
    <row r="356" spans="1:70" ht="13" thickBot="1" x14ac:dyDescent="0.3">
      <c r="A356" s="912" t="s">
        <v>614</v>
      </c>
      <c r="B356" s="914">
        <v>3.53999996185303</v>
      </c>
      <c r="C356" s="914">
        <v>3.6099998950958301</v>
      </c>
      <c r="D356" s="914">
        <v>4.1449666023254403</v>
      </c>
      <c r="E356" s="914">
        <v>4.1784791946411097</v>
      </c>
      <c r="F356" s="914">
        <v>4.1485314369201696</v>
      </c>
      <c r="G356" s="914">
        <v>4.3175525665283203</v>
      </c>
      <c r="H356" s="914">
        <v>4.44484186172485</v>
      </c>
      <c r="I356" s="914">
        <v>4.5821456909179696</v>
      </c>
      <c r="J356" s="914">
        <v>4.7206311225891104</v>
      </c>
      <c r="K356" s="914">
        <v>4.8563599586486799</v>
      </c>
      <c r="L356" s="914">
        <v>4.9913563728332502</v>
      </c>
      <c r="M356" s="914">
        <v>5.1233406066894496</v>
      </c>
      <c r="N356" s="914">
        <v>5.2680139541626003</v>
      </c>
      <c r="O356" s="914">
        <v>5.4137320518493697</v>
      </c>
      <c r="P356" s="914">
        <v>5.5743689537048304</v>
      </c>
      <c r="Q356" s="914">
        <v>5.7906579971313503</v>
      </c>
      <c r="R356" s="914">
        <v>6.0209679603576696</v>
      </c>
      <c r="S356" s="914">
        <v>6.20045709609985</v>
      </c>
      <c r="T356" s="914">
        <v>6.3775997161865199</v>
      </c>
      <c r="U356" s="914">
        <v>6.5161404609680202</v>
      </c>
      <c r="V356" s="914">
        <v>6.6299972534179696</v>
      </c>
      <c r="W356" s="914">
        <v>6.7667918205261204</v>
      </c>
      <c r="X356" s="914">
        <v>6.88553714752197</v>
      </c>
      <c r="Y356" s="914">
        <v>6.9704546928405797</v>
      </c>
      <c r="Z356" s="914">
        <v>7.0137753486633301</v>
      </c>
    </row>
    <row r="357" spans="1:70" ht="13" thickBot="1" x14ac:dyDescent="0.3">
      <c r="A357" s="912" t="s">
        <v>627</v>
      </c>
      <c r="B357" s="914">
        <v>1.73100674152374</v>
      </c>
      <c r="C357" s="914">
        <v>1.81885313987732</v>
      </c>
      <c r="D357" s="914">
        <v>2.01088166236877</v>
      </c>
      <c r="E357" s="914">
        <v>2.0711190700531001</v>
      </c>
      <c r="F357" s="914">
        <v>1.96068322658539</v>
      </c>
      <c r="G357" s="914">
        <v>1.99932932853699</v>
      </c>
      <c r="H357" s="914">
        <v>2.0096416473388699</v>
      </c>
      <c r="I357" s="914">
        <v>2.07272601127625</v>
      </c>
      <c r="J357" s="914">
        <v>2.1420636177063002</v>
      </c>
      <c r="K357" s="914">
        <v>2.1925818920135498</v>
      </c>
      <c r="L357" s="914">
        <v>2.2534883022308301</v>
      </c>
      <c r="M357" s="914">
        <v>2.3155770301818799</v>
      </c>
      <c r="N357" s="914">
        <v>2.38794946670532</v>
      </c>
      <c r="O357" s="914">
        <v>2.4510562419891402</v>
      </c>
      <c r="P357" s="914">
        <v>2.52451372146606</v>
      </c>
      <c r="Q357" s="914">
        <v>2.5963439941406299</v>
      </c>
      <c r="R357" s="914">
        <v>2.6790707111358598</v>
      </c>
      <c r="S357" s="914">
        <v>2.7507226467132599</v>
      </c>
      <c r="T357" s="914">
        <v>2.8189043998718302</v>
      </c>
      <c r="U357" s="914">
        <v>2.8845274448394802</v>
      </c>
      <c r="V357" s="914">
        <v>2.9543473720550502</v>
      </c>
      <c r="W357" s="914">
        <v>3.0319309234619101</v>
      </c>
      <c r="X357" s="914">
        <v>3.1151678562164302</v>
      </c>
      <c r="Y357" s="914">
        <v>3.20047926902771</v>
      </c>
      <c r="Z357" s="914">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 thickBot="1" x14ac:dyDescent="0.3">
      <c r="A358" s="912" t="s">
        <v>616</v>
      </c>
      <c r="B358" s="914">
        <v>0</v>
      </c>
      <c r="C358" s="914">
        <v>0</v>
      </c>
      <c r="D358" s="914">
        <v>0</v>
      </c>
      <c r="E358" s="914">
        <v>0</v>
      </c>
      <c r="F358" s="914">
        <v>0</v>
      </c>
      <c r="G358" s="914">
        <v>1.5889266729354901</v>
      </c>
      <c r="H358" s="914">
        <v>1.46094393730164</v>
      </c>
      <c r="I358" s="914">
        <v>1.28843116760254</v>
      </c>
      <c r="J358" s="914">
        <v>1.5101318359375</v>
      </c>
      <c r="K358" s="914">
        <v>1.50810551643372</v>
      </c>
      <c r="L358" s="914">
        <v>1.5213859081268299</v>
      </c>
      <c r="M358" s="914">
        <v>1.53951179981232</v>
      </c>
      <c r="N358" s="914">
        <v>1.58338570594788</v>
      </c>
      <c r="O358" s="914">
        <v>1.63723039627075</v>
      </c>
      <c r="P358" s="914">
        <v>1.71289122104645</v>
      </c>
      <c r="Q358" s="914">
        <v>1.76114201545715</v>
      </c>
      <c r="R358" s="914">
        <v>1.8119050264358501</v>
      </c>
      <c r="S358" s="914">
        <v>1.8629466295242301</v>
      </c>
      <c r="T358" s="914">
        <v>1.9169825315475499</v>
      </c>
      <c r="U358" s="914">
        <v>1.9466364383697501</v>
      </c>
      <c r="V358" s="914">
        <v>1.9911848306655899</v>
      </c>
      <c r="W358" s="914">
        <v>2.0416746139526398</v>
      </c>
      <c r="X358" s="914">
        <v>2.09020328521729</v>
      </c>
      <c r="Y358" s="914">
        <v>2.1373581886291499</v>
      </c>
      <c r="Z358" s="914">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5">
      <c r="A359" s="912" t="s">
        <v>479</v>
      </c>
      <c r="B359" s="914">
        <v>25.973251342773398</v>
      </c>
      <c r="C359" s="914">
        <v>26.680915832519499</v>
      </c>
      <c r="D359" s="914">
        <v>28.4103908538818</v>
      </c>
      <c r="E359" s="914">
        <v>27.544679641723601</v>
      </c>
      <c r="F359" s="914">
        <v>25.191349029541001</v>
      </c>
      <c r="G359" s="914">
        <v>26.348068237304702</v>
      </c>
      <c r="H359" s="914">
        <v>26.6303806304932</v>
      </c>
      <c r="I359" s="914">
        <v>27.154542922973601</v>
      </c>
      <c r="J359" s="914">
        <v>28.002742767333999</v>
      </c>
      <c r="K359" s="914">
        <v>28.757371902465799</v>
      </c>
      <c r="L359" s="914">
        <v>29.780685424804702</v>
      </c>
      <c r="M359" s="914">
        <v>30.870384216308601</v>
      </c>
      <c r="N359" s="914">
        <v>32.039138793945298</v>
      </c>
      <c r="O359" s="914">
        <v>33.131908416747997</v>
      </c>
      <c r="P359" s="914">
        <v>34.493354797363303</v>
      </c>
      <c r="Q359" s="914">
        <v>35.847507476806598</v>
      </c>
      <c r="R359" s="914">
        <v>37.095943450927699</v>
      </c>
      <c r="S359" s="914">
        <v>37.945499420166001</v>
      </c>
      <c r="T359" s="914">
        <v>38.854724884033203</v>
      </c>
      <c r="U359" s="914">
        <v>39.667263031005902</v>
      </c>
      <c r="V359" s="914">
        <v>40.613765716552699</v>
      </c>
      <c r="W359" s="914">
        <v>41.989593505859403</v>
      </c>
      <c r="X359" s="914">
        <v>43.556324005127003</v>
      </c>
      <c r="Y359" s="914">
        <v>45.098350524902301</v>
      </c>
      <c r="Z359" s="914">
        <v>46.616588592529297</v>
      </c>
    </row>
    <row r="361" spans="1:70" x14ac:dyDescent="0.25">
      <c r="A361" s="912" t="s">
        <v>513</v>
      </c>
    </row>
    <row r="362" spans="1:70" x14ac:dyDescent="0.25">
      <c r="A362" s="912" t="s">
        <v>727</v>
      </c>
    </row>
    <row r="363" spans="1:70" x14ac:dyDescent="0.25">
      <c r="A363" s="912" t="s">
        <v>473</v>
      </c>
      <c r="B363" s="914">
        <v>225.03859096661196</v>
      </c>
      <c r="C363" s="914">
        <v>238.40081787109398</v>
      </c>
      <c r="D363" s="914">
        <v>255.49913625772319</v>
      </c>
      <c r="E363" s="914">
        <v>230.9929746666815</v>
      </c>
      <c r="F363" s="914">
        <v>223.41247611699868</v>
      </c>
      <c r="G363" s="914">
        <v>235.2892736225177</v>
      </c>
      <c r="H363" s="914">
        <v>241.6920712265439</v>
      </c>
      <c r="I363" s="914">
        <v>246.56659612211084</v>
      </c>
      <c r="J363" s="914">
        <v>255.55094332875294</v>
      </c>
      <c r="K363" s="914">
        <v>264.57905396662414</v>
      </c>
      <c r="L363" s="914">
        <v>275.89920726734971</v>
      </c>
      <c r="M363" s="914">
        <v>287.49516661999758</v>
      </c>
      <c r="N363" s="914">
        <v>300.32909110683801</v>
      </c>
      <c r="O363" s="914">
        <v>313.11554742582229</v>
      </c>
      <c r="P363" s="914">
        <v>328.18192619930682</v>
      </c>
      <c r="Q363" s="914">
        <v>341.8235015289352</v>
      </c>
      <c r="R363" s="914">
        <v>355.09694320426638</v>
      </c>
      <c r="S363" s="914">
        <v>365.44612056098629</v>
      </c>
      <c r="T363" s="914">
        <v>378.29315112389759</v>
      </c>
      <c r="U363" s="914">
        <v>388.37155634393389</v>
      </c>
      <c r="V363" s="914">
        <v>402.59953615177363</v>
      </c>
      <c r="W363" s="914">
        <v>419.77981120164446</v>
      </c>
      <c r="X363" s="914">
        <v>438.87123825530841</v>
      </c>
      <c r="Y363" s="914">
        <v>455.24534715742953</v>
      </c>
      <c r="Z363" s="914">
        <v>473.03338245571979</v>
      </c>
    </row>
    <row r="364" spans="1:70" x14ac:dyDescent="0.25">
      <c r="A364" s="912" t="s">
        <v>480</v>
      </c>
      <c r="B364" s="914">
        <v>165.81601818957134</v>
      </c>
      <c r="C364" s="914">
        <v>172.89260864257801</v>
      </c>
      <c r="D364" s="914">
        <v>187.38257557629601</v>
      </c>
      <c r="E364" s="914">
        <v>169.14737359110225</v>
      </c>
      <c r="F364" s="914">
        <v>163.07263216137929</v>
      </c>
      <c r="G364" s="914">
        <v>172.91593328178766</v>
      </c>
      <c r="H364" s="914">
        <v>176.9297785804325</v>
      </c>
      <c r="I364" s="914">
        <v>182.88131988639063</v>
      </c>
      <c r="J364" s="914">
        <v>191.23749630338142</v>
      </c>
      <c r="K364" s="914">
        <v>199.89645601118545</v>
      </c>
      <c r="L364" s="914">
        <v>210.36479941888081</v>
      </c>
      <c r="M364" s="914">
        <v>221.36240217535854</v>
      </c>
      <c r="N364" s="914">
        <v>233.19080564556924</v>
      </c>
      <c r="O364" s="914">
        <v>244.70314616363081</v>
      </c>
      <c r="P364" s="914">
        <v>258.1051490216438</v>
      </c>
      <c r="Q364" s="914">
        <v>271.26123343313407</v>
      </c>
      <c r="R364" s="914">
        <v>283.50995205362011</v>
      </c>
      <c r="S364" s="914">
        <v>292.88584879534454</v>
      </c>
      <c r="T364" s="914">
        <v>303.70259464185926</v>
      </c>
      <c r="U364" s="914">
        <v>313.58347456242666</v>
      </c>
      <c r="V364" s="914">
        <v>325.89089746765683</v>
      </c>
      <c r="W364" s="914">
        <v>341.11550736031069</v>
      </c>
      <c r="X364" s="914">
        <v>358.21009848865214</v>
      </c>
      <c r="Y364" s="914">
        <v>374.9131546581271</v>
      </c>
      <c r="Z364" s="914">
        <v>392.1016075075479</v>
      </c>
    </row>
    <row r="365" spans="1:70" ht="13" thickBot="1" x14ac:dyDescent="0.3">
      <c r="A365" s="912" t="s">
        <v>515</v>
      </c>
      <c r="B365" s="914">
        <v>210.41252056252281</v>
      </c>
      <c r="C365" s="914">
        <v>226.88609313964801</v>
      </c>
      <c r="D365" s="914">
        <v>254.13497179068762</v>
      </c>
      <c r="E365" s="914">
        <v>187.2100922767749</v>
      </c>
      <c r="F365" s="914">
        <v>157.4270874391178</v>
      </c>
      <c r="G365" s="914">
        <v>180.83829470805441</v>
      </c>
      <c r="H365" s="914">
        <v>198.41655822177904</v>
      </c>
      <c r="I365" s="914">
        <v>216.64201952030527</v>
      </c>
      <c r="J365" s="914">
        <v>228.79975664936245</v>
      </c>
      <c r="K365" s="914">
        <v>241.15463361452254</v>
      </c>
      <c r="L365" s="914">
        <v>252.64480203410886</v>
      </c>
      <c r="M365" s="914">
        <v>265.1637238738445</v>
      </c>
      <c r="N365" s="914">
        <v>278.29776899368039</v>
      </c>
      <c r="O365" s="914">
        <v>289.61773721654419</v>
      </c>
      <c r="P365" s="914">
        <v>303.56832242347855</v>
      </c>
      <c r="Q365" s="914">
        <v>314.41390898844122</v>
      </c>
      <c r="R365" s="914">
        <v>323.63277263436424</v>
      </c>
      <c r="S365" s="914">
        <v>331.42426143912343</v>
      </c>
      <c r="T365" s="914">
        <v>339.57307272400601</v>
      </c>
      <c r="U365" s="914">
        <v>343.93727888891527</v>
      </c>
      <c r="V365" s="914">
        <v>351.82746805051073</v>
      </c>
      <c r="W365" s="914">
        <v>360.73339056833169</v>
      </c>
      <c r="X365" s="914">
        <v>371.92375563686846</v>
      </c>
      <c r="Y365" s="914">
        <v>381.22301587849751</v>
      </c>
      <c r="Z365" s="914">
        <v>389.10731115707301</v>
      </c>
    </row>
    <row r="366" spans="1:70" ht="13" thickBot="1" x14ac:dyDescent="0.3">
      <c r="A366" s="912" t="s">
        <v>487</v>
      </c>
      <c r="B366" s="914">
        <v>549.81888270324475</v>
      </c>
      <c r="C366" s="914">
        <v>596.84759521484398</v>
      </c>
      <c r="D366" s="914">
        <v>708.90187629235277</v>
      </c>
      <c r="E366" s="914">
        <v>406.38667462869051</v>
      </c>
      <c r="F366" s="914">
        <v>447.16295305198071</v>
      </c>
      <c r="G366" s="914">
        <v>542.65678113398656</v>
      </c>
      <c r="H366" s="914">
        <v>604.00010341071868</v>
      </c>
      <c r="I366" s="914">
        <v>661.06483901631009</v>
      </c>
      <c r="J366" s="914">
        <v>714.35686387994281</v>
      </c>
      <c r="K366" s="914">
        <v>764.16924059162022</v>
      </c>
      <c r="L366" s="914">
        <v>805.13331786340132</v>
      </c>
      <c r="M366" s="914">
        <v>850.39970498506295</v>
      </c>
      <c r="N366" s="914">
        <v>892.06783074940802</v>
      </c>
      <c r="O366" s="914">
        <v>929.55049698437085</v>
      </c>
      <c r="P366" s="914">
        <v>964.20679928883487</v>
      </c>
      <c r="Q366" s="914">
        <v>990.06920191633094</v>
      </c>
      <c r="R366" s="914">
        <v>1016.1557534719609</v>
      </c>
      <c r="S366" s="914">
        <v>1054.8326731961108</v>
      </c>
      <c r="T366" s="914">
        <v>1091.2729592511287</v>
      </c>
      <c r="U366" s="914">
        <v>1118.0349113947391</v>
      </c>
      <c r="V366" s="914">
        <v>1161.085260138974</v>
      </c>
      <c r="W366" s="914">
        <v>1181.9301954596156</v>
      </c>
      <c r="X366" s="914">
        <v>1232.4560893451367</v>
      </c>
      <c r="Y366" s="914">
        <v>1290.1595195386233</v>
      </c>
      <c r="Z366" s="914">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5">
      <c r="A367" s="912" t="s">
        <v>516</v>
      </c>
      <c r="B367" s="914">
        <v>1151.0859678463546</v>
      </c>
      <c r="C367" s="914">
        <v>1235.02709960938</v>
      </c>
      <c r="D367" s="914">
        <v>1405.9186066996403</v>
      </c>
      <c r="E367" s="914">
        <v>993.73713091111074</v>
      </c>
      <c r="F367" s="914">
        <v>991.07514876947641</v>
      </c>
      <c r="G367" s="914">
        <v>1131.7003147881212</v>
      </c>
      <c r="H367" s="914">
        <v>1221.038560105055</v>
      </c>
      <c r="I367" s="914">
        <v>1307.1547250090439</v>
      </c>
      <c r="J367" s="914">
        <v>1389.9450601614428</v>
      </c>
      <c r="K367" s="914">
        <v>1469.7993497059265</v>
      </c>
      <c r="L367" s="914">
        <v>1544.0421618496678</v>
      </c>
      <c r="M367" s="914">
        <v>1624.4209976542634</v>
      </c>
      <c r="N367" s="914">
        <v>1703.8854780296228</v>
      </c>
      <c r="O367" s="914">
        <v>1776.9868521708881</v>
      </c>
      <c r="P367" s="914">
        <v>1854.0622550605767</v>
      </c>
      <c r="Q367" s="914">
        <v>1917.5679054742993</v>
      </c>
      <c r="R367" s="914">
        <v>1978.3954213642144</v>
      </c>
      <c r="S367" s="914">
        <v>2044.5889248527621</v>
      </c>
      <c r="T367" s="914">
        <v>2112.8417777408945</v>
      </c>
      <c r="U367" s="914">
        <v>2163.9271994062915</v>
      </c>
      <c r="V367" s="914">
        <v>2241.4031618089139</v>
      </c>
      <c r="W367" s="914">
        <v>2303.558949985179</v>
      </c>
      <c r="X367" s="914">
        <v>2401.4612280803153</v>
      </c>
      <c r="Y367" s="914">
        <v>2501.5410135735665</v>
      </c>
      <c r="Z367" s="914">
        <v>2576.2560875804752</v>
      </c>
    </row>
    <row r="368" spans="1:70" ht="13" thickBot="1" x14ac:dyDescent="0.3">
      <c r="A368" s="912" t="s">
        <v>629</v>
      </c>
      <c r="B368" s="914">
        <v>3.1288517293273019E-2</v>
      </c>
      <c r="C368" s="914">
        <v>4.0145620703697205E-2</v>
      </c>
      <c r="D368" s="914">
        <v>3.8515830891447944E-2</v>
      </c>
      <c r="E368" s="914">
        <v>2.6303627333810531E-2</v>
      </c>
      <c r="F368" s="914">
        <v>5.6047443014104255E-2</v>
      </c>
      <c r="G368" s="914">
        <v>7.1119337023784479E-2</v>
      </c>
      <c r="H368" s="914">
        <v>8.8428224145552056E-2</v>
      </c>
      <c r="I368" s="914">
        <v>0.10266115711707489</v>
      </c>
      <c r="J368" s="914">
        <v>0.12491143634290662</v>
      </c>
      <c r="K368" s="914">
        <v>2.2293869286864165</v>
      </c>
      <c r="L368" s="914">
        <v>5.6123954184121017</v>
      </c>
      <c r="M368" s="914">
        <v>7.9566359351664051</v>
      </c>
      <c r="N368" s="914">
        <v>12.724991751969894</v>
      </c>
      <c r="O368" s="914">
        <v>19.495647700796784</v>
      </c>
      <c r="P368" s="914">
        <v>28.06371652814466</v>
      </c>
      <c r="Q368" s="914">
        <v>33.841758141316177</v>
      </c>
      <c r="R368" s="914">
        <v>47.452021910622882</v>
      </c>
      <c r="S368" s="914">
        <v>48.667640008057987</v>
      </c>
      <c r="T368" s="914">
        <v>47.767774332439714</v>
      </c>
      <c r="U368" s="914">
        <v>50.842459413568172</v>
      </c>
      <c r="V368" s="914">
        <v>54.12672288853372</v>
      </c>
      <c r="W368" s="914">
        <v>67.349033728123644</v>
      </c>
      <c r="X368" s="914">
        <v>72.870357898145016</v>
      </c>
      <c r="Y368" s="914">
        <v>82.472655922369356</v>
      </c>
      <c r="Z368" s="914">
        <v>85.74303480046683</v>
      </c>
    </row>
    <row r="369" spans="1:70" ht="13" thickBot="1" x14ac:dyDescent="0.3">
      <c r="A369" s="912" t="s">
        <v>518</v>
      </c>
      <c r="B369" s="914">
        <v>1151.1172301979784</v>
      </c>
      <c r="C369" s="914">
        <v>1235.06726074219</v>
      </c>
      <c r="D369" s="914">
        <v>1405.957155546361</v>
      </c>
      <c r="E369" s="914">
        <v>993.76346133595302</v>
      </c>
      <c r="F369" s="914">
        <v>991.13120249830877</v>
      </c>
      <c r="G369" s="914">
        <v>1131.7714475332546</v>
      </c>
      <c r="H369" s="914">
        <v>1221.1269368042056</v>
      </c>
      <c r="I369" s="914">
        <v>1307.2573637523753</v>
      </c>
      <c r="J369" s="914">
        <v>1390.0699789505047</v>
      </c>
      <c r="K369" s="914">
        <v>1472.0286986549243</v>
      </c>
      <c r="L369" s="914">
        <v>1549.6545225531884</v>
      </c>
      <c r="M369" s="914">
        <v>1632.3776685401217</v>
      </c>
      <c r="N369" s="914">
        <v>1716.6105344121597</v>
      </c>
      <c r="O369" s="914">
        <v>1796.4824632434897</v>
      </c>
      <c r="P369" s="914">
        <v>1882.1259667447755</v>
      </c>
      <c r="Q369" s="914">
        <v>1951.4096785174786</v>
      </c>
      <c r="R369" s="914">
        <v>2025.8475094892897</v>
      </c>
      <c r="S369" s="914">
        <v>2093.2565961526161</v>
      </c>
      <c r="T369" s="914">
        <v>2160.609578738799</v>
      </c>
      <c r="U369" s="914">
        <v>2214.7697023873047</v>
      </c>
      <c r="V369" s="914">
        <v>2295.5298624598372</v>
      </c>
      <c r="W369" s="914">
        <v>2370.9079156203875</v>
      </c>
      <c r="X369" s="914">
        <v>2474.3315685955818</v>
      </c>
      <c r="Y369" s="914">
        <v>2584.0136458368329</v>
      </c>
      <c r="Z369" s="914">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 thickBot="1" x14ac:dyDescent="0.3">
      <c r="A373" s="912" t="s">
        <v>630</v>
      </c>
    </row>
    <row r="374" spans="1:70" ht="13" thickBot="1" x14ac:dyDescent="0.3">
      <c r="A374" s="912" t="s">
        <v>631</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 thickBot="1" x14ac:dyDescent="0.3">
      <c r="A375" s="912" t="s">
        <v>632</v>
      </c>
    </row>
    <row r="376" spans="1:70" ht="13" thickBot="1" x14ac:dyDescent="0.3">
      <c r="A376" s="912" t="s">
        <v>728</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5">
      <c r="A377" s="912" t="s">
        <v>729</v>
      </c>
    </row>
    <row r="378" spans="1:70" x14ac:dyDescent="0.25">
      <c r="A378" s="912" t="s">
        <v>649</v>
      </c>
    </row>
    <row r="379" spans="1:70" ht="13" thickBot="1" x14ac:dyDescent="0.3">
      <c r="A379" s="912" t="s">
        <v>650</v>
      </c>
    </row>
    <row r="380" spans="1:70" ht="13" thickBot="1" x14ac:dyDescent="0.3">
      <c r="A380" s="912" t="s">
        <v>651</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5">
      <c r="A381" s="912" t="s">
        <v>652</v>
      </c>
    </row>
    <row r="382" spans="1:70" x14ac:dyDescent="0.25">
      <c r="A382" s="912" t="s">
        <v>653</v>
      </c>
    </row>
    <row r="383" spans="1:70" x14ac:dyDescent="0.25">
      <c r="A383" s="912" t="s">
        <v>654</v>
      </c>
    </row>
    <row r="384" spans="1:70" x14ac:dyDescent="0.25">
      <c r="A384" s="912" t="s">
        <v>545</v>
      </c>
    </row>
    <row r="385" spans="1:70" x14ac:dyDescent="0.25">
      <c r="A385" s="912" t="s">
        <v>730</v>
      </c>
    </row>
    <row r="386" spans="1:70" x14ac:dyDescent="0.25">
      <c r="A386" s="912" t="s">
        <v>731</v>
      </c>
    </row>
    <row r="387" spans="1:70" x14ac:dyDescent="0.25">
      <c r="A387" s="912" t="s">
        <v>732</v>
      </c>
    </row>
    <row r="388" spans="1:70" x14ac:dyDescent="0.25">
      <c r="A388" s="912" t="s">
        <v>733</v>
      </c>
    </row>
    <row r="389" spans="1:70" x14ac:dyDescent="0.25">
      <c r="A389" s="912" t="s">
        <v>734</v>
      </c>
    </row>
    <row r="390" spans="1:70" x14ac:dyDescent="0.25">
      <c r="A390" s="912" t="s">
        <v>735</v>
      </c>
    </row>
    <row r="391" spans="1:70" ht="13" thickBot="1" x14ac:dyDescent="0.3">
      <c r="A391" s="912" t="s">
        <v>736</v>
      </c>
    </row>
    <row r="392" spans="1:70" ht="13" thickBot="1" x14ac:dyDescent="0.3">
      <c r="A392" s="912" t="s">
        <v>737</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 thickBot="1" x14ac:dyDescent="0.3">
      <c r="A393" s="912" t="s">
        <v>738</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5">
      <c r="A394" s="912" t="s">
        <v>739</v>
      </c>
    </row>
    <row r="395" spans="1:70" x14ac:dyDescent="0.25">
      <c r="A395" s="912" t="s">
        <v>740</v>
      </c>
    </row>
    <row r="396" spans="1:70" x14ac:dyDescent="0.25">
      <c r="A396" s="912" t="s">
        <v>741</v>
      </c>
    </row>
    <row r="397" spans="1:70" x14ac:dyDescent="0.25">
      <c r="A397" s="912" t="s">
        <v>742</v>
      </c>
    </row>
    <row r="403" spans="1:26" x14ac:dyDescent="0.25">
      <c r="A403" s="306" t="s">
        <v>863</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5">
      <c r="A404" s="306" t="s">
        <v>601</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5">
      <c r="A405" s="306" t="s">
        <v>602</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5">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5">
      <c r="A407" s="306" t="s">
        <v>447</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5">
      <c r="A408" s="306" t="s">
        <v>603</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5">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5">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5">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5">
      <c r="A412" s="306"/>
      <c r="B412" s="306"/>
      <c r="C412" s="306"/>
      <c r="D412" s="306" t="s">
        <v>451</v>
      </c>
      <c r="E412" s="306" t="s">
        <v>452</v>
      </c>
      <c r="F412" s="306" t="s">
        <v>453</v>
      </c>
      <c r="G412" s="306" t="s">
        <v>454</v>
      </c>
      <c r="H412" s="306" t="s">
        <v>455</v>
      </c>
      <c r="I412" s="306" t="s">
        <v>456</v>
      </c>
      <c r="J412" s="306" t="s">
        <v>457</v>
      </c>
      <c r="K412" s="306" t="s">
        <v>458</v>
      </c>
      <c r="L412" s="306" t="s">
        <v>459</v>
      </c>
      <c r="M412" s="306" t="s">
        <v>460</v>
      </c>
      <c r="N412" s="306" t="s">
        <v>461</v>
      </c>
      <c r="O412" s="306" t="s">
        <v>462</v>
      </c>
      <c r="P412" s="306" t="s">
        <v>463</v>
      </c>
      <c r="Q412" s="306" t="s">
        <v>464</v>
      </c>
      <c r="R412" s="306" t="s">
        <v>465</v>
      </c>
      <c r="S412" s="306" t="s">
        <v>466</v>
      </c>
      <c r="T412" s="306" t="s">
        <v>467</v>
      </c>
      <c r="U412" s="306" t="s">
        <v>468</v>
      </c>
      <c r="V412" s="306" t="s">
        <v>469</v>
      </c>
      <c r="W412" s="306" t="s">
        <v>470</v>
      </c>
      <c r="X412" s="306" t="s">
        <v>471</v>
      </c>
      <c r="Y412" s="306" t="s">
        <v>472</v>
      </c>
      <c r="Z412" s="306" t="s">
        <v>604</v>
      </c>
    </row>
    <row r="413" spans="1:26" x14ac:dyDescent="0.25">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5">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5">
      <c r="A415" s="306" t="s">
        <v>473</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5">
      <c r="A416" s="306" t="s">
        <v>609</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5">
      <c r="A417" s="306" t="s">
        <v>610</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5">
      <c r="A418" s="306" t="s">
        <v>510</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5">
      <c r="A419" s="306" t="s">
        <v>479</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5">
      <c r="A420" s="306" t="s">
        <v>480</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5">
      <c r="A421" s="306" t="s">
        <v>610</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5">
      <c r="A422" s="306" t="s">
        <v>611</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5">
      <c r="A423" s="308" t="s">
        <v>510</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5">
      <c r="A424" s="307" t="s">
        <v>479</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5">
      <c r="A425" s="306" t="s">
        <v>612</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5">
      <c r="A426" s="306" t="s">
        <v>609</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5">
      <c r="A427" s="306" t="s">
        <v>610</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5">
      <c r="A428" s="306" t="s">
        <v>611</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5">
      <c r="A429" s="308" t="s">
        <v>613</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5">
      <c r="A430" s="306" t="s">
        <v>614</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5">
      <c r="A431" s="306" t="s">
        <v>615</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5">
      <c r="A432" s="306" t="s">
        <v>616</v>
      </c>
      <c r="B432" s="306"/>
      <c r="C432" s="306"/>
      <c r="D432" s="306" t="s">
        <v>1082</v>
      </c>
      <c r="E432" s="306" t="s">
        <v>1082</v>
      </c>
      <c r="F432" s="306" t="s">
        <v>1082</v>
      </c>
      <c r="G432" s="306" t="s">
        <v>1082</v>
      </c>
      <c r="H432" s="306" t="s">
        <v>1082</v>
      </c>
      <c r="I432" s="306" t="s">
        <v>1082</v>
      </c>
      <c r="J432" s="306" t="s">
        <v>1082</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5">
      <c r="A433" s="307" t="s">
        <v>479</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5">
      <c r="A434" s="306" t="s">
        <v>487</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5">
      <c r="A435" s="306" t="s">
        <v>617</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5">
      <c r="A436" s="310" t="s">
        <v>618</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5">
      <c r="A437" s="309" t="s">
        <v>619</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5">
      <c r="A438" s="306" t="s">
        <v>620</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5">
      <c r="A439" s="309" t="s">
        <v>621</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5">
      <c r="A440" s="306" t="s">
        <v>611</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5">
      <c r="A441" s="306" t="s">
        <v>622</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5">
      <c r="A442" s="306" t="s">
        <v>479</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5">
      <c r="A443" s="306" t="s">
        <v>623</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5">
      <c r="A444" s="306" t="s">
        <v>610</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5">
      <c r="A445" s="306" t="s">
        <v>611</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5">
      <c r="A446" s="308" t="s">
        <v>510</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5">
      <c r="A447" s="311" t="s">
        <v>624</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5">
      <c r="A448" s="306" t="s">
        <v>625</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5">
      <c r="A449" s="306" t="s">
        <v>609</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5">
      <c r="A450" s="306" t="s">
        <v>618</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5">
      <c r="A451" s="306" t="s">
        <v>619</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5">
      <c r="A452" s="306" t="s">
        <v>626</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5">
      <c r="A453" s="306" t="s">
        <v>610</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5">
      <c r="A454" s="306" t="s">
        <v>611</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5">
      <c r="A455" s="306" t="s">
        <v>510</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5">
      <c r="A456" s="306" t="s">
        <v>614</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5">
      <c r="A457" s="306" t="s">
        <v>627</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5">
      <c r="A458" s="306" t="s">
        <v>616</v>
      </c>
      <c r="B458" s="306"/>
      <c r="C458" s="306"/>
      <c r="D458" s="306" t="s">
        <v>1082</v>
      </c>
      <c r="E458" s="306" t="s">
        <v>1082</v>
      </c>
      <c r="F458" s="306" t="s">
        <v>1082</v>
      </c>
      <c r="G458" s="306" t="s">
        <v>1082</v>
      </c>
      <c r="H458" s="306" t="s">
        <v>1082</v>
      </c>
      <c r="I458" s="306" t="s">
        <v>1082</v>
      </c>
      <c r="J458" s="306" t="s">
        <v>1082</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5">
      <c r="A459" s="306" t="s">
        <v>479</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5">
      <c r="A460" s="306" t="s">
        <v>513</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5">
      <c r="A461" s="306" t="s">
        <v>628</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5">
      <c r="A462" s="306" t="s">
        <v>473</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5">
      <c r="A463" s="306" t="s">
        <v>480</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5">
      <c r="A464" s="306" t="s">
        <v>515</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5">
      <c r="A465" s="306" t="s">
        <v>487</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5">
      <c r="A466" s="306" t="s">
        <v>516</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5">
      <c r="A467" s="306" t="s">
        <v>629</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5">
      <c r="A468" s="306" t="s">
        <v>518</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5">
      <c r="A469" s="293" t="s">
        <v>1081</v>
      </c>
      <c r="B469" s="253" t="s">
        <v>593</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 thickBot="1" x14ac:dyDescent="0.3">
      <c r="A470" s="282" t="s">
        <v>311</v>
      </c>
      <c r="B470" s="253" t="s">
        <v>593</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 thickBot="1" x14ac:dyDescent="0.3">
      <c r="A471" s="306" t="s">
        <v>976</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 thickBot="1" x14ac:dyDescent="0.3">
      <c r="A472" s="306" t="s">
        <v>630</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5">
      <c r="A473" s="306" t="s">
        <v>631</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5">
      <c r="A474" s="306" t="s">
        <v>632</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5">
      <c r="A475" s="306" t="s">
        <v>648</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5">
      <c r="A476" s="306" t="s">
        <v>542</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5">
      <c r="A477" s="306" t="s">
        <v>649</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5">
      <c r="A478" s="306" t="s">
        <v>650</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 thickBot="1" x14ac:dyDescent="0.3">
      <c r="A479" s="306" t="s">
        <v>651</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 thickBot="1" x14ac:dyDescent="0.3">
      <c r="A480" s="306" t="s">
        <v>652</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5">
      <c r="A481" s="306" t="s">
        <v>653</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 thickBot="1" x14ac:dyDescent="0.3">
      <c r="A482" s="306" t="s">
        <v>654</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 thickBot="1" x14ac:dyDescent="0.3">
      <c r="A483" s="306" t="s">
        <v>545</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5">
      <c r="A484" s="306" t="s">
        <v>655</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5">
      <c r="A485" s="306" t="s">
        <v>656</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5">
      <c r="A486" s="306" t="s">
        <v>657</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 thickBot="1" x14ac:dyDescent="0.3">
      <c r="A487" s="306" t="s">
        <v>658</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 thickBot="1" x14ac:dyDescent="0.3">
      <c r="A488" s="306" t="s">
        <v>659</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 thickBot="1" x14ac:dyDescent="0.3">
      <c r="A489" s="306" t="s">
        <v>660</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 thickBot="1" x14ac:dyDescent="0.3">
      <c r="A490" s="306" t="s">
        <v>661</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5">
      <c r="A491" s="306" t="s">
        <v>663</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5">
      <c r="A492" s="306" t="s">
        <v>926</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 thickBot="1" x14ac:dyDescent="0.3">
      <c r="A493" s="306" t="s">
        <v>927</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 thickBot="1" x14ac:dyDescent="0.3">
      <c r="A494" s="306" t="s">
        <v>949</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5">
      <c r="A495" s="306" t="s">
        <v>950</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5">
      <c r="A496" s="306" t="s">
        <v>975</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 thickBot="1" x14ac:dyDescent="0.3"/>
    <row r="500" spans="1:70" ht="13" x14ac:dyDescent="0.3">
      <c r="A500" s="246" t="s">
        <v>442</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5">
      <c r="A501" s="249" t="s">
        <v>443</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5">
      <c r="A502" s="249" t="s">
        <v>859</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5">
      <c r="A503" s="249" t="s">
        <v>860</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5">
      <c r="A504" s="249" t="s">
        <v>444</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 thickBot="1" x14ac:dyDescent="0.3">
      <c r="A505" s="249" t="s">
        <v>445</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 thickBot="1" x14ac:dyDescent="0.3">
      <c r="A506" s="251" t="s">
        <v>446</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 thickBot="1" x14ac:dyDescent="0.3">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5">
      <c r="A508" s="252" t="s">
        <v>447</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5">
      <c r="A509" s="252" t="s">
        <v>448</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5">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5">
      <c r="A511" s="249" t="s">
        <v>440</v>
      </c>
      <c r="B511" s="250" t="s">
        <v>449</v>
      </c>
      <c r="C511" s="250" t="s">
        <v>450</v>
      </c>
      <c r="D511" s="250" t="s">
        <v>451</v>
      </c>
      <c r="E511" s="250" t="s">
        <v>452</v>
      </c>
      <c r="F511" s="250" t="s">
        <v>453</v>
      </c>
      <c r="G511" s="250" t="s">
        <v>454</v>
      </c>
      <c r="H511" s="250" t="s">
        <v>455</v>
      </c>
      <c r="I511" s="250" t="s">
        <v>456</v>
      </c>
      <c r="J511" s="250" t="s">
        <v>457</v>
      </c>
      <c r="K511" s="250" t="s">
        <v>458</v>
      </c>
      <c r="L511" s="250" t="s">
        <v>459</v>
      </c>
      <c r="M511" s="250" t="s">
        <v>460</v>
      </c>
      <c r="N511" s="250" t="s">
        <v>461</v>
      </c>
      <c r="O511" s="250" t="s">
        <v>462</v>
      </c>
      <c r="P511" s="250" t="s">
        <v>463</v>
      </c>
      <c r="Q511" s="250" t="s">
        <v>464</v>
      </c>
      <c r="R511" s="250" t="s">
        <v>465</v>
      </c>
      <c r="S511" s="250" t="s">
        <v>466</v>
      </c>
      <c r="T511" s="250" t="s">
        <v>467</v>
      </c>
      <c r="U511" s="250" t="s">
        <v>468</v>
      </c>
      <c r="V511" s="250" t="s">
        <v>469</v>
      </c>
      <c r="W511" s="250" t="s">
        <v>470</v>
      </c>
      <c r="X511" s="250" t="s">
        <v>471</v>
      </c>
      <c r="Y511" s="250" t="s">
        <v>472</v>
      </c>
      <c r="Z511">
        <v>2026</v>
      </c>
    </row>
    <row r="512" spans="1:70" x14ac:dyDescent="0.25">
      <c r="A512" s="249" t="s">
        <v>440</v>
      </c>
      <c r="B512" s="250" t="s">
        <v>440</v>
      </c>
      <c r="C512" s="250" t="s">
        <v>440</v>
      </c>
      <c r="D512" s="250" t="s">
        <v>440</v>
      </c>
      <c r="E512" s="250" t="s">
        <v>440</v>
      </c>
      <c r="F512" s="250" t="s">
        <v>440</v>
      </c>
      <c r="G512" s="250" t="s">
        <v>440</v>
      </c>
      <c r="H512" s="250" t="s">
        <v>440</v>
      </c>
      <c r="I512" s="250" t="s">
        <v>440</v>
      </c>
      <c r="J512" s="250" t="s">
        <v>440</v>
      </c>
      <c r="K512" s="250" t="s">
        <v>440</v>
      </c>
      <c r="L512" s="250" t="s">
        <v>440</v>
      </c>
      <c r="M512" s="250" t="s">
        <v>440</v>
      </c>
      <c r="N512" s="250" t="s">
        <v>440</v>
      </c>
      <c r="O512" s="250" t="s">
        <v>440</v>
      </c>
      <c r="P512" s="250" t="s">
        <v>440</v>
      </c>
      <c r="Q512" s="250" t="s">
        <v>440</v>
      </c>
      <c r="R512" s="250" t="s">
        <v>440</v>
      </c>
      <c r="S512" s="250" t="s">
        <v>440</v>
      </c>
      <c r="T512" s="250" t="s">
        <v>440</v>
      </c>
      <c r="U512" s="250" t="s">
        <v>440</v>
      </c>
      <c r="V512" s="250" t="s">
        <v>440</v>
      </c>
      <c r="W512" s="250" t="s">
        <v>440</v>
      </c>
      <c r="X512" s="250" t="s">
        <v>440</v>
      </c>
      <c r="Y512" s="250" t="s">
        <v>440</v>
      </c>
    </row>
    <row r="513" spans="1:26" x14ac:dyDescent="0.25">
      <c r="A513" s="249" t="s">
        <v>440</v>
      </c>
      <c r="B513" s="250" t="s">
        <v>440</v>
      </c>
      <c r="C513" s="250" t="s">
        <v>440</v>
      </c>
      <c r="D513" s="250" t="s">
        <v>440</v>
      </c>
      <c r="E513" s="250" t="s">
        <v>440</v>
      </c>
      <c r="F513" s="250" t="s">
        <v>440</v>
      </c>
      <c r="G513" s="250" t="s">
        <v>440</v>
      </c>
      <c r="H513" s="250" t="s">
        <v>440</v>
      </c>
      <c r="I513" s="250" t="s">
        <v>440</v>
      </c>
      <c r="J513" s="250" t="s">
        <v>440</v>
      </c>
      <c r="K513" s="250" t="s">
        <v>440</v>
      </c>
      <c r="L513" s="250" t="s">
        <v>440</v>
      </c>
      <c r="M513" s="250" t="s">
        <v>440</v>
      </c>
      <c r="N513" s="250" t="s">
        <v>440</v>
      </c>
      <c r="O513" s="250" t="s">
        <v>440</v>
      </c>
      <c r="P513" s="250" t="s">
        <v>440</v>
      </c>
      <c r="Q513" s="250" t="s">
        <v>440</v>
      </c>
      <c r="R513" s="250" t="s">
        <v>440</v>
      </c>
      <c r="S513" s="250" t="s">
        <v>440</v>
      </c>
      <c r="T513" s="250" t="s">
        <v>440</v>
      </c>
      <c r="U513" s="250" t="s">
        <v>440</v>
      </c>
      <c r="V513" s="250" t="s">
        <v>440</v>
      </c>
      <c r="W513" s="250" t="s">
        <v>440</v>
      </c>
      <c r="X513" s="250" t="s">
        <v>440</v>
      </c>
      <c r="Y513" s="250" t="s">
        <v>440</v>
      </c>
    </row>
    <row r="514" spans="1:26" x14ac:dyDescent="0.25">
      <c r="A514" s="249" t="s">
        <v>473</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5">
      <c r="A515" s="249" t="s">
        <v>474</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5">
      <c r="A516" s="249" t="s">
        <v>475</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5">
      <c r="A517" s="249" t="s">
        <v>476</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5">
      <c r="A518" s="249" t="s">
        <v>477</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5">
      <c r="A519" s="249" t="s">
        <v>478</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5">
      <c r="A520" s="249" t="s">
        <v>479</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5">
      <c r="A521" s="249" t="s">
        <v>440</v>
      </c>
      <c r="B521" s="253" t="s">
        <v>440</v>
      </c>
      <c r="C521" s="253" t="s">
        <v>440</v>
      </c>
      <c r="D521" s="253" t="s">
        <v>440</v>
      </c>
      <c r="E521" s="253" t="s">
        <v>440</v>
      </c>
      <c r="F521" s="253" t="s">
        <v>440</v>
      </c>
      <c r="G521" s="253" t="s">
        <v>440</v>
      </c>
      <c r="H521" s="253" t="s">
        <v>440</v>
      </c>
      <c r="I521" s="253" t="s">
        <v>440</v>
      </c>
      <c r="J521" s="253" t="s">
        <v>440</v>
      </c>
      <c r="K521" s="253" t="s">
        <v>440</v>
      </c>
      <c r="L521" s="253" t="s">
        <v>440</v>
      </c>
      <c r="M521" s="253" t="s">
        <v>440</v>
      </c>
      <c r="N521" s="253" t="s">
        <v>440</v>
      </c>
      <c r="O521" s="253" t="s">
        <v>440</v>
      </c>
      <c r="P521" s="253" t="s">
        <v>440</v>
      </c>
      <c r="Q521" s="253" t="s">
        <v>440</v>
      </c>
      <c r="R521" s="253" t="s">
        <v>440</v>
      </c>
      <c r="S521" s="253" t="s">
        <v>440</v>
      </c>
      <c r="T521" s="253" t="s">
        <v>440</v>
      </c>
      <c r="U521" s="253" t="s">
        <v>440</v>
      </c>
      <c r="V521" s="253" t="s">
        <v>440</v>
      </c>
      <c r="W521" s="253" t="s">
        <v>440</v>
      </c>
      <c r="X521" s="253" t="s">
        <v>440</v>
      </c>
      <c r="Y521" s="253" t="s">
        <v>440</v>
      </c>
    </row>
    <row r="522" spans="1:26" x14ac:dyDescent="0.25">
      <c r="A522" s="249" t="s">
        <v>480</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5">
      <c r="A523" s="249" t="s">
        <v>474</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5">
      <c r="A524" s="249" t="s">
        <v>475</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5">
      <c r="A525" s="249" t="s">
        <v>476</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5">
      <c r="A526" s="249" t="s">
        <v>481</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5">
      <c r="A527" s="274" t="s">
        <v>478</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5">
      <c r="A528" s="276" t="s">
        <v>479</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5">
      <c r="A529" s="249" t="s">
        <v>440</v>
      </c>
      <c r="B529" s="253" t="s">
        <v>440</v>
      </c>
      <c r="C529" s="253" t="s">
        <v>440</v>
      </c>
      <c r="D529" s="253" t="s">
        <v>440</v>
      </c>
      <c r="E529" s="253" t="s">
        <v>440</v>
      </c>
      <c r="F529" s="253" t="s">
        <v>440</v>
      </c>
      <c r="G529" s="253" t="s">
        <v>440</v>
      </c>
      <c r="H529" s="253" t="s">
        <v>440</v>
      </c>
      <c r="I529" s="253" t="s">
        <v>440</v>
      </c>
      <c r="J529" s="253" t="s">
        <v>440</v>
      </c>
      <c r="K529" s="253" t="s">
        <v>440</v>
      </c>
      <c r="L529" s="253" t="s">
        <v>440</v>
      </c>
      <c r="M529" s="253" t="s">
        <v>440</v>
      </c>
      <c r="N529" s="253" t="s">
        <v>440</v>
      </c>
      <c r="O529" s="253" t="s">
        <v>440</v>
      </c>
      <c r="P529" s="253" t="s">
        <v>440</v>
      </c>
      <c r="Q529" s="253" t="s">
        <v>440</v>
      </c>
      <c r="R529" s="253" t="s">
        <v>440</v>
      </c>
      <c r="S529" s="253" t="s">
        <v>440</v>
      </c>
      <c r="T529" s="253" t="s">
        <v>440</v>
      </c>
      <c r="U529" s="253" t="s">
        <v>440</v>
      </c>
      <c r="V529" s="253" t="s">
        <v>440</v>
      </c>
      <c r="W529" s="253" t="s">
        <v>440</v>
      </c>
      <c r="X529" s="253" t="s">
        <v>440</v>
      </c>
      <c r="Y529" s="253" t="s">
        <v>440</v>
      </c>
    </row>
    <row r="530" spans="1:71" ht="13" thickBot="1" x14ac:dyDescent="0.3">
      <c r="A530" s="249" t="s">
        <v>482</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 thickBot="1" x14ac:dyDescent="0.3">
      <c r="A531" s="249" t="s">
        <v>483</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5">
      <c r="A532" s="249" t="s">
        <v>475</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5">
      <c r="A533" s="249" t="s">
        <v>476</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5">
      <c r="A534" s="249" t="s">
        <v>477</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5">
      <c r="A535" s="249" t="s">
        <v>481</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5">
      <c r="A536" s="274" t="s">
        <v>484</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5">
      <c r="A537" s="249" t="s">
        <v>485</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5">
      <c r="A538" s="249" t="s">
        <v>486</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5">
      <c r="A539" s="276" t="s">
        <v>479</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5">
      <c r="A540" s="249" t="s">
        <v>440</v>
      </c>
      <c r="B540" s="253" t="s">
        <v>440</v>
      </c>
      <c r="C540" s="253" t="s">
        <v>440</v>
      </c>
      <c r="D540" s="253" t="s">
        <v>440</v>
      </c>
      <c r="E540" s="253" t="s">
        <v>440</v>
      </c>
      <c r="F540" s="253" t="s">
        <v>440</v>
      </c>
      <c r="G540" s="253" t="s">
        <v>440</v>
      </c>
      <c r="H540" s="253" t="s">
        <v>440</v>
      </c>
      <c r="I540" s="253" t="s">
        <v>440</v>
      </c>
      <c r="J540" s="253" t="s">
        <v>440</v>
      </c>
      <c r="K540" s="253" t="s">
        <v>440</v>
      </c>
      <c r="L540" s="253" t="s">
        <v>440</v>
      </c>
      <c r="M540" s="253" t="s">
        <v>440</v>
      </c>
      <c r="N540" s="253" t="s">
        <v>440</v>
      </c>
      <c r="O540" s="253" t="s">
        <v>440</v>
      </c>
      <c r="P540" s="253" t="s">
        <v>440</v>
      </c>
      <c r="Q540" s="253" t="s">
        <v>440</v>
      </c>
      <c r="R540" s="253" t="s">
        <v>440</v>
      </c>
      <c r="S540" s="253" t="s">
        <v>440</v>
      </c>
      <c r="T540" s="253" t="s">
        <v>440</v>
      </c>
      <c r="U540" s="253" t="s">
        <v>440</v>
      </c>
      <c r="V540" s="253" t="s">
        <v>440</v>
      </c>
      <c r="W540" s="253" t="s">
        <v>440</v>
      </c>
      <c r="X540" s="253" t="s">
        <v>440</v>
      </c>
      <c r="Y540" s="253" t="s">
        <v>440</v>
      </c>
    </row>
    <row r="541" spans="1:71" x14ac:dyDescent="0.25">
      <c r="A541" s="249" t="s">
        <v>487</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5">
      <c r="A542" s="249" t="s">
        <v>483</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5">
      <c r="A543" s="249" t="s">
        <v>475</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5">
      <c r="A544" s="280" t="s">
        <v>488</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5">
      <c r="A545" s="249" t="s">
        <v>489</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5">
      <c r="A546" s="280" t="s">
        <v>490</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5">
      <c r="A547" s="249" t="s">
        <v>481</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5">
      <c r="A548" s="249" t="s">
        <v>491</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5">
      <c r="A549" s="249" t="s">
        <v>492</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5">
      <c r="A550" s="282" t="s">
        <v>497</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5">
      <c r="A551" s="249" t="s">
        <v>479</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5">
      <c r="A552" s="249" t="s">
        <v>440</v>
      </c>
      <c r="B552" s="253" t="s">
        <v>440</v>
      </c>
      <c r="C552" s="253" t="s">
        <v>440</v>
      </c>
      <c r="D552" s="253" t="s">
        <v>440</v>
      </c>
      <c r="E552" s="253" t="s">
        <v>440</v>
      </c>
      <c r="F552" s="253" t="s">
        <v>440</v>
      </c>
      <c r="G552" s="253" t="s">
        <v>440</v>
      </c>
      <c r="H552" s="253" t="s">
        <v>440</v>
      </c>
      <c r="I552" s="253" t="s">
        <v>440</v>
      </c>
      <c r="J552" s="253" t="s">
        <v>440</v>
      </c>
      <c r="K552" s="253" t="s">
        <v>440</v>
      </c>
      <c r="L552" s="253" t="s">
        <v>440</v>
      </c>
      <c r="M552" s="253" t="s">
        <v>440</v>
      </c>
      <c r="N552" s="253" t="s">
        <v>440</v>
      </c>
      <c r="O552" s="253" t="s">
        <v>440</v>
      </c>
      <c r="P552" s="253" t="s">
        <v>440</v>
      </c>
      <c r="Q552" s="253" t="s">
        <v>440</v>
      </c>
      <c r="R552" s="253" t="s">
        <v>440</v>
      </c>
      <c r="S552" s="253" t="s">
        <v>440</v>
      </c>
      <c r="T552" s="253" t="s">
        <v>440</v>
      </c>
      <c r="U552" s="253" t="s">
        <v>440</v>
      </c>
      <c r="V552" s="253" t="s">
        <v>440</v>
      </c>
      <c r="W552" s="253" t="s">
        <v>440</v>
      </c>
      <c r="X552" s="253" t="s">
        <v>440</v>
      </c>
      <c r="Y552" s="253" t="s">
        <v>440</v>
      </c>
    </row>
    <row r="553" spans="1:26" x14ac:dyDescent="0.25">
      <c r="A553" s="249" t="s">
        <v>498</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5">
      <c r="A554" s="249" t="s">
        <v>483</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5">
      <c r="A555" s="249" t="s">
        <v>479</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5">
      <c r="A556" s="249" t="s">
        <v>440</v>
      </c>
      <c r="B556" s="253" t="s">
        <v>440</v>
      </c>
      <c r="C556" s="253" t="s">
        <v>440</v>
      </c>
      <c r="D556" s="253" t="s">
        <v>440</v>
      </c>
      <c r="E556" s="253" t="s">
        <v>440</v>
      </c>
      <c r="F556" s="253" t="s">
        <v>440</v>
      </c>
      <c r="G556" s="253" t="s">
        <v>440</v>
      </c>
      <c r="H556" s="253" t="s">
        <v>440</v>
      </c>
      <c r="I556" s="253" t="s">
        <v>440</v>
      </c>
      <c r="J556" s="253" t="s">
        <v>440</v>
      </c>
      <c r="K556" s="253" t="s">
        <v>440</v>
      </c>
      <c r="L556" s="253" t="s">
        <v>440</v>
      </c>
      <c r="M556" s="253" t="s">
        <v>440</v>
      </c>
      <c r="N556" s="253" t="s">
        <v>440</v>
      </c>
      <c r="O556" s="253" t="s">
        <v>440</v>
      </c>
      <c r="P556" s="253" t="s">
        <v>440</v>
      </c>
      <c r="Q556" s="253" t="s">
        <v>440</v>
      </c>
      <c r="R556" s="253" t="s">
        <v>440</v>
      </c>
      <c r="S556" s="253" t="s">
        <v>440</v>
      </c>
      <c r="T556" s="253" t="s">
        <v>440</v>
      </c>
      <c r="U556" s="253" t="s">
        <v>440</v>
      </c>
      <c r="V556" s="253" t="s">
        <v>440</v>
      </c>
      <c r="W556" s="253" t="s">
        <v>440</v>
      </c>
      <c r="X556" s="253" t="s">
        <v>440</v>
      </c>
      <c r="Y556" s="253" t="s">
        <v>440</v>
      </c>
    </row>
    <row r="557" spans="1:26" x14ac:dyDescent="0.25">
      <c r="A557" s="249" t="s">
        <v>499</v>
      </c>
      <c r="B557" s="253" t="s">
        <v>440</v>
      </c>
      <c r="C557" s="253" t="s">
        <v>440</v>
      </c>
      <c r="D557" s="253" t="s">
        <v>440</v>
      </c>
      <c r="E557" s="253" t="s">
        <v>440</v>
      </c>
      <c r="F557" s="253" t="s">
        <v>440</v>
      </c>
      <c r="G557" s="253" t="s">
        <v>440</v>
      </c>
      <c r="H557" s="253" t="s">
        <v>440</v>
      </c>
      <c r="I557" s="253" t="s">
        <v>440</v>
      </c>
      <c r="J557" s="253" t="s">
        <v>440</v>
      </c>
      <c r="K557" s="253" t="s">
        <v>440</v>
      </c>
      <c r="L557" s="253" t="s">
        <v>440</v>
      </c>
      <c r="M557" s="253" t="s">
        <v>440</v>
      </c>
      <c r="N557" s="253" t="s">
        <v>440</v>
      </c>
      <c r="O557" s="253" t="s">
        <v>440</v>
      </c>
      <c r="P557" s="253" t="s">
        <v>440</v>
      </c>
      <c r="Q557" s="253" t="s">
        <v>440</v>
      </c>
      <c r="R557" s="253" t="s">
        <v>440</v>
      </c>
      <c r="S557" s="253" t="s">
        <v>440</v>
      </c>
      <c r="T557" s="253" t="s">
        <v>440</v>
      </c>
      <c r="U557" s="253" t="s">
        <v>440</v>
      </c>
      <c r="V557" s="253" t="s">
        <v>440</v>
      </c>
      <c r="W557" s="253" t="s">
        <v>440</v>
      </c>
      <c r="X557" s="253" t="s">
        <v>440</v>
      </c>
      <c r="Y557" s="253" t="s">
        <v>440</v>
      </c>
    </row>
    <row r="558" spans="1:26" x14ac:dyDescent="0.25">
      <c r="A558" s="249" t="s">
        <v>500</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5">
      <c r="A559" s="249" t="s">
        <v>502</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5">
      <c r="A560" s="249" t="s">
        <v>476</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5">
      <c r="A561" s="249" t="s">
        <v>481</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5">
      <c r="A562" s="274" t="s">
        <v>478</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5">
      <c r="A563" s="278" t="s">
        <v>486</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5">
      <c r="A564" s="249" t="s">
        <v>440</v>
      </c>
      <c r="B564" s="253" t="s">
        <v>440</v>
      </c>
      <c r="C564" s="253" t="s">
        <v>440</v>
      </c>
      <c r="D564" s="253" t="s">
        <v>440</v>
      </c>
      <c r="E564" s="253" t="s">
        <v>440</v>
      </c>
      <c r="F564" s="253" t="s">
        <v>440</v>
      </c>
      <c r="G564" s="253" t="s">
        <v>440</v>
      </c>
      <c r="H564" s="253" t="s">
        <v>440</v>
      </c>
      <c r="I564" s="253" t="s">
        <v>440</v>
      </c>
      <c r="J564" s="253" t="s">
        <v>440</v>
      </c>
      <c r="K564" s="253" t="s">
        <v>440</v>
      </c>
      <c r="L564" s="253" t="s">
        <v>440</v>
      </c>
      <c r="M564" s="253" t="s">
        <v>440</v>
      </c>
      <c r="N564" s="253" t="s">
        <v>440</v>
      </c>
      <c r="O564" s="253" t="s">
        <v>440</v>
      </c>
      <c r="P564" s="253" t="s">
        <v>440</v>
      </c>
      <c r="Q564" s="253" t="s">
        <v>440</v>
      </c>
      <c r="R564" s="253" t="s">
        <v>440</v>
      </c>
      <c r="S564" s="253" t="s">
        <v>440</v>
      </c>
      <c r="T564" s="253" t="s">
        <v>440</v>
      </c>
      <c r="U564" s="253" t="s">
        <v>440</v>
      </c>
      <c r="V564" s="253" t="s">
        <v>440</v>
      </c>
      <c r="W564" s="253" t="s">
        <v>440</v>
      </c>
      <c r="X564" s="253" t="s">
        <v>440</v>
      </c>
      <c r="Y564" s="253" t="s">
        <v>440</v>
      </c>
    </row>
    <row r="565" spans="1:26" x14ac:dyDescent="0.25">
      <c r="A565" s="249" t="s">
        <v>503</v>
      </c>
      <c r="B565" s="253" t="s">
        <v>440</v>
      </c>
      <c r="C565" s="253" t="s">
        <v>440</v>
      </c>
      <c r="D565" s="253" t="s">
        <v>440</v>
      </c>
      <c r="E565" s="253" t="s">
        <v>440</v>
      </c>
      <c r="F565" s="253" t="s">
        <v>440</v>
      </c>
      <c r="G565" s="253" t="s">
        <v>440</v>
      </c>
      <c r="H565" s="253" t="s">
        <v>440</v>
      </c>
      <c r="I565" s="253" t="s">
        <v>440</v>
      </c>
      <c r="J565" s="253" t="s">
        <v>440</v>
      </c>
      <c r="K565" s="253" t="s">
        <v>440</v>
      </c>
      <c r="L565" s="253" t="s">
        <v>440</v>
      </c>
      <c r="M565" s="253" t="s">
        <v>440</v>
      </c>
      <c r="N565" s="253" t="s">
        <v>440</v>
      </c>
      <c r="O565" s="253" t="s">
        <v>440</v>
      </c>
      <c r="P565" s="253" t="s">
        <v>440</v>
      </c>
      <c r="Q565" s="253" t="s">
        <v>440</v>
      </c>
      <c r="R565" s="253" t="s">
        <v>440</v>
      </c>
      <c r="S565" s="253" t="s">
        <v>440</v>
      </c>
      <c r="T565" s="253" t="s">
        <v>440</v>
      </c>
      <c r="U565" s="253" t="s">
        <v>440</v>
      </c>
      <c r="V565" s="253" t="s">
        <v>440</v>
      </c>
      <c r="W565" s="253" t="s">
        <v>440</v>
      </c>
      <c r="X565" s="253" t="s">
        <v>440</v>
      </c>
      <c r="Y565" s="253" t="s">
        <v>440</v>
      </c>
    </row>
    <row r="566" spans="1:26" x14ac:dyDescent="0.25">
      <c r="A566" s="249" t="s">
        <v>504</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5">
      <c r="A567" s="249" t="s">
        <v>505</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5">
      <c r="A568" s="249" t="s">
        <v>506</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5">
      <c r="A569" s="249" t="s">
        <v>507</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5">
      <c r="A570" s="249" t="s">
        <v>508</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5">
      <c r="A571" s="249" t="s">
        <v>509</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5">
      <c r="A572" s="249" t="s">
        <v>510</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5">
      <c r="A573" s="249" t="s">
        <v>511</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5">
      <c r="A574" s="249" t="s">
        <v>512</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5">
      <c r="A575" s="249" t="s">
        <v>479</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5">
      <c r="A576" s="249" t="s">
        <v>440</v>
      </c>
      <c r="B576" s="253" t="s">
        <v>440</v>
      </c>
      <c r="C576" s="253" t="s">
        <v>440</v>
      </c>
      <c r="D576" s="253" t="s">
        <v>440</v>
      </c>
      <c r="E576" s="253" t="s">
        <v>440</v>
      </c>
      <c r="F576" s="253" t="s">
        <v>440</v>
      </c>
      <c r="G576" s="253" t="s">
        <v>440</v>
      </c>
      <c r="H576" s="253" t="s">
        <v>440</v>
      </c>
      <c r="I576" s="253" t="s">
        <v>440</v>
      </c>
      <c r="J576" s="253" t="s">
        <v>440</v>
      </c>
      <c r="K576" s="253" t="s">
        <v>440</v>
      </c>
      <c r="L576" s="253" t="s">
        <v>440</v>
      </c>
      <c r="M576" s="253" t="s">
        <v>440</v>
      </c>
      <c r="N576" s="253" t="s">
        <v>440</v>
      </c>
      <c r="O576" s="253" t="s">
        <v>440</v>
      </c>
      <c r="P576" s="253" t="s">
        <v>440</v>
      </c>
      <c r="Q576" s="253" t="s">
        <v>440</v>
      </c>
      <c r="R576" s="253" t="s">
        <v>440</v>
      </c>
      <c r="S576" s="253" t="s">
        <v>440</v>
      </c>
      <c r="T576" s="253" t="s">
        <v>440</v>
      </c>
      <c r="U576" s="253" t="s">
        <v>440</v>
      </c>
      <c r="V576" s="253" t="s">
        <v>440</v>
      </c>
      <c r="W576" s="253" t="s">
        <v>440</v>
      </c>
      <c r="X576" s="253" t="s">
        <v>440</v>
      </c>
      <c r="Y576" s="253" t="s">
        <v>440</v>
      </c>
    </row>
    <row r="577" spans="1:25" x14ac:dyDescent="0.25">
      <c r="A577" s="249" t="s">
        <v>513</v>
      </c>
      <c r="B577" s="253" t="s">
        <v>440</v>
      </c>
      <c r="C577" s="253" t="s">
        <v>440</v>
      </c>
      <c r="D577" s="253" t="s">
        <v>440</v>
      </c>
      <c r="E577" s="253" t="s">
        <v>440</v>
      </c>
      <c r="F577" s="253" t="s">
        <v>440</v>
      </c>
      <c r="G577" s="253" t="s">
        <v>440</v>
      </c>
      <c r="H577" s="253" t="s">
        <v>440</v>
      </c>
      <c r="I577" s="253" t="s">
        <v>440</v>
      </c>
      <c r="J577" s="253" t="s">
        <v>440</v>
      </c>
      <c r="K577" s="253" t="s">
        <v>440</v>
      </c>
      <c r="L577" s="253" t="s">
        <v>440</v>
      </c>
      <c r="M577" s="253" t="s">
        <v>440</v>
      </c>
      <c r="N577" s="253" t="s">
        <v>440</v>
      </c>
      <c r="O577" s="253" t="s">
        <v>440</v>
      </c>
      <c r="P577" s="253" t="s">
        <v>440</v>
      </c>
      <c r="Q577" s="253" t="s">
        <v>440</v>
      </c>
      <c r="R577" s="253" t="s">
        <v>440</v>
      </c>
      <c r="S577" s="253" t="s">
        <v>440</v>
      </c>
      <c r="T577" s="253" t="s">
        <v>440</v>
      </c>
      <c r="U577" s="253" t="s">
        <v>440</v>
      </c>
      <c r="V577" s="253" t="s">
        <v>440</v>
      </c>
      <c r="W577" s="253" t="s">
        <v>440</v>
      </c>
      <c r="X577" s="253" t="s">
        <v>440</v>
      </c>
      <c r="Y577" s="253" t="s">
        <v>440</v>
      </c>
    </row>
    <row r="578" spans="1:25" x14ac:dyDescent="0.25">
      <c r="A578" s="249" t="s">
        <v>514</v>
      </c>
      <c r="B578" s="253" t="s">
        <v>440</v>
      </c>
      <c r="C578" s="253" t="s">
        <v>440</v>
      </c>
      <c r="D578" s="253" t="s">
        <v>440</v>
      </c>
      <c r="E578" s="253" t="s">
        <v>440</v>
      </c>
      <c r="F578" s="253" t="s">
        <v>440</v>
      </c>
      <c r="G578" s="253" t="s">
        <v>440</v>
      </c>
      <c r="H578" s="253" t="s">
        <v>440</v>
      </c>
      <c r="I578" s="253" t="s">
        <v>440</v>
      </c>
      <c r="J578" s="253" t="s">
        <v>440</v>
      </c>
      <c r="K578" s="253" t="s">
        <v>440</v>
      </c>
      <c r="L578" s="253" t="s">
        <v>440</v>
      </c>
      <c r="M578" s="253" t="s">
        <v>440</v>
      </c>
      <c r="N578" s="253" t="s">
        <v>440</v>
      </c>
      <c r="O578" s="253" t="s">
        <v>440</v>
      </c>
      <c r="P578" s="253" t="s">
        <v>440</v>
      </c>
      <c r="Q578" s="253" t="s">
        <v>440</v>
      </c>
      <c r="R578" s="253" t="s">
        <v>440</v>
      </c>
      <c r="S578" s="253" t="s">
        <v>440</v>
      </c>
      <c r="T578" s="253" t="s">
        <v>440</v>
      </c>
      <c r="U578" s="253" t="s">
        <v>440</v>
      </c>
      <c r="V578" s="253" t="s">
        <v>440</v>
      </c>
      <c r="W578" s="253" t="s">
        <v>440</v>
      </c>
      <c r="X578" s="253" t="s">
        <v>440</v>
      </c>
      <c r="Y578" s="253" t="s">
        <v>440</v>
      </c>
    </row>
    <row r="579" spans="1:25" x14ac:dyDescent="0.25">
      <c r="A579" s="249" t="s">
        <v>473</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5">
      <c r="A580" s="249" t="s">
        <v>480</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5">
      <c r="A581" s="249" t="s">
        <v>515</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5">
      <c r="A582" s="249" t="s">
        <v>487</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5">
      <c r="A583" s="249" t="s">
        <v>516</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5">
      <c r="A584" s="249" t="s">
        <v>517</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5">
      <c r="A585" s="249" t="s">
        <v>518</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5">
      <c r="A586" s="293" t="s">
        <v>1081</v>
      </c>
      <c r="B586" s="253" t="s">
        <v>593</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5">
      <c r="A587" s="282" t="s">
        <v>311</v>
      </c>
      <c r="B587" s="253" t="s">
        <v>593</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5">
      <c r="A588" s="249" t="s">
        <v>440</v>
      </c>
      <c r="B588" s="253" t="s">
        <v>440</v>
      </c>
      <c r="C588" s="253" t="s">
        <v>440</v>
      </c>
      <c r="D588" s="253" t="s">
        <v>440</v>
      </c>
      <c r="E588" s="253" t="s">
        <v>440</v>
      </c>
      <c r="F588" s="253" t="s">
        <v>440</v>
      </c>
      <c r="G588" s="253" t="s">
        <v>440</v>
      </c>
      <c r="H588" s="253" t="s">
        <v>440</v>
      </c>
      <c r="I588" s="253" t="s">
        <v>440</v>
      </c>
      <c r="J588" s="253" t="s">
        <v>440</v>
      </c>
      <c r="K588" s="253" t="s">
        <v>440</v>
      </c>
      <c r="L588" s="253" t="s">
        <v>440</v>
      </c>
      <c r="M588" s="253" t="s">
        <v>440</v>
      </c>
      <c r="N588" s="253" t="s">
        <v>440</v>
      </c>
      <c r="O588" s="253" t="s">
        <v>440</v>
      </c>
      <c r="P588" s="253" t="s">
        <v>440</v>
      </c>
      <c r="Q588" s="253" t="s">
        <v>440</v>
      </c>
      <c r="R588" s="253" t="s">
        <v>440</v>
      </c>
      <c r="S588" s="253" t="s">
        <v>440</v>
      </c>
      <c r="T588" s="253" t="s">
        <v>440</v>
      </c>
      <c r="U588" s="253" t="s">
        <v>440</v>
      </c>
      <c r="V588" s="253" t="s">
        <v>440</v>
      </c>
      <c r="W588" s="253" t="s">
        <v>440</v>
      </c>
      <c r="X588" s="253" t="s">
        <v>440</v>
      </c>
      <c r="Y588" s="253" t="s">
        <v>440</v>
      </c>
    </row>
    <row r="589" spans="1:25" x14ac:dyDescent="0.25">
      <c r="A589" s="249" t="s">
        <v>519</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5">
      <c r="A590" s="249" t="s">
        <v>520</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5">
      <c r="A591" s="249" t="s">
        <v>521</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5">
      <c r="A592" s="249" t="s">
        <v>522</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5">
      <c r="A593" s="249" t="s">
        <v>523</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5">
      <c r="A594" s="249" t="s">
        <v>524</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5">
      <c r="A595" s="249" t="s">
        <v>525</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5">
      <c r="A596" s="249" t="s">
        <v>526</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5">
      <c r="A597" s="249" t="s">
        <v>527</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5">
      <c r="A598" s="249" t="s">
        <v>532</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5">
      <c r="A599" s="249" t="s">
        <v>542</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5">
      <c r="A600" s="249" t="s">
        <v>543</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5">
      <c r="A601" s="249" t="s">
        <v>544</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5">
      <c r="A602" s="249" t="s">
        <v>545</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5">
      <c r="A603" s="249" t="s">
        <v>546</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5">
      <c r="A604" s="249" t="s">
        <v>547</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5">
      <c r="A605" s="249" t="s">
        <v>548</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5">
      <c r="A606" s="249" t="s">
        <v>552</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5">
      <c r="A607" s="249" t="s">
        <v>553</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5">
      <c r="A608" s="249" t="s">
        <v>554</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5">
      <c r="A609" s="249" t="s">
        <v>555</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5">
      <c r="A610" s="249" t="s">
        <v>556</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5">
      <c r="A611" s="249" t="s">
        <v>557</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5">
      <c r="A612" s="249" t="s">
        <v>558</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5">
      <c r="A613" s="249" t="s">
        <v>559</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 thickBot="1" x14ac:dyDescent="0.3">
      <c r="A614" s="254" t="s">
        <v>560</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5">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5">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 thickBot="1" x14ac:dyDescent="0.3">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ht="13" x14ac:dyDescent="0.3">
      <c r="A618" s="256" t="s">
        <v>561</v>
      </c>
      <c r="B618" s="257"/>
      <c r="C618" s="257" t="s">
        <v>861</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ht="13" x14ac:dyDescent="0.3">
      <c r="A619" s="258" t="s">
        <v>562</v>
      </c>
      <c r="B619" s="250"/>
      <c r="C619" s="1656" t="s">
        <v>866</v>
      </c>
      <c r="D619" s="1656"/>
      <c r="E619" s="1656"/>
      <c r="F619" s="1656"/>
      <c r="G619" s="1656"/>
      <c r="H619" s="1656"/>
      <c r="I619" s="1656"/>
      <c r="J619" s="1656"/>
      <c r="K619" s="1656"/>
      <c r="L619" s="1656"/>
      <c r="M619" s="1656"/>
      <c r="N619" s="1656"/>
      <c r="O619" s="1656"/>
      <c r="P619" s="1656"/>
      <c r="Q619" s="1656"/>
      <c r="R619" s="1656"/>
      <c r="S619" s="1656"/>
      <c r="T619" s="1656"/>
      <c r="U619" s="1656"/>
      <c r="V619" s="1656"/>
      <c r="W619" s="1656"/>
      <c r="X619" s="1656"/>
      <c r="Y619" s="1656"/>
    </row>
    <row r="620" spans="1:26" x14ac:dyDescent="0.25">
      <c r="A620" s="249" t="s">
        <v>563</v>
      </c>
      <c r="B620" s="250"/>
      <c r="C620" s="1656" t="s">
        <v>867</v>
      </c>
      <c r="D620" s="1656"/>
      <c r="E620" s="1656"/>
      <c r="F620" s="1656"/>
      <c r="G620" s="1656"/>
      <c r="H620" s="1656"/>
      <c r="I620" s="1656"/>
      <c r="J620" s="1656"/>
      <c r="K620" s="1656"/>
      <c r="L620" s="1656"/>
      <c r="M620" s="1656"/>
      <c r="N620" s="1656"/>
      <c r="O620" s="1656"/>
      <c r="P620" s="1656"/>
      <c r="Q620" s="1656"/>
      <c r="R620" s="1656"/>
      <c r="S620" s="1656"/>
      <c r="T620" s="1656"/>
      <c r="U620" s="1656"/>
      <c r="V620" s="1656"/>
      <c r="W620" s="1656"/>
      <c r="X620" s="1656"/>
      <c r="Y620" s="1656"/>
    </row>
    <row r="621" spans="1:26" x14ac:dyDescent="0.25">
      <c r="A621" s="251" t="s">
        <v>446</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5">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5">
      <c r="A623" s="249" t="s">
        <v>447</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5">
      <c r="A624" s="249" t="s">
        <v>448</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5">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591</v>
      </c>
    </row>
    <row r="626" spans="1:26" x14ac:dyDescent="0.25">
      <c r="A626" s="249" t="s">
        <v>440</v>
      </c>
      <c r="B626" s="250" t="s">
        <v>449</v>
      </c>
      <c r="C626" s="250" t="s">
        <v>450</v>
      </c>
      <c r="D626" s="250" t="s">
        <v>451</v>
      </c>
      <c r="E626" s="250" t="s">
        <v>452</v>
      </c>
      <c r="F626" s="250" t="s">
        <v>453</v>
      </c>
      <c r="G626" s="250" t="s">
        <v>454</v>
      </c>
      <c r="H626" s="250" t="s">
        <v>455</v>
      </c>
      <c r="I626" s="250" t="s">
        <v>456</v>
      </c>
      <c r="J626" s="250" t="s">
        <v>457</v>
      </c>
      <c r="K626" s="250" t="s">
        <v>458</v>
      </c>
      <c r="L626" s="250" t="s">
        <v>459</v>
      </c>
      <c r="M626" s="250" t="s">
        <v>460</v>
      </c>
      <c r="N626" s="250" t="s">
        <v>461</v>
      </c>
      <c r="O626" s="250" t="s">
        <v>462</v>
      </c>
      <c r="P626" s="250" t="s">
        <v>463</v>
      </c>
      <c r="Q626" s="250" t="s">
        <v>464</v>
      </c>
      <c r="R626" s="250" t="s">
        <v>465</v>
      </c>
      <c r="S626" s="250" t="s">
        <v>466</v>
      </c>
      <c r="T626" s="250" t="s">
        <v>467</v>
      </c>
      <c r="U626" s="250" t="s">
        <v>468</v>
      </c>
      <c r="V626" s="250" t="s">
        <v>469</v>
      </c>
      <c r="W626" s="250" t="s">
        <v>470</v>
      </c>
      <c r="X626" s="250" t="s">
        <v>471</v>
      </c>
      <c r="Y626" s="250" t="s">
        <v>472</v>
      </c>
      <c r="Z626">
        <v>2026</v>
      </c>
    </row>
    <row r="627" spans="1:26" x14ac:dyDescent="0.25">
      <c r="A627" s="249" t="s">
        <v>440</v>
      </c>
      <c r="B627" s="250" t="s">
        <v>440</v>
      </c>
      <c r="C627" s="250" t="s">
        <v>440</v>
      </c>
      <c r="D627" s="250" t="s">
        <v>440</v>
      </c>
      <c r="E627" s="250" t="s">
        <v>440</v>
      </c>
      <c r="F627" s="250" t="s">
        <v>440</v>
      </c>
      <c r="G627" s="250" t="s">
        <v>440</v>
      </c>
      <c r="H627" s="250" t="s">
        <v>440</v>
      </c>
      <c r="I627" s="250" t="s">
        <v>440</v>
      </c>
      <c r="J627" s="250" t="s">
        <v>440</v>
      </c>
      <c r="K627" s="250" t="s">
        <v>440</v>
      </c>
      <c r="L627" s="250" t="s">
        <v>440</v>
      </c>
      <c r="M627" s="250" t="s">
        <v>440</v>
      </c>
      <c r="N627" s="250" t="s">
        <v>440</v>
      </c>
      <c r="O627" s="250" t="s">
        <v>440</v>
      </c>
      <c r="P627" s="250" t="s">
        <v>440</v>
      </c>
      <c r="Q627" s="250" t="s">
        <v>440</v>
      </c>
      <c r="R627" s="250" t="s">
        <v>440</v>
      </c>
      <c r="S627" s="250" t="s">
        <v>440</v>
      </c>
      <c r="T627" s="250" t="s">
        <v>440</v>
      </c>
      <c r="U627" s="250" t="s">
        <v>440</v>
      </c>
      <c r="V627" s="250" t="s">
        <v>440</v>
      </c>
      <c r="W627" s="250" t="s">
        <v>440</v>
      </c>
      <c r="X627" s="250" t="s">
        <v>440</v>
      </c>
      <c r="Y627" s="250" t="s">
        <v>440</v>
      </c>
    </row>
    <row r="628" spans="1:26" x14ac:dyDescent="0.25">
      <c r="A628" s="249" t="s">
        <v>473</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5">
      <c r="A629" s="249" t="s">
        <v>474</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5">
      <c r="A630" s="249" t="s">
        <v>475</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5">
      <c r="A631" s="249" t="s">
        <v>476</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5">
      <c r="A632" s="249" t="s">
        <v>477</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5">
      <c r="A633" s="249" t="s">
        <v>478</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5">
      <c r="A634" s="249" t="s">
        <v>479</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5">
      <c r="A635" s="249" t="s">
        <v>440</v>
      </c>
      <c r="B635" s="253" t="s">
        <v>440</v>
      </c>
      <c r="C635" s="253" t="s">
        <v>440</v>
      </c>
      <c r="D635" s="253" t="s">
        <v>440</v>
      </c>
      <c r="E635" s="253" t="s">
        <v>440</v>
      </c>
      <c r="F635" s="253" t="s">
        <v>440</v>
      </c>
      <c r="G635" s="253" t="s">
        <v>440</v>
      </c>
      <c r="H635" s="253" t="s">
        <v>440</v>
      </c>
      <c r="I635" s="253" t="s">
        <v>440</v>
      </c>
      <c r="J635" s="253" t="s">
        <v>440</v>
      </c>
      <c r="K635" s="253" t="s">
        <v>440</v>
      </c>
      <c r="L635" s="253" t="s">
        <v>440</v>
      </c>
      <c r="M635" s="253" t="s">
        <v>440</v>
      </c>
      <c r="N635" s="253" t="s">
        <v>440</v>
      </c>
      <c r="O635" s="253" t="s">
        <v>440</v>
      </c>
      <c r="P635" s="253" t="s">
        <v>440</v>
      </c>
      <c r="Q635" s="253" t="s">
        <v>440</v>
      </c>
      <c r="R635" s="253" t="s">
        <v>440</v>
      </c>
      <c r="S635" s="253" t="s">
        <v>440</v>
      </c>
      <c r="T635" s="253" t="s">
        <v>440</v>
      </c>
      <c r="U635" s="253" t="s">
        <v>440</v>
      </c>
      <c r="V635" s="253" t="s">
        <v>440</v>
      </c>
      <c r="W635" s="253" t="s">
        <v>440</v>
      </c>
      <c r="X635" s="253" t="s">
        <v>440</v>
      </c>
      <c r="Y635" s="253" t="s">
        <v>440</v>
      </c>
    </row>
    <row r="636" spans="1:26" x14ac:dyDescent="0.25">
      <c r="A636" s="249" t="s">
        <v>480</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5">
      <c r="A637" s="249" t="s">
        <v>474</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5">
      <c r="A638" s="249" t="s">
        <v>475</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5">
      <c r="A639" s="249" t="s">
        <v>476</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5">
      <c r="A640" s="249" t="s">
        <v>481</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5">
      <c r="A641" s="274" t="s">
        <v>478</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5">
      <c r="A642" s="276" t="s">
        <v>479</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5">
      <c r="A643" s="249" t="s">
        <v>440</v>
      </c>
      <c r="B643" s="253" t="s">
        <v>440</v>
      </c>
      <c r="C643" s="253" t="s">
        <v>440</v>
      </c>
      <c r="D643" s="253" t="s">
        <v>440</v>
      </c>
      <c r="E643" s="253" t="s">
        <v>440</v>
      </c>
      <c r="F643" s="253" t="s">
        <v>440</v>
      </c>
      <c r="G643" s="253" t="s">
        <v>440</v>
      </c>
      <c r="H643" s="253" t="s">
        <v>440</v>
      </c>
      <c r="I643" s="253" t="s">
        <v>440</v>
      </c>
      <c r="J643" s="253" t="s">
        <v>440</v>
      </c>
      <c r="K643" s="253" t="s">
        <v>440</v>
      </c>
      <c r="L643" s="253" t="s">
        <v>440</v>
      </c>
      <c r="M643" s="253" t="s">
        <v>440</v>
      </c>
      <c r="N643" s="253" t="s">
        <v>440</v>
      </c>
      <c r="O643" s="253" t="s">
        <v>440</v>
      </c>
      <c r="P643" s="253" t="s">
        <v>440</v>
      </c>
      <c r="Q643" s="253" t="s">
        <v>440</v>
      </c>
      <c r="R643" s="253" t="s">
        <v>440</v>
      </c>
      <c r="S643" s="253" t="s">
        <v>440</v>
      </c>
      <c r="T643" s="253" t="s">
        <v>440</v>
      </c>
      <c r="U643" s="253" t="s">
        <v>440</v>
      </c>
      <c r="V643" s="253" t="s">
        <v>440</v>
      </c>
      <c r="W643" s="253" t="s">
        <v>440</v>
      </c>
      <c r="X643" s="253" t="s">
        <v>440</v>
      </c>
      <c r="Y643" s="253" t="s">
        <v>440</v>
      </c>
    </row>
    <row r="644" spans="1:26" x14ac:dyDescent="0.25">
      <c r="A644" s="249" t="s">
        <v>482</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5">
      <c r="A645" s="249" t="s">
        <v>483</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5">
      <c r="A646" s="249" t="s">
        <v>475</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5">
      <c r="A647" s="249" t="s">
        <v>476</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5">
      <c r="A648" s="249" t="s">
        <v>477</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5">
      <c r="A649" s="249" t="s">
        <v>481</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5">
      <c r="A650" s="274" t="s">
        <v>484</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5">
      <c r="A651" s="249" t="s">
        <v>485</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5">
      <c r="A652" s="249" t="s">
        <v>486</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5">
      <c r="A653" s="276" t="s">
        <v>479</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5">
      <c r="A654" s="249" t="s">
        <v>440</v>
      </c>
      <c r="B654" s="253" t="s">
        <v>440</v>
      </c>
      <c r="C654" s="253" t="s">
        <v>440</v>
      </c>
      <c r="D654" s="253" t="s">
        <v>440</v>
      </c>
      <c r="E654" s="253" t="s">
        <v>440</v>
      </c>
      <c r="F654" s="253" t="s">
        <v>440</v>
      </c>
      <c r="G654" s="253" t="s">
        <v>440</v>
      </c>
      <c r="H654" s="253" t="s">
        <v>440</v>
      </c>
      <c r="I654" s="253" t="s">
        <v>440</v>
      </c>
      <c r="J654" s="253" t="s">
        <v>440</v>
      </c>
      <c r="K654" s="253" t="s">
        <v>440</v>
      </c>
      <c r="L654" s="253" t="s">
        <v>440</v>
      </c>
      <c r="M654" s="253" t="s">
        <v>440</v>
      </c>
      <c r="N654" s="253" t="s">
        <v>440</v>
      </c>
      <c r="O654" s="253" t="s">
        <v>440</v>
      </c>
      <c r="P654" s="253" t="s">
        <v>440</v>
      </c>
      <c r="Q654" s="253" t="s">
        <v>440</v>
      </c>
      <c r="R654" s="253" t="s">
        <v>440</v>
      </c>
      <c r="S654" s="253" t="s">
        <v>440</v>
      </c>
      <c r="T654" s="253" t="s">
        <v>440</v>
      </c>
      <c r="U654" s="253" t="s">
        <v>440</v>
      </c>
      <c r="V654" s="253" t="s">
        <v>440</v>
      </c>
      <c r="W654" s="253" t="s">
        <v>440</v>
      </c>
      <c r="X654" s="253" t="s">
        <v>440</v>
      </c>
      <c r="Y654" s="253" t="s">
        <v>440</v>
      </c>
    </row>
    <row r="655" spans="1:26" x14ac:dyDescent="0.25">
      <c r="A655" s="249" t="s">
        <v>487</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5">
      <c r="A656" s="249" t="s">
        <v>483</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5">
      <c r="A657" s="249" t="s">
        <v>475</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5">
      <c r="A658" s="280" t="s">
        <v>488</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5">
      <c r="A659" s="249" t="s">
        <v>489</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5">
      <c r="A660" s="280" t="s">
        <v>490</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5">
      <c r="A661" s="249" t="s">
        <v>481</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5">
      <c r="A662" s="249" t="s">
        <v>491</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5">
      <c r="A663" s="249" t="s">
        <v>492</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5">
      <c r="A664" s="282" t="s">
        <v>497</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5">
      <c r="A665" s="249" t="s">
        <v>479</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5">
      <c r="A666" s="249" t="s">
        <v>440</v>
      </c>
      <c r="B666" s="253" t="s">
        <v>440</v>
      </c>
      <c r="C666" s="253" t="s">
        <v>440</v>
      </c>
      <c r="D666" s="253" t="s">
        <v>440</v>
      </c>
      <c r="E666" s="253" t="s">
        <v>440</v>
      </c>
      <c r="F666" s="253" t="s">
        <v>440</v>
      </c>
      <c r="G666" s="253" t="s">
        <v>440</v>
      </c>
      <c r="H666" s="253" t="s">
        <v>440</v>
      </c>
      <c r="I666" s="253" t="s">
        <v>440</v>
      </c>
      <c r="J666" s="253" t="s">
        <v>440</v>
      </c>
      <c r="K666" s="253" t="s">
        <v>440</v>
      </c>
      <c r="L666" s="253" t="s">
        <v>440</v>
      </c>
      <c r="M666" s="253" t="s">
        <v>440</v>
      </c>
      <c r="N666" s="253" t="s">
        <v>440</v>
      </c>
      <c r="O666" s="253" t="s">
        <v>440</v>
      </c>
      <c r="P666" s="253" t="s">
        <v>440</v>
      </c>
      <c r="Q666" s="253" t="s">
        <v>440</v>
      </c>
      <c r="R666" s="253" t="s">
        <v>440</v>
      </c>
      <c r="S666" s="253" t="s">
        <v>440</v>
      </c>
      <c r="T666" s="253" t="s">
        <v>440</v>
      </c>
      <c r="U666" s="253" t="s">
        <v>440</v>
      </c>
      <c r="V666" s="253" t="s">
        <v>440</v>
      </c>
      <c r="W666" s="253" t="s">
        <v>440</v>
      </c>
      <c r="X666" s="253" t="s">
        <v>440</v>
      </c>
      <c r="Y666" s="253" t="s">
        <v>440</v>
      </c>
    </row>
    <row r="667" spans="1:26" x14ac:dyDescent="0.25">
      <c r="A667" s="249" t="s">
        <v>498</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5">
      <c r="A668" s="249" t="s">
        <v>483</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5">
      <c r="A669" s="249" t="s">
        <v>479</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5">
      <c r="A670" s="249" t="s">
        <v>440</v>
      </c>
      <c r="B670" s="253" t="s">
        <v>440</v>
      </c>
      <c r="C670" s="253" t="s">
        <v>440</v>
      </c>
      <c r="D670" s="253" t="s">
        <v>440</v>
      </c>
      <c r="E670" s="253" t="s">
        <v>440</v>
      </c>
      <c r="F670" s="253" t="s">
        <v>440</v>
      </c>
      <c r="G670" s="253" t="s">
        <v>440</v>
      </c>
      <c r="H670" s="253" t="s">
        <v>440</v>
      </c>
      <c r="I670" s="253" t="s">
        <v>440</v>
      </c>
      <c r="J670" s="253" t="s">
        <v>440</v>
      </c>
      <c r="K670" s="253" t="s">
        <v>440</v>
      </c>
      <c r="L670" s="253" t="s">
        <v>440</v>
      </c>
      <c r="M670" s="253" t="s">
        <v>440</v>
      </c>
      <c r="N670" s="253" t="s">
        <v>440</v>
      </c>
      <c r="O670" s="253" t="s">
        <v>440</v>
      </c>
      <c r="P670" s="253" t="s">
        <v>440</v>
      </c>
      <c r="Q670" s="253" t="s">
        <v>440</v>
      </c>
      <c r="R670" s="253" t="s">
        <v>440</v>
      </c>
      <c r="S670" s="253" t="s">
        <v>440</v>
      </c>
      <c r="T670" s="253" t="s">
        <v>440</v>
      </c>
      <c r="U670" s="253" t="s">
        <v>440</v>
      </c>
      <c r="V670" s="253" t="s">
        <v>440</v>
      </c>
      <c r="W670" s="253" t="s">
        <v>440</v>
      </c>
      <c r="X670" s="253" t="s">
        <v>440</v>
      </c>
      <c r="Y670" s="253" t="s">
        <v>440</v>
      </c>
    </row>
    <row r="671" spans="1:26" x14ac:dyDescent="0.25">
      <c r="A671" s="249" t="s">
        <v>499</v>
      </c>
      <c r="B671" s="253" t="s">
        <v>440</v>
      </c>
      <c r="C671" s="253" t="s">
        <v>440</v>
      </c>
      <c r="D671" s="253" t="s">
        <v>440</v>
      </c>
      <c r="E671" s="253" t="s">
        <v>440</v>
      </c>
      <c r="F671" s="253" t="s">
        <v>440</v>
      </c>
      <c r="G671" s="253" t="s">
        <v>440</v>
      </c>
      <c r="H671" s="253" t="s">
        <v>440</v>
      </c>
      <c r="I671" s="253" t="s">
        <v>440</v>
      </c>
      <c r="J671" s="253" t="s">
        <v>440</v>
      </c>
      <c r="K671" s="253" t="s">
        <v>440</v>
      </c>
      <c r="L671" s="253" t="s">
        <v>440</v>
      </c>
      <c r="M671" s="253" t="s">
        <v>440</v>
      </c>
      <c r="N671" s="253" t="s">
        <v>440</v>
      </c>
      <c r="O671" s="253" t="s">
        <v>440</v>
      </c>
      <c r="P671" s="253" t="s">
        <v>440</v>
      </c>
      <c r="Q671" s="253" t="s">
        <v>440</v>
      </c>
      <c r="R671" s="253" t="s">
        <v>440</v>
      </c>
      <c r="S671" s="253" t="s">
        <v>440</v>
      </c>
      <c r="T671" s="253" t="s">
        <v>440</v>
      </c>
      <c r="U671" s="253" t="s">
        <v>440</v>
      </c>
      <c r="V671" s="253" t="s">
        <v>440</v>
      </c>
      <c r="W671" s="253" t="s">
        <v>440</v>
      </c>
      <c r="X671" s="253" t="s">
        <v>440</v>
      </c>
      <c r="Y671" s="253" t="s">
        <v>440</v>
      </c>
    </row>
    <row r="672" spans="1:26" x14ac:dyDescent="0.25">
      <c r="A672" s="249" t="s">
        <v>500</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5">
      <c r="A673" s="249" t="s">
        <v>502</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5">
      <c r="A674" s="249" t="s">
        <v>476</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5">
      <c r="A675" s="249" t="s">
        <v>481</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5">
      <c r="A676" s="274" t="s">
        <v>478</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5">
      <c r="A677" s="278" t="s">
        <v>486</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5">
      <c r="A678" s="249" t="s">
        <v>440</v>
      </c>
      <c r="B678" s="253" t="s">
        <v>440</v>
      </c>
      <c r="C678" s="253" t="s">
        <v>440</v>
      </c>
      <c r="D678" s="253" t="s">
        <v>440</v>
      </c>
      <c r="E678" s="253" t="s">
        <v>440</v>
      </c>
      <c r="F678" s="253" t="s">
        <v>440</v>
      </c>
      <c r="G678" s="253" t="s">
        <v>440</v>
      </c>
      <c r="H678" s="253" t="s">
        <v>440</v>
      </c>
      <c r="I678" s="253" t="s">
        <v>440</v>
      </c>
      <c r="J678" s="253" t="s">
        <v>440</v>
      </c>
      <c r="K678" s="253" t="s">
        <v>440</v>
      </c>
      <c r="L678" s="253" t="s">
        <v>440</v>
      </c>
      <c r="M678" s="253" t="s">
        <v>440</v>
      </c>
      <c r="N678" s="253" t="s">
        <v>440</v>
      </c>
      <c r="O678" s="253" t="s">
        <v>440</v>
      </c>
      <c r="P678" s="253" t="s">
        <v>440</v>
      </c>
      <c r="Q678" s="253" t="s">
        <v>440</v>
      </c>
      <c r="R678" s="253" t="s">
        <v>440</v>
      </c>
      <c r="S678" s="253" t="s">
        <v>440</v>
      </c>
      <c r="T678" s="253" t="s">
        <v>440</v>
      </c>
      <c r="U678" s="253" t="s">
        <v>440</v>
      </c>
      <c r="V678" s="253" t="s">
        <v>440</v>
      </c>
      <c r="W678" s="253" t="s">
        <v>440</v>
      </c>
      <c r="X678" s="253" t="s">
        <v>440</v>
      </c>
      <c r="Y678" s="253" t="s">
        <v>440</v>
      </c>
    </row>
    <row r="679" spans="1:26" x14ac:dyDescent="0.25">
      <c r="A679" s="249" t="s">
        <v>503</v>
      </c>
      <c r="B679" s="253" t="s">
        <v>440</v>
      </c>
      <c r="C679" s="253" t="s">
        <v>440</v>
      </c>
      <c r="D679" s="253" t="s">
        <v>440</v>
      </c>
      <c r="E679" s="253" t="s">
        <v>440</v>
      </c>
      <c r="F679" s="253" t="s">
        <v>440</v>
      </c>
      <c r="G679" s="253" t="s">
        <v>440</v>
      </c>
      <c r="H679" s="253" t="s">
        <v>440</v>
      </c>
      <c r="I679" s="253" t="s">
        <v>440</v>
      </c>
      <c r="J679" s="253" t="s">
        <v>440</v>
      </c>
      <c r="K679" s="253" t="s">
        <v>440</v>
      </c>
      <c r="L679" s="253" t="s">
        <v>440</v>
      </c>
      <c r="M679" s="253" t="s">
        <v>440</v>
      </c>
      <c r="N679" s="253" t="s">
        <v>440</v>
      </c>
      <c r="O679" s="253" t="s">
        <v>440</v>
      </c>
      <c r="P679" s="253" t="s">
        <v>440</v>
      </c>
      <c r="Q679" s="253" t="s">
        <v>440</v>
      </c>
      <c r="R679" s="253" t="s">
        <v>440</v>
      </c>
      <c r="S679" s="253" t="s">
        <v>440</v>
      </c>
      <c r="T679" s="253" t="s">
        <v>440</v>
      </c>
      <c r="U679" s="253" t="s">
        <v>440</v>
      </c>
      <c r="V679" s="253" t="s">
        <v>440</v>
      </c>
      <c r="W679" s="253" t="s">
        <v>440</v>
      </c>
      <c r="X679" s="253" t="s">
        <v>440</v>
      </c>
      <c r="Y679" s="253" t="s">
        <v>440</v>
      </c>
    </row>
    <row r="680" spans="1:26" x14ac:dyDescent="0.25">
      <c r="A680" s="249" t="s">
        <v>504</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5">
      <c r="A681" s="249" t="s">
        <v>505</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5">
      <c r="A682" s="249" t="s">
        <v>506</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5">
      <c r="A683" s="249" t="s">
        <v>507</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5">
      <c r="A684" s="249" t="s">
        <v>508</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5">
      <c r="A685" s="249" t="s">
        <v>509</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5">
      <c r="A686" s="249" t="s">
        <v>510</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5">
      <c r="A687" s="249" t="s">
        <v>511</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5">
      <c r="A688" s="249" t="s">
        <v>512</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5">
      <c r="A689" s="249" t="s">
        <v>479</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5">
      <c r="A690" s="249" t="s">
        <v>440</v>
      </c>
      <c r="B690" s="253" t="s">
        <v>440</v>
      </c>
      <c r="C690" s="253" t="s">
        <v>440</v>
      </c>
      <c r="D690" s="253" t="s">
        <v>440</v>
      </c>
      <c r="E690" s="253" t="s">
        <v>440</v>
      </c>
      <c r="F690" s="253" t="s">
        <v>440</v>
      </c>
      <c r="G690" s="253" t="s">
        <v>440</v>
      </c>
      <c r="H690" s="253" t="s">
        <v>440</v>
      </c>
      <c r="I690" s="253" t="s">
        <v>440</v>
      </c>
      <c r="J690" s="253" t="s">
        <v>440</v>
      </c>
      <c r="K690" s="253" t="s">
        <v>440</v>
      </c>
      <c r="L690" s="253" t="s">
        <v>440</v>
      </c>
      <c r="M690" s="253" t="s">
        <v>440</v>
      </c>
      <c r="N690" s="253" t="s">
        <v>440</v>
      </c>
      <c r="O690" s="253" t="s">
        <v>440</v>
      </c>
      <c r="P690" s="253" t="s">
        <v>440</v>
      </c>
      <c r="Q690" s="253" t="s">
        <v>440</v>
      </c>
      <c r="R690" s="253" t="s">
        <v>440</v>
      </c>
      <c r="S690" s="253" t="s">
        <v>440</v>
      </c>
      <c r="T690" s="253" t="s">
        <v>440</v>
      </c>
      <c r="U690" s="253" t="s">
        <v>440</v>
      </c>
      <c r="V690" s="253" t="s">
        <v>440</v>
      </c>
      <c r="W690" s="253" t="s">
        <v>440</v>
      </c>
      <c r="X690" s="253" t="s">
        <v>440</v>
      </c>
      <c r="Y690" s="253" t="s">
        <v>440</v>
      </c>
    </row>
    <row r="691" spans="1:28" x14ac:dyDescent="0.25">
      <c r="A691" s="249" t="s">
        <v>513</v>
      </c>
      <c r="B691" s="253" t="s">
        <v>440</v>
      </c>
      <c r="C691" s="253" t="s">
        <v>440</v>
      </c>
      <c r="D691" s="253" t="s">
        <v>440</v>
      </c>
      <c r="E691" s="253" t="s">
        <v>440</v>
      </c>
      <c r="F691" s="253" t="s">
        <v>440</v>
      </c>
      <c r="G691" s="253" t="s">
        <v>440</v>
      </c>
      <c r="H691" s="253" t="s">
        <v>440</v>
      </c>
      <c r="I691" s="253" t="s">
        <v>440</v>
      </c>
      <c r="J691" s="253" t="s">
        <v>440</v>
      </c>
      <c r="K691" s="253" t="s">
        <v>440</v>
      </c>
      <c r="L691" s="253" t="s">
        <v>440</v>
      </c>
      <c r="M691" s="253" t="s">
        <v>440</v>
      </c>
      <c r="N691" s="253" t="s">
        <v>440</v>
      </c>
      <c r="O691" s="253" t="s">
        <v>440</v>
      </c>
      <c r="P691" s="253" t="s">
        <v>440</v>
      </c>
      <c r="Q691" s="253" t="s">
        <v>440</v>
      </c>
      <c r="R691" s="253" t="s">
        <v>440</v>
      </c>
      <c r="S691" s="253" t="s">
        <v>440</v>
      </c>
      <c r="T691" s="253" t="s">
        <v>440</v>
      </c>
      <c r="U691" s="253" t="s">
        <v>440</v>
      </c>
      <c r="V691" s="253" t="s">
        <v>440</v>
      </c>
      <c r="W691" s="253" t="s">
        <v>440</v>
      </c>
      <c r="X691" s="253" t="s">
        <v>440</v>
      </c>
      <c r="Y691" s="253" t="s">
        <v>440</v>
      </c>
    </row>
    <row r="692" spans="1:28" x14ac:dyDescent="0.25">
      <c r="A692" s="249" t="s">
        <v>514</v>
      </c>
      <c r="B692" s="253" t="s">
        <v>440</v>
      </c>
      <c r="C692" s="253" t="s">
        <v>440</v>
      </c>
      <c r="D692" s="253" t="s">
        <v>440</v>
      </c>
      <c r="E692" s="253" t="s">
        <v>440</v>
      </c>
      <c r="F692" s="253" t="s">
        <v>440</v>
      </c>
      <c r="G692" s="253" t="s">
        <v>440</v>
      </c>
      <c r="H692" s="253" t="s">
        <v>440</v>
      </c>
      <c r="I692" s="253" t="s">
        <v>440</v>
      </c>
      <c r="J692" s="253" t="s">
        <v>440</v>
      </c>
      <c r="K692" s="253" t="s">
        <v>440</v>
      </c>
      <c r="L692" s="253" t="s">
        <v>440</v>
      </c>
      <c r="M692" s="253" t="s">
        <v>440</v>
      </c>
      <c r="N692" s="253" t="s">
        <v>440</v>
      </c>
      <c r="O692" s="253" t="s">
        <v>440</v>
      </c>
      <c r="P692" s="253" t="s">
        <v>440</v>
      </c>
      <c r="Q692" s="253" t="s">
        <v>440</v>
      </c>
      <c r="R692" s="253" t="s">
        <v>440</v>
      </c>
      <c r="S692" s="253" t="s">
        <v>440</v>
      </c>
      <c r="T692" s="253" t="s">
        <v>440</v>
      </c>
      <c r="U692" s="253" t="s">
        <v>440</v>
      </c>
      <c r="V692" s="253" t="s">
        <v>440</v>
      </c>
      <c r="W692" s="253" t="s">
        <v>440</v>
      </c>
      <c r="X692" s="253" t="s">
        <v>440</v>
      </c>
      <c r="Y692" s="253" t="s">
        <v>440</v>
      </c>
    </row>
    <row r="693" spans="1:28" x14ac:dyDescent="0.25">
      <c r="A693" s="249" t="s">
        <v>473</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5">
      <c r="A694" s="249" t="s">
        <v>480</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5">
      <c r="A695" s="249" t="s">
        <v>515</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5">
      <c r="A696" s="249" t="s">
        <v>487</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5">
      <c r="A697" s="249" t="s">
        <v>516</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5">
      <c r="A698" s="249" t="s">
        <v>517</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5">
      <c r="A699" s="249" t="s">
        <v>518</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5">
      <c r="A700" s="249" t="s">
        <v>592</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5">
      <c r="A701" s="302" t="s">
        <v>1081</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5">
      <c r="A702" s="282" t="s">
        <v>311</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5">
      <c r="A703" s="303" t="s">
        <v>594</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5">
      <c r="A704" s="304" t="s">
        <v>595</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5">
      <c r="A705" s="302" t="s">
        <v>596</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5">
      <c r="A706" s="249" t="s">
        <v>519</v>
      </c>
      <c r="B706" s="253"/>
      <c r="C706" s="253"/>
      <c r="D706" s="253"/>
      <c r="E706" s="253" t="s">
        <v>440</v>
      </c>
      <c r="F706" s="253" t="s">
        <v>440</v>
      </c>
      <c r="G706" s="253" t="s">
        <v>440</v>
      </c>
      <c r="H706" s="253" t="s">
        <v>440</v>
      </c>
      <c r="I706" s="253" t="s">
        <v>440</v>
      </c>
      <c r="J706" s="253" t="s">
        <v>440</v>
      </c>
      <c r="K706" s="253" t="s">
        <v>440</v>
      </c>
      <c r="L706" s="253" t="s">
        <v>440</v>
      </c>
      <c r="M706" s="253" t="s">
        <v>440</v>
      </c>
      <c r="N706" s="253" t="s">
        <v>440</v>
      </c>
      <c r="O706" s="253" t="s">
        <v>440</v>
      </c>
      <c r="P706" s="253" t="s">
        <v>440</v>
      </c>
      <c r="Q706" s="253" t="s">
        <v>440</v>
      </c>
      <c r="R706" s="253" t="s">
        <v>440</v>
      </c>
      <c r="S706" s="253" t="s">
        <v>440</v>
      </c>
      <c r="T706" s="253" t="s">
        <v>440</v>
      </c>
      <c r="U706" s="253" t="s">
        <v>440</v>
      </c>
      <c r="V706" s="253" t="s">
        <v>440</v>
      </c>
      <c r="W706" s="253" t="s">
        <v>440</v>
      </c>
      <c r="X706" s="253" t="s">
        <v>440</v>
      </c>
      <c r="Y706" s="253" t="s">
        <v>440</v>
      </c>
    </row>
    <row r="707" spans="1:26" x14ac:dyDescent="0.25">
      <c r="A707" s="249" t="s">
        <v>520</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5">
      <c r="A708" s="249" t="s">
        <v>521</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5">
      <c r="A709" s="249" t="s">
        <v>522</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5">
      <c r="A710" s="249" t="s">
        <v>523</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5">
      <c r="A711" s="249" t="s">
        <v>524</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5">
      <c r="A712" s="249" t="s">
        <v>525</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5">
      <c r="A713" s="249" t="s">
        <v>526</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5">
      <c r="A714" s="249" t="s">
        <v>527</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5">
      <c r="A715" s="249" t="s">
        <v>532</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5">
      <c r="A716" s="249" t="s">
        <v>542</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5">
      <c r="A717" s="249" t="s">
        <v>543</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5">
      <c r="A718" s="249" t="s">
        <v>544</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5">
      <c r="A719" s="249" t="s">
        <v>545</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5">
      <c r="A720" s="249" t="s">
        <v>546</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5">
      <c r="A721" s="249" t="s">
        <v>547</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5">
      <c r="A722" s="249" t="s">
        <v>548</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5">
      <c r="A723" s="249" t="s">
        <v>552</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5">
      <c r="A724" s="249" t="s">
        <v>553</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5">
      <c r="A725" s="249" t="s">
        <v>554</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5">
      <c r="A726" s="249" t="s">
        <v>555</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5">
      <c r="A727" s="249" t="s">
        <v>556</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5">
      <c r="A728" s="249" t="s">
        <v>557</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5">
      <c r="A729" s="249" t="s">
        <v>558</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5">
      <c r="A730" s="249" t="s">
        <v>559</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 thickBot="1" x14ac:dyDescent="0.3">
      <c r="A731" s="254" t="s">
        <v>564</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5">
      <c r="A732" s="1655" t="s">
        <v>437</v>
      </c>
      <c r="B732" s="1655"/>
      <c r="C732" s="1655"/>
      <c r="D732" s="1655"/>
      <c r="E732" s="1655"/>
      <c r="F732" s="1655"/>
      <c r="G732" s="1655"/>
      <c r="H732" s="1655"/>
      <c r="I732" s="1655"/>
      <c r="J732" s="1655"/>
      <c r="K732" s="1655"/>
      <c r="L732" s="1655"/>
      <c r="M732" s="1655"/>
      <c r="N732" s="295"/>
      <c r="O732" s="295"/>
      <c r="P732" s="295"/>
      <c r="Q732" s="295"/>
      <c r="R732" s="295"/>
      <c r="S732" s="295"/>
      <c r="T732" s="295"/>
      <c r="U732" s="295"/>
      <c r="V732" s="295"/>
      <c r="W732" s="295"/>
      <c r="X732" s="295"/>
      <c r="Y732" s="295"/>
    </row>
    <row r="733" spans="1:25" x14ac:dyDescent="0.25">
      <c r="A733" s="295" t="s">
        <v>1089</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3.5" thickBot="1" x14ac:dyDescent="0.35">
      <c r="A736" s="1653" t="s">
        <v>565</v>
      </c>
      <c r="B736" s="1654"/>
      <c r="C736" s="1654"/>
      <c r="D736" s="260"/>
      <c r="E736" s="260"/>
      <c r="F736" s="260"/>
      <c r="G736" s="260"/>
      <c r="H736" s="260"/>
      <c r="I736" s="260"/>
      <c r="J736" s="260"/>
    </row>
    <row r="737" spans="1:10" ht="50.5" thickTop="1" x14ac:dyDescent="0.25">
      <c r="A737" s="261"/>
      <c r="B737" s="262" t="s">
        <v>566</v>
      </c>
      <c r="C737" s="262" t="s">
        <v>567</v>
      </c>
      <c r="D737" s="262" t="s">
        <v>568</v>
      </c>
      <c r="E737" s="262" t="s">
        <v>590</v>
      </c>
      <c r="F737" s="263"/>
      <c r="G737" s="263"/>
      <c r="H737" s="263"/>
      <c r="I737" s="263"/>
      <c r="J737" s="264"/>
    </row>
    <row r="738" spans="1:10" x14ac:dyDescent="0.25">
      <c r="A738" s="265"/>
      <c r="B738" s="266"/>
      <c r="C738" s="266"/>
      <c r="D738" s="266"/>
      <c r="E738" s="266"/>
      <c r="F738" s="266"/>
      <c r="G738" s="266"/>
      <c r="H738" s="266"/>
      <c r="I738" s="266"/>
      <c r="J738" s="267"/>
    </row>
    <row r="739" spans="1:10" x14ac:dyDescent="0.25">
      <c r="A739" s="265"/>
      <c r="B739" s="266"/>
      <c r="C739" s="266"/>
      <c r="D739" s="266"/>
      <c r="E739" s="266"/>
      <c r="F739" s="266"/>
      <c r="G739" s="266"/>
      <c r="H739" s="266"/>
      <c r="I739" s="266"/>
      <c r="J739" s="267"/>
    </row>
    <row r="740" spans="1:10" x14ac:dyDescent="0.25">
      <c r="A740" s="265" t="s">
        <v>569</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5">
      <c r="A741" s="265" t="s">
        <v>570</v>
      </c>
      <c r="B741" s="266">
        <v>1.2097805877102306</v>
      </c>
      <c r="C741" s="266">
        <v>1.1729343042703535</v>
      </c>
      <c r="D741" s="266">
        <v>1.0576447680901178</v>
      </c>
      <c r="E741" s="266">
        <f t="shared" si="82"/>
        <v>1.1340871534488071</v>
      </c>
      <c r="F741" s="266"/>
      <c r="G741" s="266"/>
      <c r="H741" s="266"/>
      <c r="I741" s="266"/>
      <c r="J741" s="267"/>
    </row>
    <row r="742" spans="1:10" x14ac:dyDescent="0.25">
      <c r="A742" s="265" t="s">
        <v>571</v>
      </c>
      <c r="B742" s="273">
        <v>1.1697889782905726</v>
      </c>
      <c r="C742" s="273">
        <v>1.1485262991479412</v>
      </c>
      <c r="D742" s="273">
        <v>1.049508766382647</v>
      </c>
      <c r="E742" s="273">
        <f t="shared" si="82"/>
        <v>1.1040561955262993</v>
      </c>
      <c r="F742" s="266"/>
      <c r="G742" s="266"/>
      <c r="H742" s="266"/>
      <c r="I742" s="266"/>
      <c r="J742" s="267"/>
    </row>
    <row r="743" spans="1:10" x14ac:dyDescent="0.25">
      <c r="A743" s="265" t="s">
        <v>572</v>
      </c>
      <c r="B743" s="266">
        <v>1.1587647303602575</v>
      </c>
      <c r="C743" s="266">
        <v>1.0854096786599328</v>
      </c>
      <c r="D743" s="266">
        <v>1.0284698928866443</v>
      </c>
      <c r="E743" s="266">
        <f t="shared" si="82"/>
        <v>1.363594657351775</v>
      </c>
      <c r="F743" s="266"/>
      <c r="G743" s="266"/>
      <c r="H743" s="266"/>
      <c r="I743" s="266"/>
      <c r="J743" s="267"/>
    </row>
    <row r="744" spans="1:10" x14ac:dyDescent="0.25">
      <c r="A744" s="265" t="s">
        <v>573</v>
      </c>
      <c r="B744" s="279">
        <v>1.1587647303602575</v>
      </c>
      <c r="C744" s="279">
        <v>1.0854096786599328</v>
      </c>
      <c r="D744" s="279">
        <v>1.0284698928866443</v>
      </c>
      <c r="E744" s="279">
        <f t="shared" si="82"/>
        <v>1.3635946573517748</v>
      </c>
      <c r="F744" s="266"/>
      <c r="G744" s="266"/>
      <c r="H744" s="266"/>
      <c r="I744" s="266"/>
      <c r="J744" s="267"/>
    </row>
    <row r="745" spans="1:10" x14ac:dyDescent="0.25">
      <c r="A745" s="265" t="s">
        <v>574</v>
      </c>
      <c r="B745" s="275">
        <v>0.99410318905494366</v>
      </c>
      <c r="C745" s="275">
        <v>1.0095287120834378</v>
      </c>
      <c r="D745" s="275">
        <v>1.0031762373611459</v>
      </c>
      <c r="E745" s="275">
        <f t="shared" si="82"/>
        <v>0.97316968165904427</v>
      </c>
      <c r="F745" s="266"/>
      <c r="G745" s="266"/>
      <c r="H745" s="266"/>
      <c r="I745" s="266"/>
      <c r="J745" s="267"/>
    </row>
    <row r="746" spans="1:10" x14ac:dyDescent="0.25">
      <c r="A746" s="265" t="s">
        <v>575</v>
      </c>
      <c r="B746" s="297">
        <v>1.0099752422488564</v>
      </c>
      <c r="C746" s="297">
        <v>1.0050974522479115</v>
      </c>
      <c r="D746" s="297">
        <v>1.0016991507493038</v>
      </c>
      <c r="E746" s="297">
        <f t="shared" si="82"/>
        <v>0.99922998787640482</v>
      </c>
      <c r="F746" s="266"/>
      <c r="G746" s="266"/>
      <c r="H746" s="266"/>
      <c r="I746" s="266"/>
      <c r="J746" s="267"/>
    </row>
    <row r="747" spans="1:10" x14ac:dyDescent="0.25">
      <c r="A747" s="265" t="s">
        <v>312</v>
      </c>
      <c r="B747" s="281">
        <v>1.0099752422488564</v>
      </c>
      <c r="C747" s="281">
        <v>1.0050974522479115</v>
      </c>
      <c r="D747" s="281">
        <v>1.0016991507493038</v>
      </c>
      <c r="E747" s="281">
        <f t="shared" si="82"/>
        <v>0.99922998787640471</v>
      </c>
      <c r="F747" s="266"/>
      <c r="G747" s="266"/>
      <c r="H747" s="266"/>
      <c r="I747" s="266"/>
      <c r="J747" s="267"/>
    </row>
    <row r="748" spans="1:10" x14ac:dyDescent="0.25">
      <c r="A748" s="265"/>
      <c r="B748" s="266"/>
      <c r="C748" s="266"/>
      <c r="D748" s="266"/>
      <c r="E748" s="266"/>
      <c r="F748" s="266"/>
      <c r="G748" s="266"/>
      <c r="H748" s="266"/>
      <c r="I748" s="266"/>
      <c r="J748" s="267"/>
    </row>
    <row r="749" spans="1:10" x14ac:dyDescent="0.25">
      <c r="A749" s="265"/>
      <c r="B749" s="266"/>
      <c r="C749" s="266"/>
      <c r="D749" s="266"/>
      <c r="E749" s="1652" t="s">
        <v>576</v>
      </c>
      <c r="F749" s="1652"/>
      <c r="G749" s="1652"/>
      <c r="H749" s="1652"/>
      <c r="I749" s="1652"/>
      <c r="J749" s="268"/>
    </row>
    <row r="750" spans="1:10" x14ac:dyDescent="0.25">
      <c r="A750" s="265" t="s">
        <v>577</v>
      </c>
      <c r="B750" s="266"/>
      <c r="C750" s="266" t="s">
        <v>578</v>
      </c>
      <c r="D750" s="266" t="s">
        <v>578</v>
      </c>
      <c r="E750" s="266"/>
      <c r="F750" s="266"/>
      <c r="G750" s="266"/>
      <c r="H750" s="266"/>
      <c r="I750" s="266"/>
      <c r="J750" s="267"/>
    </row>
    <row r="751" spans="1:10" x14ac:dyDescent="0.25">
      <c r="A751" s="265"/>
      <c r="B751" s="266" t="s">
        <v>1049</v>
      </c>
      <c r="C751" s="266">
        <v>2000</v>
      </c>
      <c r="D751" s="266">
        <v>2005</v>
      </c>
      <c r="E751" s="266">
        <v>2020</v>
      </c>
      <c r="F751" s="266">
        <v>2035</v>
      </c>
      <c r="G751" s="266">
        <v>2050</v>
      </c>
      <c r="H751" s="266">
        <v>2065</v>
      </c>
      <c r="I751" s="266">
        <v>2080</v>
      </c>
      <c r="J751" s="267"/>
    </row>
    <row r="752" spans="1:10" x14ac:dyDescent="0.25">
      <c r="A752" s="265" t="s">
        <v>569</v>
      </c>
      <c r="B752" s="266" t="s">
        <v>579</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5">
      <c r="A753" s="265" t="s">
        <v>570</v>
      </c>
      <c r="B753" s="266" t="s">
        <v>580</v>
      </c>
      <c r="C753" s="266">
        <v>3.83</v>
      </c>
      <c r="D753" s="266">
        <v>2.88</v>
      </c>
      <c r="E753" s="266">
        <v>3.1020351176470586</v>
      </c>
      <c r="F753" s="266">
        <v>3.5179781764705877</v>
      </c>
      <c r="G753" s="266">
        <v>4.2559817058823528</v>
      </c>
      <c r="H753" s="266">
        <v>4.9919869411764699</v>
      </c>
      <c r="I753" s="266">
        <v>5.7211905294117642</v>
      </c>
      <c r="J753" s="267"/>
    </row>
    <row r="754" spans="1:10" x14ac:dyDescent="0.25">
      <c r="A754" s="265" t="s">
        <v>571</v>
      </c>
      <c r="B754" s="266" t="s">
        <v>580</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5">
      <c r="A755" s="265" t="s">
        <v>572</v>
      </c>
      <c r="B755" s="266" t="s">
        <v>581</v>
      </c>
      <c r="C755" s="266">
        <v>28.35</v>
      </c>
      <c r="D755" s="266">
        <v>23.27</v>
      </c>
      <c r="E755" s="266">
        <v>17.294973600000002</v>
      </c>
      <c r="F755" s="266">
        <v>23.583333599999996</v>
      </c>
      <c r="G755" s="266">
        <v>27.327535199999996</v>
      </c>
      <c r="H755" s="266">
        <v>29.661571199999997</v>
      </c>
      <c r="I755" s="266"/>
      <c r="J755" s="267"/>
    </row>
    <row r="756" spans="1:10" x14ac:dyDescent="0.25">
      <c r="A756" s="265" t="s">
        <v>573</v>
      </c>
      <c r="B756" s="266" t="s">
        <v>582</v>
      </c>
      <c r="C756" s="266">
        <v>1.5176666666666667</v>
      </c>
      <c r="D756" s="266">
        <v>1.2925714285714285</v>
      </c>
      <c r="E756" s="266">
        <v>0.93587519480519499</v>
      </c>
      <c r="F756" s="266">
        <v>1.2761544155844153</v>
      </c>
      <c r="G756" s="266">
        <v>1.4787627272727271</v>
      </c>
      <c r="H756" s="266">
        <v>1.6050633766233764</v>
      </c>
      <c r="I756" s="266"/>
      <c r="J756" s="267"/>
    </row>
    <row r="757" spans="1:10" x14ac:dyDescent="0.25">
      <c r="A757" s="265" t="s">
        <v>574</v>
      </c>
      <c r="B757" s="266" t="s">
        <v>583</v>
      </c>
      <c r="C757" s="266">
        <v>6.9</v>
      </c>
      <c r="D757" s="266">
        <v>6.4</v>
      </c>
      <c r="E757" s="266">
        <v>6.9130361604720001</v>
      </c>
      <c r="F757" s="266">
        <v>6.7275571995839982</v>
      </c>
      <c r="G757" s="266">
        <v>6.6878860666559987</v>
      </c>
      <c r="H757" s="266">
        <v>6.7516130074319989</v>
      </c>
      <c r="I757" s="266">
        <v>6.8294477356799987</v>
      </c>
      <c r="J757" s="267"/>
    </row>
    <row r="758" spans="1:10" x14ac:dyDescent="0.25">
      <c r="A758" s="265" t="s">
        <v>575</v>
      </c>
      <c r="B758" s="266" t="s">
        <v>584</v>
      </c>
      <c r="C758" s="266"/>
      <c r="D758" s="266"/>
      <c r="E758" s="266">
        <v>3.8637053999999993</v>
      </c>
      <c r="F758" s="266">
        <v>3.8607302999999993</v>
      </c>
      <c r="G758" s="266">
        <v>3.8992420199999995</v>
      </c>
      <c r="H758" s="266">
        <v>3.9191182199999997</v>
      </c>
      <c r="I758" s="266">
        <v>4.4580291000000001</v>
      </c>
      <c r="J758" s="267"/>
    </row>
    <row r="759" spans="1:10" x14ac:dyDescent="0.25">
      <c r="A759" s="265" t="s">
        <v>312</v>
      </c>
      <c r="B759" s="266" t="s">
        <v>584</v>
      </c>
      <c r="C759" s="266"/>
      <c r="D759" s="266"/>
      <c r="E759" s="266">
        <v>19.318526999999996</v>
      </c>
      <c r="F759" s="266">
        <v>19.303651499999994</v>
      </c>
      <c r="G759" s="266">
        <v>19.496210099999995</v>
      </c>
      <c r="H759" s="266">
        <v>19.595591099999996</v>
      </c>
      <c r="I759" s="266">
        <v>22.290145499999998</v>
      </c>
      <c r="J759" s="267"/>
    </row>
    <row r="760" spans="1:10" x14ac:dyDescent="0.25">
      <c r="A760" s="265"/>
      <c r="B760" s="266"/>
      <c r="C760" s="266"/>
      <c r="D760" s="266"/>
      <c r="E760" s="266"/>
      <c r="F760" s="266"/>
      <c r="G760" s="266"/>
      <c r="H760" s="266"/>
      <c r="I760" s="266"/>
      <c r="J760" s="267"/>
    </row>
    <row r="761" spans="1:10" ht="37.5" x14ac:dyDescent="0.25">
      <c r="A761" s="269" t="s">
        <v>585</v>
      </c>
      <c r="B761" s="266" t="s">
        <v>579</v>
      </c>
      <c r="C761" s="266"/>
      <c r="D761" s="266"/>
      <c r="E761" s="266">
        <v>76.455732879999985</v>
      </c>
      <c r="F761" s="266">
        <v>76.404561159999986</v>
      </c>
      <c r="G761" s="266">
        <v>77.066962743999994</v>
      </c>
      <c r="H761" s="266">
        <v>77.40883338399999</v>
      </c>
      <c r="I761" s="266">
        <v>86.678100520000001</v>
      </c>
      <c r="J761" s="267"/>
    </row>
    <row r="762" spans="1:10" ht="13" thickBot="1" x14ac:dyDescent="0.3">
      <c r="A762" s="270"/>
      <c r="B762" s="271">
        <v>17.2</v>
      </c>
      <c r="C762" s="271" t="s">
        <v>586</v>
      </c>
      <c r="D762" s="271"/>
      <c r="E762" s="271"/>
      <c r="F762" s="271"/>
      <c r="G762" s="271"/>
      <c r="H762" s="271"/>
      <c r="I762" s="271"/>
      <c r="J762" s="272"/>
    </row>
    <row r="763" spans="1:10" ht="13" thickTop="1" x14ac:dyDescent="0.25"/>
    <row r="764" spans="1:10" x14ac:dyDescent="0.25">
      <c r="A764" s="463" t="s">
        <v>813</v>
      </c>
    </row>
    <row r="765" spans="1:10" x14ac:dyDescent="0.25">
      <c r="A765" t="s">
        <v>807</v>
      </c>
    </row>
    <row r="766" spans="1:10" x14ac:dyDescent="0.25">
      <c r="A766" t="s">
        <v>808</v>
      </c>
    </row>
    <row r="767" spans="1:10" x14ac:dyDescent="0.25">
      <c r="A767" t="s">
        <v>809</v>
      </c>
    </row>
    <row r="769" spans="1:27" x14ac:dyDescent="0.25">
      <c r="A769" t="s">
        <v>447</v>
      </c>
    </row>
    <row r="770" spans="1:27" x14ac:dyDescent="0.25">
      <c r="A770" t="s">
        <v>722</v>
      </c>
    </row>
    <row r="773" spans="1:27" x14ac:dyDescent="0.25">
      <c r="AA773" t="s">
        <v>810</v>
      </c>
    </row>
    <row r="774" spans="1:27" x14ac:dyDescent="0.25">
      <c r="B774" t="s">
        <v>453</v>
      </c>
      <c r="C774" t="s">
        <v>454</v>
      </c>
      <c r="D774" t="s">
        <v>455</v>
      </c>
      <c r="E774" t="s">
        <v>456</v>
      </c>
      <c r="F774" t="s">
        <v>457</v>
      </c>
      <c r="G774" t="s">
        <v>458</v>
      </c>
      <c r="H774" t="s">
        <v>459</v>
      </c>
      <c r="I774" t="s">
        <v>460</v>
      </c>
      <c r="J774" t="s">
        <v>461</v>
      </c>
      <c r="K774" t="s">
        <v>462</v>
      </c>
      <c r="L774" t="s">
        <v>463</v>
      </c>
      <c r="M774" t="s">
        <v>464</v>
      </c>
      <c r="N774" t="s">
        <v>465</v>
      </c>
      <c r="O774" t="s">
        <v>466</v>
      </c>
      <c r="P774" t="s">
        <v>467</v>
      </c>
      <c r="Q774" t="s">
        <v>468</v>
      </c>
      <c r="R774" t="s">
        <v>469</v>
      </c>
      <c r="S774" t="s">
        <v>470</v>
      </c>
      <c r="T774" t="s">
        <v>471</v>
      </c>
      <c r="U774" t="s">
        <v>472</v>
      </c>
      <c r="V774" t="s">
        <v>604</v>
      </c>
      <c r="W774" t="s">
        <v>605</v>
      </c>
      <c r="X774" t="s">
        <v>606</v>
      </c>
      <c r="Y774" t="s">
        <v>607</v>
      </c>
      <c r="Z774" t="s">
        <v>608</v>
      </c>
      <c r="AA774" t="s">
        <v>608</v>
      </c>
    </row>
    <row r="777" spans="1:27" x14ac:dyDescent="0.25">
      <c r="A777" t="s">
        <v>473</v>
      </c>
    </row>
    <row r="778" spans="1:27" x14ac:dyDescent="0.25">
      <c r="A778" t="s">
        <v>609</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5">
      <c r="A779" t="s">
        <v>610</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5">
      <c r="A780" t="s">
        <v>510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5">
      <c r="A781" t="s">
        <v>479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5">
      <c r="A783" t="s">
        <v>480</v>
      </c>
    </row>
    <row r="784" spans="1:27" x14ac:dyDescent="0.25">
      <c r="A784" t="s">
        <v>609</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5">
      <c r="A785" t="s">
        <v>610</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5">
      <c r="A786" t="s">
        <v>723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5">
      <c r="A787" t="s">
        <v>510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5">
      <c r="A788" t="s">
        <v>479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5">
      <c r="A790" t="s">
        <v>612</v>
      </c>
    </row>
    <row r="791" spans="1:27" x14ac:dyDescent="0.25">
      <c r="A791" t="s">
        <v>609</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5">
      <c r="A792" t="s">
        <v>610</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5">
      <c r="A793" t="s">
        <v>611</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5">
      <c r="A794" t="s">
        <v>613</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5">
      <c r="A795" t="s">
        <v>614</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5">
      <c r="A796" t="s">
        <v>615</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5">
      <c r="A797" t="s">
        <v>616</v>
      </c>
      <c r="B797" t="s">
        <v>788</v>
      </c>
      <c r="C797" t="s">
        <v>788</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788</v>
      </c>
    </row>
    <row r="798" spans="1:27" x14ac:dyDescent="0.25">
      <c r="A798" t="s">
        <v>479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5">
      <c r="A800" t="s">
        <v>487</v>
      </c>
    </row>
    <row r="801" spans="1:27" x14ac:dyDescent="0.25">
      <c r="A801" t="s">
        <v>617</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5">
      <c r="A802" t="s">
        <v>618</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5">
      <c r="A803" t="s">
        <v>619</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5">
      <c r="A804" t="s">
        <v>620</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5">
      <c r="A805" t="s">
        <v>724</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5">
      <c r="A806" t="s">
        <v>611</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5">
      <c r="A807" t="s">
        <v>622</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5">
      <c r="A808" t="s">
        <v>479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5">
      <c r="A810" t="s">
        <v>623</v>
      </c>
    </row>
    <row r="811" spans="1:27" x14ac:dyDescent="0.25">
      <c r="A811" t="s">
        <v>610</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5">
      <c r="A812" t="s">
        <v>611</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5">
      <c r="A813" t="s">
        <v>510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5">
      <c r="A814" t="s">
        <v>624</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5">
      <c r="A816" t="s">
        <v>625</v>
      </c>
    </row>
    <row r="817" spans="1:27" x14ac:dyDescent="0.25">
      <c r="A817" t="s">
        <v>609</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5">
      <c r="A818" t="s">
        <v>618</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5">
      <c r="A819" t="s">
        <v>619</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5">
      <c r="A820" t="s">
        <v>626</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5">
      <c r="A821" t="s">
        <v>610</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5">
      <c r="A822" t="s">
        <v>611</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5">
      <c r="A823" t="s">
        <v>510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5">
      <c r="A824" t="s">
        <v>614</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5">
      <c r="A825" t="s">
        <v>627</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5">
      <c r="A826" t="s">
        <v>616</v>
      </c>
      <c r="B826" t="s">
        <v>788</v>
      </c>
      <c r="C826" t="s">
        <v>788</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788</v>
      </c>
    </row>
    <row r="827" spans="1:27" x14ac:dyDescent="0.25">
      <c r="A827" t="s">
        <v>479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5">
      <c r="A829" t="s">
        <v>513</v>
      </c>
    </row>
    <row r="830" spans="1:27" x14ac:dyDescent="0.25">
      <c r="A830" t="s">
        <v>725</v>
      </c>
    </row>
    <row r="831" spans="1:27" x14ac:dyDescent="0.25">
      <c r="A831" t="s">
        <v>473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5">
      <c r="A832" t="s">
        <v>480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5">
      <c r="A833" t="s">
        <v>515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5">
      <c r="A834" t="s">
        <v>487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5">
      <c r="A835" t="s">
        <v>516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5">
      <c r="A836" t="s">
        <v>629</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5">
      <c r="A837" t="s">
        <v>518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5">
      <c r="A840" t="s">
        <v>726</v>
      </c>
    </row>
    <row r="841" spans="1:27" x14ac:dyDescent="0.25">
      <c r="A841" t="s">
        <v>473</v>
      </c>
    </row>
    <row r="842" spans="1:27" x14ac:dyDescent="0.25">
      <c r="A842" t="s">
        <v>609</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5">
      <c r="A843" t="s">
        <v>610</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5">
      <c r="A844" t="s">
        <v>510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5">
      <c r="A845" t="s">
        <v>479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5">
      <c r="A847" t="s">
        <v>480</v>
      </c>
    </row>
    <row r="848" spans="1:27" x14ac:dyDescent="0.25">
      <c r="A848" t="s">
        <v>609</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5">
      <c r="A849" t="s">
        <v>610</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5">
      <c r="A850" t="s">
        <v>723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5">
      <c r="A851" t="s">
        <v>510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5">
      <c r="A852" t="s">
        <v>479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5">
      <c r="A854" t="s">
        <v>612</v>
      </c>
    </row>
    <row r="855" spans="1:27" x14ac:dyDescent="0.25">
      <c r="A855" t="s">
        <v>609</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5">
      <c r="A856" t="s">
        <v>610</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5">
      <c r="A857" t="s">
        <v>611</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5">
      <c r="A858" t="s">
        <v>613</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5">
      <c r="A859" t="s">
        <v>614</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5">
      <c r="A860" t="s">
        <v>615</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5">
      <c r="A861" t="s">
        <v>616</v>
      </c>
      <c r="B861" t="s">
        <v>788</v>
      </c>
      <c r="C861" t="s">
        <v>788</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788</v>
      </c>
    </row>
    <row r="862" spans="1:27" x14ac:dyDescent="0.25">
      <c r="A862" t="s">
        <v>479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5">
      <c r="A864" s="305" t="s">
        <v>487</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5">
      <c r="A865" t="s">
        <v>617</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5">
      <c r="A866" t="s">
        <v>618</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5">
      <c r="A867" t="s">
        <v>619</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5">
      <c r="A868" t="s">
        <v>620</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5">
      <c r="A869" t="s">
        <v>724</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5">
      <c r="A870" t="s">
        <v>611</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5">
      <c r="A871" t="s">
        <v>622</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5">
      <c r="A872" t="s">
        <v>479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5">
      <c r="A874" t="s">
        <v>623</v>
      </c>
    </row>
    <row r="875" spans="1:27" x14ac:dyDescent="0.25">
      <c r="A875" t="s">
        <v>610</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5">
      <c r="A876" t="s">
        <v>611</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5">
      <c r="A877" t="s">
        <v>510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5">
      <c r="A878" t="s">
        <v>624</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5">
      <c r="A880" t="s">
        <v>625</v>
      </c>
    </row>
    <row r="881" spans="1:27" x14ac:dyDescent="0.25">
      <c r="A881" t="s">
        <v>609</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5">
      <c r="A882" t="s">
        <v>618</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5">
      <c r="A883" t="s">
        <v>619</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5">
      <c r="A884" t="s">
        <v>626</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5">
      <c r="A885" t="s">
        <v>610</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5">
      <c r="A886" t="s">
        <v>611</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5">
      <c r="A887" t="s">
        <v>510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5">
      <c r="A888" t="s">
        <v>614</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5">
      <c r="A889" t="s">
        <v>627</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5">
      <c r="A890" t="s">
        <v>616</v>
      </c>
      <c r="B890" t="s">
        <v>788</v>
      </c>
      <c r="C890" t="s">
        <v>788</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788</v>
      </c>
    </row>
    <row r="891" spans="1:27" x14ac:dyDescent="0.25">
      <c r="A891" t="s">
        <v>479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5">
      <c r="A893" t="s">
        <v>513</v>
      </c>
    </row>
    <row r="894" spans="1:27" x14ac:dyDescent="0.25">
      <c r="A894" t="s">
        <v>727</v>
      </c>
    </row>
    <row r="895" spans="1:27" x14ac:dyDescent="0.25">
      <c r="A895" t="s">
        <v>473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5">
      <c r="A896" t="s">
        <v>480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5">
      <c r="A897" t="s">
        <v>515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5">
      <c r="A898" t="s">
        <v>487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5">
      <c r="A899" t="s">
        <v>516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5">
      <c r="A900" t="s">
        <v>629</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5">
      <c r="A901" t="s">
        <v>518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5">
      <c r="A905" t="s">
        <v>630</v>
      </c>
    </row>
    <row r="906" spans="1:27" x14ac:dyDescent="0.25">
      <c r="A906" t="s">
        <v>631</v>
      </c>
    </row>
    <row r="907" spans="1:27" x14ac:dyDescent="0.25">
      <c r="A907" t="s">
        <v>632</v>
      </c>
    </row>
    <row r="908" spans="1:27" x14ac:dyDescent="0.25">
      <c r="A908" t="s">
        <v>728</v>
      </c>
    </row>
    <row r="909" spans="1:27" x14ac:dyDescent="0.25">
      <c r="A909" t="s">
        <v>729</v>
      </c>
    </row>
    <row r="910" spans="1:27" x14ac:dyDescent="0.25">
      <c r="A910" t="s">
        <v>649</v>
      </c>
    </row>
    <row r="911" spans="1:27" x14ac:dyDescent="0.25">
      <c r="A911" t="s">
        <v>650</v>
      </c>
    </row>
    <row r="912" spans="1:27" x14ac:dyDescent="0.25">
      <c r="A912" t="s">
        <v>651</v>
      </c>
    </row>
    <row r="913" spans="1:1" x14ac:dyDescent="0.25">
      <c r="A913" t="s">
        <v>652</v>
      </c>
    </row>
    <row r="914" spans="1:1" x14ac:dyDescent="0.25">
      <c r="A914" t="s">
        <v>653</v>
      </c>
    </row>
    <row r="915" spans="1:1" x14ac:dyDescent="0.25">
      <c r="A915" t="s">
        <v>654</v>
      </c>
    </row>
    <row r="916" spans="1:1" x14ac:dyDescent="0.25">
      <c r="A916" t="s">
        <v>545</v>
      </c>
    </row>
    <row r="917" spans="1:1" x14ac:dyDescent="0.25">
      <c r="A917" t="s">
        <v>730</v>
      </c>
    </row>
    <row r="918" spans="1:1" x14ac:dyDescent="0.25">
      <c r="A918" t="s">
        <v>731</v>
      </c>
    </row>
    <row r="919" spans="1:1" x14ac:dyDescent="0.25">
      <c r="A919" t="s">
        <v>732</v>
      </c>
    </row>
    <row r="920" spans="1:1" x14ac:dyDescent="0.25">
      <c r="A920" t="s">
        <v>733</v>
      </c>
    </row>
    <row r="921" spans="1:1" x14ac:dyDescent="0.25">
      <c r="A921" t="s">
        <v>734</v>
      </c>
    </row>
    <row r="922" spans="1:1" x14ac:dyDescent="0.25">
      <c r="A922" t="s">
        <v>735</v>
      </c>
    </row>
    <row r="923" spans="1:1" x14ac:dyDescent="0.25">
      <c r="A923" t="s">
        <v>736</v>
      </c>
    </row>
    <row r="924" spans="1:1" x14ac:dyDescent="0.25">
      <c r="A924" t="s">
        <v>737</v>
      </c>
    </row>
    <row r="925" spans="1:1" x14ac:dyDescent="0.25">
      <c r="A925" t="s">
        <v>738</v>
      </c>
    </row>
    <row r="926" spans="1:1" x14ac:dyDescent="0.25">
      <c r="A926" t="s">
        <v>739</v>
      </c>
    </row>
    <row r="927" spans="1:1" x14ac:dyDescent="0.25">
      <c r="A927" t="s">
        <v>811</v>
      </c>
    </row>
    <row r="928" spans="1:1" x14ac:dyDescent="0.25">
      <c r="A928" t="s">
        <v>741</v>
      </c>
    </row>
    <row r="929" spans="1:1" x14ac:dyDescent="0.25">
      <c r="A929" t="s">
        <v>812</v>
      </c>
    </row>
  </sheetData>
  <mergeCells count="26">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 ref="J27:K27"/>
    <mergeCell ref="J28:J29"/>
    <mergeCell ref="K28:K29"/>
    <mergeCell ref="A36:D37"/>
    <mergeCell ref="A56:K56"/>
    <mergeCell ref="A38:B38"/>
    <mergeCell ref="E38:I38"/>
    <mergeCell ref="J45:K48"/>
    <mergeCell ref="A53:K53"/>
    <mergeCell ref="A54:K55"/>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9" zoomScale="85" zoomScaleNormal="85" workbookViewId="0">
      <selection activeCell="D124" sqref="D124"/>
    </sheetView>
  </sheetViews>
  <sheetFormatPr defaultRowHeight="12.5" x14ac:dyDescent="0.25"/>
  <cols>
    <col min="1" max="1" width="33" customWidth="1"/>
    <col min="2" max="2" width="28.54296875" customWidth="1"/>
    <col min="3" max="3" width="14" customWidth="1"/>
    <col min="4" max="4" width="12.81640625" customWidth="1"/>
    <col min="5" max="5" width="15.1796875" customWidth="1"/>
    <col min="6" max="6" width="21.453125" customWidth="1"/>
    <col min="7" max="8" width="14" customWidth="1"/>
    <col min="9" max="9" width="15.1796875" customWidth="1"/>
    <col min="10" max="10" width="17.7265625" customWidth="1"/>
    <col min="11" max="11" width="19.26953125" customWidth="1"/>
    <col min="12" max="12" width="17.1796875" customWidth="1"/>
    <col min="13" max="14" width="18.7265625" customWidth="1"/>
    <col min="15" max="15" width="8.54296875" customWidth="1"/>
    <col min="16" max="18" width="18.7265625" customWidth="1"/>
    <col min="19" max="20" width="13.453125" customWidth="1"/>
    <col min="23" max="23" width="12.453125" bestFit="1" customWidth="1"/>
  </cols>
  <sheetData>
    <row r="1" spans="1:23" ht="14" x14ac:dyDescent="0.3">
      <c r="A1" s="539" t="s">
        <v>301</v>
      </c>
      <c r="B1" s="540"/>
      <c r="C1" s="540"/>
      <c r="D1" s="541"/>
      <c r="E1" s="540"/>
      <c r="F1" s="540"/>
      <c r="G1" s="540"/>
      <c r="H1" s="540"/>
      <c r="I1" s="540"/>
      <c r="J1" s="540"/>
      <c r="K1" s="540"/>
    </row>
    <row r="2" spans="1:23" ht="12.75" customHeight="1" x14ac:dyDescent="0.35">
      <c r="A2" s="1673" t="s">
        <v>868</v>
      </c>
      <c r="B2" s="1674"/>
      <c r="C2" s="1674"/>
      <c r="D2" s="1674"/>
      <c r="E2" s="1674"/>
      <c r="F2" s="1674"/>
      <c r="G2" s="1674"/>
      <c r="H2" s="1674"/>
      <c r="I2" s="1674"/>
      <c r="J2" s="1674"/>
      <c r="K2" s="1674"/>
    </row>
    <row r="3" spans="1:23" ht="13" thickBot="1" x14ac:dyDescent="0.3">
      <c r="A3" s="1675"/>
      <c r="B3" s="1675"/>
      <c r="C3" s="1675"/>
      <c r="D3" s="1675"/>
      <c r="E3" s="1675"/>
      <c r="F3" s="1675"/>
      <c r="G3" s="1675"/>
      <c r="H3" s="1675"/>
      <c r="I3" s="1675"/>
      <c r="J3" s="1675"/>
      <c r="K3" s="1675"/>
    </row>
    <row r="4" spans="1:23" ht="14" x14ac:dyDescent="0.3">
      <c r="A4" s="3" t="s">
        <v>302</v>
      </c>
      <c r="B4" s="4"/>
      <c r="C4" s="1676" t="s">
        <v>303</v>
      </c>
      <c r="D4" s="1676"/>
      <c r="E4" s="1676"/>
      <c r="F4" s="5"/>
      <c r="G4" s="1676" t="s">
        <v>304</v>
      </c>
      <c r="H4" s="1676"/>
      <c r="I4" s="1676"/>
      <c r="J4" s="5"/>
      <c r="K4" s="6" t="s">
        <v>305</v>
      </c>
      <c r="O4" s="2" t="s">
        <v>633</v>
      </c>
    </row>
    <row r="5" spans="1:23" ht="13" x14ac:dyDescent="0.3">
      <c r="A5" s="7" t="s">
        <v>869</v>
      </c>
      <c r="B5" s="8"/>
      <c r="C5" s="9" t="s">
        <v>870</v>
      </c>
      <c r="D5" s="9" t="s">
        <v>306</v>
      </c>
      <c r="E5" s="9" t="s">
        <v>307</v>
      </c>
      <c r="F5" s="9"/>
      <c r="G5" s="9" t="s">
        <v>870</v>
      </c>
      <c r="H5" s="9" t="s">
        <v>306</v>
      </c>
      <c r="I5" s="9" t="s">
        <v>307</v>
      </c>
      <c r="J5" s="9"/>
      <c r="K5" s="10" t="s">
        <v>871</v>
      </c>
      <c r="O5" s="1"/>
      <c r="P5" s="1"/>
      <c r="Q5" s="550"/>
      <c r="R5" s="550">
        <v>2005</v>
      </c>
      <c r="S5" s="550">
        <v>2007</v>
      </c>
      <c r="T5" s="550">
        <v>2005</v>
      </c>
      <c r="U5" s="550">
        <v>2007</v>
      </c>
      <c r="V5" s="549"/>
      <c r="W5" s="549"/>
    </row>
    <row r="6" spans="1:23" ht="13" x14ac:dyDescent="0.3">
      <c r="A6" s="15" t="s">
        <v>529</v>
      </c>
      <c r="B6" s="12"/>
      <c r="C6" s="13">
        <v>983</v>
      </c>
      <c r="D6" s="14">
        <f>C6/$K6*453.59</f>
        <v>20267.225909090906</v>
      </c>
      <c r="E6" s="542">
        <f>D6*1.05506/1000*2.2046</f>
        <v>47.141269049911173</v>
      </c>
      <c r="F6" s="13"/>
      <c r="G6" s="13">
        <v>1089</v>
      </c>
      <c r="H6" s="14">
        <f>G6/$K6*453.59</f>
        <v>22452.704999999998</v>
      </c>
      <c r="I6" s="542">
        <f>H6*1.05506/1000*2.2046</f>
        <v>52.224661236371581</v>
      </c>
      <c r="J6" s="13"/>
      <c r="K6" s="543">
        <v>22</v>
      </c>
      <c r="O6" s="1" t="s">
        <v>248</v>
      </c>
      <c r="P6" s="1" t="s">
        <v>1049</v>
      </c>
      <c r="Q6" s="550" t="s">
        <v>637</v>
      </c>
      <c r="R6" s="550" t="s">
        <v>636</v>
      </c>
      <c r="S6" s="550" t="s">
        <v>636</v>
      </c>
      <c r="T6" s="550" t="s">
        <v>1038</v>
      </c>
      <c r="U6" s="550" t="s">
        <v>1038</v>
      </c>
      <c r="V6" s="549"/>
      <c r="W6" s="549"/>
    </row>
    <row r="7" spans="1:23" ht="13" x14ac:dyDescent="0.25">
      <c r="A7" s="15" t="s">
        <v>872</v>
      </c>
      <c r="B7" s="16"/>
      <c r="C7" s="544">
        <v>290</v>
      </c>
      <c r="D7" s="17">
        <f t="shared" ref="D7:D40" si="0">C7/K7*453.59</f>
        <v>51682.028917177428</v>
      </c>
      <c r="E7" s="545">
        <f t="shared" ref="E7:E40" si="1">D7*1.05506/1000*2.2046</f>
        <v>120.21163829516094</v>
      </c>
      <c r="F7" s="18"/>
      <c r="G7" s="19">
        <v>343</v>
      </c>
      <c r="H7" s="17">
        <f t="shared" ref="H7:H40" si="2">G7/$K7*453.59</f>
        <v>61127.365236523648</v>
      </c>
      <c r="I7" s="545">
        <f t="shared" ref="I7:I40" si="3">H7*1.05506/1000*2.2046</f>
        <v>142.1813515008283</v>
      </c>
      <c r="J7" s="18"/>
      <c r="K7" s="546">
        <v>2.5451999999999999</v>
      </c>
      <c r="O7" t="s">
        <v>851</v>
      </c>
      <c r="P7" t="s">
        <v>638</v>
      </c>
      <c r="Q7" s="549">
        <v>930</v>
      </c>
      <c r="R7" s="549">
        <v>1027</v>
      </c>
      <c r="S7" s="549">
        <v>1030</v>
      </c>
      <c r="T7" s="549">
        <f>R7/Q7</f>
        <v>1.1043010752688172</v>
      </c>
      <c r="U7" s="549">
        <f>S7/Q7</f>
        <v>1.10752688172043</v>
      </c>
      <c r="V7" s="549"/>
      <c r="W7" s="549"/>
    </row>
    <row r="8" spans="1:23" ht="13" x14ac:dyDescent="0.25">
      <c r="A8" s="15" t="s">
        <v>873</v>
      </c>
      <c r="B8" s="16"/>
      <c r="C8" s="544">
        <v>1458</v>
      </c>
      <c r="D8" s="17">
        <f t="shared" si="0"/>
        <v>20162.628658536585</v>
      </c>
      <c r="E8" s="542">
        <f t="shared" si="1"/>
        <v>46.897977385211739</v>
      </c>
      <c r="F8" s="18"/>
      <c r="G8" s="19">
        <v>1584</v>
      </c>
      <c r="H8" s="17">
        <f t="shared" si="2"/>
        <v>21905.078048780488</v>
      </c>
      <c r="I8" s="542">
        <f t="shared" si="3"/>
        <v>50.950889011094226</v>
      </c>
      <c r="J8" s="18"/>
      <c r="K8" s="20">
        <v>32.799999999999997</v>
      </c>
      <c r="O8" t="s">
        <v>852</v>
      </c>
      <c r="P8" t="s">
        <v>638</v>
      </c>
      <c r="Q8" s="549">
        <v>930</v>
      </c>
      <c r="R8" s="549">
        <v>1027</v>
      </c>
      <c r="S8" s="549">
        <v>1030</v>
      </c>
      <c r="T8" s="549">
        <f>R8/Q8</f>
        <v>1.1043010752688172</v>
      </c>
      <c r="U8" s="549">
        <f>S8/Q8</f>
        <v>1.10752688172043</v>
      </c>
      <c r="V8" s="549"/>
      <c r="W8" s="549"/>
    </row>
    <row r="9" spans="1:23" ht="13" x14ac:dyDescent="0.25">
      <c r="A9" s="7" t="s">
        <v>308</v>
      </c>
      <c r="B9" s="8"/>
      <c r="C9" s="9" t="s">
        <v>309</v>
      </c>
      <c r="D9" s="9" t="s">
        <v>306</v>
      </c>
      <c r="E9" s="9" t="s">
        <v>307</v>
      </c>
      <c r="F9" s="9"/>
      <c r="G9" s="9" t="s">
        <v>309</v>
      </c>
      <c r="H9" s="9" t="s">
        <v>306</v>
      </c>
      <c r="I9" s="9" t="s">
        <v>307</v>
      </c>
      <c r="J9" s="9"/>
      <c r="K9" s="10" t="s">
        <v>310</v>
      </c>
      <c r="O9" t="s">
        <v>853</v>
      </c>
      <c r="P9" t="s">
        <v>638</v>
      </c>
      <c r="Q9" s="549">
        <v>930</v>
      </c>
      <c r="R9" s="549">
        <v>1027</v>
      </c>
      <c r="S9" s="549">
        <v>1030</v>
      </c>
      <c r="T9" s="549">
        <f>R9/Q9</f>
        <v>1.1043010752688172</v>
      </c>
      <c r="U9" s="549">
        <f>S9/Q9</f>
        <v>1.10752688172043</v>
      </c>
      <c r="V9" s="549"/>
      <c r="W9" s="549"/>
    </row>
    <row r="10" spans="1:23" ht="13" x14ac:dyDescent="0.25">
      <c r="A10" s="11" t="s">
        <v>874</v>
      </c>
      <c r="B10" s="16"/>
      <c r="C10" s="19">
        <v>129670</v>
      </c>
      <c r="D10" s="17">
        <f t="shared" si="0"/>
        <v>18351.642839313572</v>
      </c>
      <c r="E10" s="542">
        <f t="shared" si="1"/>
        <v>42.685651034654214</v>
      </c>
      <c r="F10" s="18"/>
      <c r="G10" s="19">
        <v>138350</v>
      </c>
      <c r="H10" s="17">
        <f t="shared" si="2"/>
        <v>19580.086271450855</v>
      </c>
      <c r="I10" s="542">
        <f t="shared" si="3"/>
        <v>45.542992370204438</v>
      </c>
      <c r="J10" s="18"/>
      <c r="K10" s="21">
        <v>3205</v>
      </c>
      <c r="O10" t="s">
        <v>928</v>
      </c>
      <c r="Q10" s="549"/>
      <c r="R10" s="549"/>
      <c r="S10" s="549"/>
      <c r="T10" s="549">
        <v>1</v>
      </c>
      <c r="U10" s="549">
        <v>1</v>
      </c>
      <c r="V10" s="549"/>
      <c r="W10" s="549"/>
    </row>
    <row r="11" spans="1:23" ht="13" x14ac:dyDescent="0.25">
      <c r="A11" s="11" t="s">
        <v>875</v>
      </c>
      <c r="B11" s="16"/>
      <c r="C11" s="19">
        <v>116090</v>
      </c>
      <c r="D11" s="17">
        <f t="shared" si="0"/>
        <v>18679.412238382403</v>
      </c>
      <c r="E11" s="542">
        <f t="shared" si="1"/>
        <v>43.448037830811678</v>
      </c>
      <c r="F11" s="18"/>
      <c r="G11" s="19">
        <v>124340</v>
      </c>
      <c r="H11" s="17">
        <f t="shared" si="2"/>
        <v>20006.874991131608</v>
      </c>
      <c r="I11" s="542">
        <f t="shared" si="3"/>
        <v>46.535696648144757</v>
      </c>
      <c r="J11" s="18"/>
      <c r="K11" s="21">
        <v>2819</v>
      </c>
      <c r="O11" t="s">
        <v>930</v>
      </c>
      <c r="Q11" s="549"/>
      <c r="R11" s="549"/>
      <c r="S11" s="549"/>
      <c r="T11" s="549">
        <v>1</v>
      </c>
      <c r="U11" s="549">
        <v>1</v>
      </c>
      <c r="V11" s="549"/>
      <c r="W11" s="549"/>
    </row>
    <row r="12" spans="1:23" ht="13" x14ac:dyDescent="0.25">
      <c r="A12" s="11" t="s">
        <v>876</v>
      </c>
      <c r="B12" s="16"/>
      <c r="C12" s="19">
        <v>113601.50975397152</v>
      </c>
      <c r="D12" s="17">
        <f t="shared" si="0"/>
        <v>18210.67343395916</v>
      </c>
      <c r="E12" s="542">
        <f t="shared" si="1"/>
        <v>42.357758273433376</v>
      </c>
      <c r="F12" s="18"/>
      <c r="G12" s="19">
        <v>121848.38036482914</v>
      </c>
      <c r="H12" s="17">
        <f t="shared" si="2"/>
        <v>19532.672304147527</v>
      </c>
      <c r="I12" s="542">
        <f t="shared" si="3"/>
        <v>45.432708180380153</v>
      </c>
      <c r="J12" s="18"/>
      <c r="K12" s="21">
        <v>2829.5773353012783</v>
      </c>
      <c r="O12" t="s">
        <v>854</v>
      </c>
      <c r="P12" t="s">
        <v>639</v>
      </c>
      <c r="Q12" s="551">
        <v>19546300</v>
      </c>
      <c r="R12" s="551">
        <v>20754000</v>
      </c>
      <c r="S12" s="551">
        <v>20231000</v>
      </c>
      <c r="T12" s="549">
        <f>R12/Q12</f>
        <v>1.0617866296946226</v>
      </c>
      <c r="U12" s="549">
        <f>S12/Q12</f>
        <v>1.0350296475547802</v>
      </c>
      <c r="V12" s="549"/>
      <c r="W12" s="549"/>
    </row>
    <row r="13" spans="1:23" ht="13" x14ac:dyDescent="0.25">
      <c r="A13" s="11" t="s">
        <v>877</v>
      </c>
      <c r="B13" s="16"/>
      <c r="C13" s="19">
        <v>113927.15396104372</v>
      </c>
      <c r="D13" s="17">
        <f t="shared" si="0"/>
        <v>18271.813278014368</v>
      </c>
      <c r="E13" s="542">
        <f t="shared" si="1"/>
        <v>42.499968650482714</v>
      </c>
      <c r="F13" s="18"/>
      <c r="G13" s="19">
        <v>122174.43408423416</v>
      </c>
      <c r="H13" s="17">
        <f t="shared" si="2"/>
        <v>19594.524828536756</v>
      </c>
      <c r="I13" s="542">
        <f t="shared" si="3"/>
        <v>45.576576241392928</v>
      </c>
      <c r="J13" s="18"/>
      <c r="K13" s="21">
        <v>2828.193183616288</v>
      </c>
      <c r="O13" t="s">
        <v>911</v>
      </c>
      <c r="P13" t="s">
        <v>640</v>
      </c>
      <c r="Q13" s="551">
        <v>128450</v>
      </c>
      <c r="R13" s="551">
        <f>5825000/42</f>
        <v>138690.47619047618</v>
      </c>
      <c r="S13" s="551">
        <f>5799000/42</f>
        <v>138071.42857142858</v>
      </c>
      <c r="T13" s="549">
        <f>R13/Q13</f>
        <v>1.0797234425105191</v>
      </c>
      <c r="U13" s="549">
        <f>S13/Q13</f>
        <v>1.0749040760718458</v>
      </c>
      <c r="V13" s="549"/>
      <c r="W13" s="549"/>
    </row>
    <row r="14" spans="1:23" ht="13" x14ac:dyDescent="0.25">
      <c r="A14" s="11" t="s">
        <v>878</v>
      </c>
      <c r="B14" s="16"/>
      <c r="C14" s="19">
        <v>128450</v>
      </c>
      <c r="D14" s="17">
        <f t="shared" si="0"/>
        <v>18397.106251973477</v>
      </c>
      <c r="E14" s="542">
        <f t="shared" si="1"/>
        <v>42.791398263097854</v>
      </c>
      <c r="F14" s="18"/>
      <c r="G14" s="19">
        <v>137380</v>
      </c>
      <c r="H14" s="17">
        <f t="shared" si="2"/>
        <v>19676.095421534574</v>
      </c>
      <c r="I14" s="542">
        <f t="shared" si="3"/>
        <v>45.766308239660439</v>
      </c>
      <c r="J14" s="18"/>
      <c r="K14" s="21">
        <v>3167</v>
      </c>
      <c r="O14" t="s">
        <v>909</v>
      </c>
      <c r="P14" t="s">
        <v>640</v>
      </c>
      <c r="Q14" s="551">
        <v>86668</v>
      </c>
      <c r="R14" s="551">
        <v>94706</v>
      </c>
      <c r="S14" s="551">
        <v>94854</v>
      </c>
      <c r="T14" s="549">
        <f>R14/Q14</f>
        <v>1.0927447270041999</v>
      </c>
      <c r="U14" s="549">
        <f>S14/Q14</f>
        <v>1.0944523930401071</v>
      </c>
      <c r="V14" s="549"/>
      <c r="W14" s="549"/>
    </row>
    <row r="15" spans="1:23" ht="13" x14ac:dyDescent="0.25">
      <c r="A15" s="11" t="s">
        <v>528</v>
      </c>
      <c r="B15" s="16"/>
      <c r="C15" s="19">
        <v>129487.84757606639</v>
      </c>
      <c r="D15" s="17">
        <f t="shared" si="0"/>
        <v>18320.147467881456</v>
      </c>
      <c r="E15" s="542">
        <f t="shared" si="1"/>
        <v>42.612393264440954</v>
      </c>
      <c r="F15" s="18"/>
      <c r="G15" s="19">
        <v>138490</v>
      </c>
      <c r="H15" s="17">
        <f t="shared" si="2"/>
        <v>19593.786369307545</v>
      </c>
      <c r="I15" s="542">
        <f t="shared" si="3"/>
        <v>45.574858596098856</v>
      </c>
      <c r="J15" s="18"/>
      <c r="K15" s="21">
        <v>3206</v>
      </c>
      <c r="O15" t="s">
        <v>855</v>
      </c>
      <c r="P15" t="s">
        <v>640</v>
      </c>
      <c r="Q15" s="551"/>
      <c r="R15" s="551"/>
      <c r="S15" s="551"/>
      <c r="T15" s="549">
        <f>$I$19/$E$19</f>
        <v>1.1388646288209607</v>
      </c>
      <c r="U15" s="549">
        <f>$I$19/$E$19</f>
        <v>1.1388646288209607</v>
      </c>
      <c r="V15" s="549"/>
      <c r="W15" s="549"/>
    </row>
    <row r="16" spans="1:23" ht="13" x14ac:dyDescent="0.25">
      <c r="A16" s="11" t="s">
        <v>879</v>
      </c>
      <c r="B16" s="16"/>
      <c r="C16" s="19">
        <v>116920</v>
      </c>
      <c r="D16" s="17">
        <f t="shared" si="0"/>
        <v>19320.124881602911</v>
      </c>
      <c r="E16" s="542">
        <f t="shared" si="1"/>
        <v>44.938326005089621</v>
      </c>
      <c r="F16" s="18"/>
      <c r="G16" s="19">
        <v>125080</v>
      </c>
      <c r="H16" s="17">
        <f t="shared" si="2"/>
        <v>20668.501712204008</v>
      </c>
      <c r="I16" s="542">
        <f t="shared" si="3"/>
        <v>48.074630659567319</v>
      </c>
      <c r="J16" s="18"/>
      <c r="K16" s="22">
        <v>2745</v>
      </c>
      <c r="O16" t="s">
        <v>914</v>
      </c>
      <c r="P16" t="s">
        <v>640</v>
      </c>
      <c r="Q16" s="551">
        <v>116090</v>
      </c>
      <c r="R16" s="551">
        <f>5194000/42</f>
        <v>123666.66666666667</v>
      </c>
      <c r="S16" s="551">
        <f>5218000/42</f>
        <v>124238.09523809524</v>
      </c>
      <c r="T16" s="549">
        <f>R16/Q16</f>
        <v>1.0652654549631033</v>
      </c>
      <c r="U16" s="549">
        <f>S16/Q16</f>
        <v>1.0701877443198831</v>
      </c>
      <c r="V16" s="549"/>
      <c r="W16" s="549"/>
    </row>
    <row r="17" spans="1:23" ht="13" x14ac:dyDescent="0.25">
      <c r="A17" s="11" t="s">
        <v>880</v>
      </c>
      <c r="B17" s="16"/>
      <c r="C17" s="19">
        <v>111520</v>
      </c>
      <c r="D17" s="17">
        <f t="shared" si="0"/>
        <v>19081.236061863448</v>
      </c>
      <c r="E17" s="542">
        <f t="shared" si="1"/>
        <v>44.382674127774621</v>
      </c>
      <c r="F17" s="18"/>
      <c r="G17" s="19">
        <v>119740</v>
      </c>
      <c r="H17" s="17">
        <f t="shared" si="2"/>
        <v>20487.69015465862</v>
      </c>
      <c r="I17" s="542">
        <f t="shared" si="3"/>
        <v>47.654065638986118</v>
      </c>
      <c r="J17" s="18"/>
      <c r="K17" s="21">
        <v>2651</v>
      </c>
      <c r="O17" t="s">
        <v>856</v>
      </c>
      <c r="P17" t="s">
        <v>639</v>
      </c>
      <c r="Q17" s="551">
        <v>16811000</v>
      </c>
      <c r="R17" s="551">
        <v>17200000</v>
      </c>
      <c r="S17" s="551">
        <v>17200000</v>
      </c>
      <c r="T17" s="549">
        <f>R17/Q17</f>
        <v>1.0231396109690083</v>
      </c>
      <c r="U17" s="549">
        <f>S17/Q17</f>
        <v>1.0231396109690083</v>
      </c>
      <c r="V17" s="549"/>
      <c r="W17" s="549"/>
    </row>
    <row r="18" spans="1:23" ht="13" x14ac:dyDescent="0.25">
      <c r="A18" s="11" t="s">
        <v>881</v>
      </c>
      <c r="B18" s="16"/>
      <c r="C18" s="19">
        <v>140352.52220119376</v>
      </c>
      <c r="D18" s="17">
        <f t="shared" si="0"/>
        <v>16967.617416108602</v>
      </c>
      <c r="E18" s="542">
        <f t="shared" si="1"/>
        <v>39.466428278669781</v>
      </c>
      <c r="F18" s="18"/>
      <c r="G18" s="19">
        <v>150110</v>
      </c>
      <c r="H18" s="17">
        <f t="shared" si="2"/>
        <v>18147.226785714287</v>
      </c>
      <c r="I18" s="542">
        <f t="shared" si="3"/>
        <v>42.210182303804245</v>
      </c>
      <c r="J18" s="18"/>
      <c r="K18" s="21">
        <v>3752</v>
      </c>
      <c r="O18" t="s">
        <v>857</v>
      </c>
      <c r="P18" t="s">
        <v>641</v>
      </c>
      <c r="Q18" s="552">
        <v>2.8300000000000001E-3</v>
      </c>
      <c r="R18" s="551"/>
      <c r="S18" s="551"/>
      <c r="T18" s="549">
        <v>1</v>
      </c>
      <c r="U18" s="549">
        <v>1</v>
      </c>
      <c r="V18" s="549"/>
      <c r="W18" s="549"/>
    </row>
    <row r="19" spans="1:23" ht="13" x14ac:dyDescent="0.25">
      <c r="A19" s="11" t="s">
        <v>311</v>
      </c>
      <c r="B19" s="23"/>
      <c r="C19" s="19">
        <v>57250</v>
      </c>
      <c r="D19" s="17">
        <f t="shared" si="0"/>
        <v>8638.7317032601459</v>
      </c>
      <c r="E19" s="542">
        <f t="shared" si="1"/>
        <v>20.093562745097504</v>
      </c>
      <c r="F19" s="18"/>
      <c r="G19" s="19">
        <v>65200</v>
      </c>
      <c r="H19" s="17">
        <f t="shared" si="2"/>
        <v>9838.345974717231</v>
      </c>
      <c r="I19" s="542">
        <f t="shared" si="3"/>
        <v>22.883847877386152</v>
      </c>
      <c r="J19" s="18"/>
      <c r="K19" s="22">
        <v>3006</v>
      </c>
      <c r="Q19" s="549"/>
      <c r="R19" s="549"/>
      <c r="S19" s="549"/>
      <c r="T19" s="549"/>
      <c r="U19" s="549"/>
      <c r="V19" s="549"/>
      <c r="W19" s="549"/>
    </row>
    <row r="20" spans="1:23" ht="13" x14ac:dyDescent="0.25">
      <c r="A20" s="11" t="s">
        <v>312</v>
      </c>
      <c r="B20" s="23"/>
      <c r="C20" s="19">
        <v>76330</v>
      </c>
      <c r="D20" s="17">
        <f t="shared" si="0"/>
        <v>11587.19032797858</v>
      </c>
      <c r="E20" s="542">
        <f t="shared" si="1"/>
        <v>26.95163409308779</v>
      </c>
      <c r="F20" s="18"/>
      <c r="G20" s="19">
        <v>84530</v>
      </c>
      <c r="H20" s="17">
        <f t="shared" si="2"/>
        <v>12831.982161981257</v>
      </c>
      <c r="I20" s="542">
        <f t="shared" si="3"/>
        <v>29.847001570663057</v>
      </c>
      <c r="J20" s="18"/>
      <c r="K20" s="22">
        <v>2988</v>
      </c>
      <c r="Q20" s="549"/>
      <c r="R20" s="549"/>
      <c r="S20" s="549"/>
      <c r="T20" s="549"/>
      <c r="U20" s="549"/>
      <c r="V20" s="549"/>
      <c r="W20" s="549"/>
    </row>
    <row r="21" spans="1:23" ht="13" x14ac:dyDescent="0.25">
      <c r="A21" s="11" t="s">
        <v>966</v>
      </c>
      <c r="B21" s="23"/>
      <c r="C21" s="19">
        <v>99837</v>
      </c>
      <c r="D21" s="17">
        <f t="shared" si="0"/>
        <v>14774.898802610114</v>
      </c>
      <c r="E21" s="542">
        <f t="shared" si="1"/>
        <v>34.366197069261162</v>
      </c>
      <c r="F21" s="18"/>
      <c r="G21" s="19">
        <v>108458</v>
      </c>
      <c r="H21" s="17">
        <f t="shared" si="2"/>
        <v>16050.722420880913</v>
      </c>
      <c r="I21" s="542">
        <f t="shared" si="3"/>
        <v>37.33374402013208</v>
      </c>
      <c r="J21" s="18"/>
      <c r="K21" s="22">
        <v>3065</v>
      </c>
      <c r="Q21" s="549"/>
      <c r="R21" s="549"/>
      <c r="S21" s="549"/>
      <c r="T21" s="549"/>
      <c r="U21" s="549"/>
      <c r="V21" s="549"/>
      <c r="W21" s="549"/>
    </row>
    <row r="22" spans="1:23" ht="13" x14ac:dyDescent="0.25">
      <c r="A22" s="11" t="s">
        <v>967</v>
      </c>
      <c r="B22" s="23"/>
      <c r="C22" s="19">
        <v>83127</v>
      </c>
      <c r="D22" s="17">
        <f t="shared" si="0"/>
        <v>12721.179463562754</v>
      </c>
      <c r="E22" s="542">
        <f t="shared" si="1"/>
        <v>29.589276125600549</v>
      </c>
      <c r="F22" s="18"/>
      <c r="G22" s="19">
        <v>89511</v>
      </c>
      <c r="H22" s="17">
        <f t="shared" si="2"/>
        <v>13698.142540485829</v>
      </c>
      <c r="I22" s="542">
        <f t="shared" si="3"/>
        <v>31.861677857719279</v>
      </c>
      <c r="J22" s="18"/>
      <c r="K22" s="22">
        <v>2964</v>
      </c>
      <c r="Q22" s="549"/>
      <c r="R22" s="549"/>
      <c r="S22" s="549"/>
      <c r="T22" s="549"/>
      <c r="U22" s="549"/>
      <c r="V22" s="549"/>
      <c r="W22" s="549"/>
    </row>
    <row r="23" spans="1:23" ht="13" x14ac:dyDescent="0.25">
      <c r="A23" s="11" t="s">
        <v>882</v>
      </c>
      <c r="B23" s="23"/>
      <c r="C23" s="19">
        <v>116090</v>
      </c>
      <c r="D23" s="17">
        <f t="shared" si="0"/>
        <v>18679.412238382403</v>
      </c>
      <c r="E23" s="542">
        <f t="shared" si="1"/>
        <v>43.448037830811678</v>
      </c>
      <c r="F23" s="18"/>
      <c r="G23" s="19">
        <v>124340</v>
      </c>
      <c r="H23" s="17">
        <f t="shared" si="2"/>
        <v>20006.874991131608</v>
      </c>
      <c r="I23" s="542">
        <f t="shared" si="3"/>
        <v>46.535696648144757</v>
      </c>
      <c r="J23" s="18"/>
      <c r="K23" s="22">
        <v>2819</v>
      </c>
      <c r="Q23" s="549"/>
      <c r="R23" s="549"/>
      <c r="S23" s="549"/>
      <c r="T23" s="549"/>
      <c r="U23" s="549"/>
      <c r="V23" s="549"/>
      <c r="W23" s="549"/>
    </row>
    <row r="24" spans="1:23" ht="13" x14ac:dyDescent="0.25">
      <c r="A24" s="11" t="s">
        <v>883</v>
      </c>
      <c r="B24" s="23"/>
      <c r="C24" s="19">
        <v>84950</v>
      </c>
      <c r="D24" s="17">
        <f t="shared" si="0"/>
        <v>20037.686167446696</v>
      </c>
      <c r="E24" s="542">
        <f t="shared" si="1"/>
        <v>46.607362990589891</v>
      </c>
      <c r="F24" s="18"/>
      <c r="G24" s="19">
        <v>91410</v>
      </c>
      <c r="H24" s="17">
        <f t="shared" si="2"/>
        <v>21561.446645865835</v>
      </c>
      <c r="I24" s="542">
        <f t="shared" si="3"/>
        <v>50.151607427543532</v>
      </c>
      <c r="J24" s="18"/>
      <c r="K24" s="22">
        <v>1923</v>
      </c>
      <c r="Q24" s="549"/>
      <c r="R24" s="549"/>
      <c r="S24" s="549"/>
      <c r="T24" s="549"/>
      <c r="U24" s="549"/>
      <c r="V24" s="549"/>
      <c r="W24" s="549"/>
    </row>
    <row r="25" spans="1:23" ht="13" x14ac:dyDescent="0.25">
      <c r="A25" s="11" t="s">
        <v>884</v>
      </c>
      <c r="B25" s="23"/>
      <c r="C25" s="19">
        <v>74720</v>
      </c>
      <c r="D25" s="17">
        <f t="shared" si="0"/>
        <v>20908.23244910549</v>
      </c>
      <c r="E25" s="542">
        <f t="shared" si="1"/>
        <v>48.632240823804793</v>
      </c>
      <c r="F25" s="18"/>
      <c r="G25" s="19">
        <v>84820</v>
      </c>
      <c r="H25" s="17">
        <f t="shared" si="2"/>
        <v>23734.425539790249</v>
      </c>
      <c r="I25" s="542">
        <f t="shared" si="3"/>
        <v>55.205924339870478</v>
      </c>
      <c r="J25" s="18"/>
      <c r="K25" s="22">
        <v>1621</v>
      </c>
      <c r="Q25" s="549"/>
      <c r="R25" s="549"/>
      <c r="S25" s="549"/>
      <c r="T25" s="549"/>
      <c r="U25" s="549"/>
      <c r="V25" s="549"/>
      <c r="W25" s="549"/>
    </row>
    <row r="26" spans="1:23" ht="13" x14ac:dyDescent="0.25">
      <c r="A26" s="11" t="s">
        <v>885</v>
      </c>
      <c r="B26" s="23"/>
      <c r="C26" s="19">
        <v>68930</v>
      </c>
      <c r="D26" s="17">
        <f t="shared" si="0"/>
        <v>12416.981215250198</v>
      </c>
      <c r="E26" s="542">
        <f t="shared" si="1"/>
        <v>28.881715479040551</v>
      </c>
      <c r="F26" s="18"/>
      <c r="G26" s="19">
        <v>75610</v>
      </c>
      <c r="H26" s="17">
        <f t="shared" si="2"/>
        <v>13620.3097299444</v>
      </c>
      <c r="I26" s="542">
        <f t="shared" si="3"/>
        <v>31.680639886410216</v>
      </c>
      <c r="J26" s="18"/>
      <c r="K26" s="22">
        <v>2518</v>
      </c>
      <c r="Q26" s="549"/>
      <c r="R26" s="549"/>
      <c r="S26" s="549"/>
      <c r="T26" s="549"/>
      <c r="U26" s="549"/>
      <c r="V26" s="549"/>
      <c r="W26" s="549"/>
    </row>
    <row r="27" spans="1:23" ht="13" x14ac:dyDescent="0.25">
      <c r="A27" s="11" t="s">
        <v>886</v>
      </c>
      <c r="B27" s="23"/>
      <c r="C27" s="19">
        <v>72200</v>
      </c>
      <c r="D27" s="17">
        <f t="shared" si="0"/>
        <v>10061.197542242702</v>
      </c>
      <c r="E27" s="542">
        <f t="shared" si="1"/>
        <v>23.402197342183918</v>
      </c>
      <c r="F27" s="18"/>
      <c r="G27" s="19">
        <v>79196.89540113158</v>
      </c>
      <c r="H27" s="17">
        <f t="shared" si="2"/>
        <v>11036.227276497471</v>
      </c>
      <c r="I27" s="542">
        <f t="shared" si="3"/>
        <v>25.670102147722705</v>
      </c>
      <c r="J27" s="18"/>
      <c r="K27" s="22">
        <v>3255</v>
      </c>
      <c r="Q27" s="549"/>
      <c r="R27" s="549"/>
      <c r="S27" s="549"/>
      <c r="T27" s="549"/>
      <c r="U27" s="549"/>
      <c r="V27" s="549"/>
      <c r="W27" s="549"/>
    </row>
    <row r="28" spans="1:23" ht="13" x14ac:dyDescent="0.25">
      <c r="A28" s="11" t="s">
        <v>887</v>
      </c>
      <c r="B28" s="23"/>
      <c r="C28" s="19">
        <v>119550</v>
      </c>
      <c r="D28" s="17">
        <f t="shared" si="0"/>
        <v>16134.09238321928</v>
      </c>
      <c r="E28" s="542">
        <f t="shared" si="1"/>
        <v>37.527661324991804</v>
      </c>
      <c r="F28" s="18"/>
      <c r="G28" s="19">
        <v>127960</v>
      </c>
      <c r="H28" s="17">
        <f t="shared" si="2"/>
        <v>17269.079559654863</v>
      </c>
      <c r="I28" s="542">
        <f t="shared" si="3"/>
        <v>40.167624785829787</v>
      </c>
      <c r="J28" s="18"/>
      <c r="K28" s="22">
        <v>3361</v>
      </c>
      <c r="Q28" s="549"/>
      <c r="R28" s="549"/>
      <c r="S28" s="549"/>
      <c r="T28" s="549"/>
      <c r="U28" s="549"/>
      <c r="V28" s="549"/>
      <c r="W28" s="549"/>
    </row>
    <row r="29" spans="1:23" ht="13" x14ac:dyDescent="0.25">
      <c r="A29" s="11" t="s">
        <v>888</v>
      </c>
      <c r="B29" s="23"/>
      <c r="C29" s="19">
        <v>123670</v>
      </c>
      <c r="D29" s="17">
        <f t="shared" si="0"/>
        <v>18593.130692741131</v>
      </c>
      <c r="E29" s="542">
        <f t="shared" si="1"/>
        <v>43.247348226059557</v>
      </c>
      <c r="F29" s="18"/>
      <c r="G29" s="19">
        <v>130030</v>
      </c>
      <c r="H29" s="17">
        <f t="shared" si="2"/>
        <v>19549.323069274113</v>
      </c>
      <c r="I29" s="542">
        <f t="shared" si="3"/>
        <v>45.471437614898726</v>
      </c>
      <c r="J29" s="18"/>
      <c r="K29" s="22">
        <v>3017</v>
      </c>
      <c r="Q29" s="549"/>
      <c r="R29" s="549"/>
      <c r="S29" s="549"/>
      <c r="T29" s="549"/>
      <c r="U29" s="549"/>
      <c r="V29" s="549"/>
      <c r="W29" s="549"/>
    </row>
    <row r="30" spans="1:23" ht="13" x14ac:dyDescent="0.25">
      <c r="A30" s="11" t="s">
        <v>968</v>
      </c>
      <c r="B30" s="23"/>
      <c r="C30" s="19">
        <v>117059</v>
      </c>
      <c r="D30" s="17">
        <f t="shared" si="0"/>
        <v>18729.027093474426</v>
      </c>
      <c r="E30" s="542">
        <f t="shared" si="1"/>
        <v>43.563441253226593</v>
      </c>
      <c r="F30" s="18"/>
      <c r="G30" s="19">
        <v>125294</v>
      </c>
      <c r="H30" s="17">
        <f t="shared" si="2"/>
        <v>20046.598045855379</v>
      </c>
      <c r="I30" s="542">
        <f t="shared" si="3"/>
        <v>46.628091888549989</v>
      </c>
      <c r="J30" s="18"/>
      <c r="K30" s="22">
        <v>2835</v>
      </c>
      <c r="Q30" s="549"/>
      <c r="R30" s="549"/>
      <c r="S30" s="549"/>
      <c r="T30" s="549"/>
      <c r="U30" s="549"/>
      <c r="V30" s="549"/>
      <c r="W30" s="549"/>
    </row>
    <row r="31" spans="1:23" ht="13" x14ac:dyDescent="0.25">
      <c r="A31" s="11" t="s">
        <v>969</v>
      </c>
      <c r="B31" s="23"/>
      <c r="C31" s="19">
        <v>122887</v>
      </c>
      <c r="D31" s="17">
        <f t="shared" si="0"/>
        <v>18907.840681818183</v>
      </c>
      <c r="E31" s="542">
        <f t="shared" si="1"/>
        <v>43.979359026862895</v>
      </c>
      <c r="F31" s="18"/>
      <c r="G31" s="19">
        <v>130817</v>
      </c>
      <c r="H31" s="17">
        <f t="shared" si="2"/>
        <v>20127.979318181817</v>
      </c>
      <c r="I31" s="542">
        <f t="shared" si="3"/>
        <v>46.817383529723436</v>
      </c>
      <c r="J31" s="18"/>
      <c r="K31" s="22">
        <v>2948</v>
      </c>
      <c r="Q31" s="549"/>
      <c r="R31" s="549"/>
      <c r="S31" s="549"/>
      <c r="T31" s="549"/>
      <c r="U31" s="549"/>
      <c r="V31" s="549"/>
      <c r="W31" s="549"/>
    </row>
    <row r="32" spans="1:23" ht="13" x14ac:dyDescent="0.25">
      <c r="A32" s="11" t="s">
        <v>970</v>
      </c>
      <c r="B32" s="23"/>
      <c r="C32" s="19">
        <v>115983</v>
      </c>
      <c r="D32" s="17">
        <f t="shared" si="0"/>
        <v>18589.656879858656</v>
      </c>
      <c r="E32" s="542">
        <f t="shared" si="1"/>
        <v>43.23926818844334</v>
      </c>
      <c r="F32" s="18"/>
      <c r="G32" s="19">
        <v>124230</v>
      </c>
      <c r="H32" s="17">
        <f t="shared" si="2"/>
        <v>19911.479045936394</v>
      </c>
      <c r="I32" s="542">
        <f t="shared" si="3"/>
        <v>46.313807084230582</v>
      </c>
      <c r="J32" s="18"/>
      <c r="K32" s="22">
        <v>2830</v>
      </c>
      <c r="Q32" s="549"/>
      <c r="R32" s="549"/>
      <c r="S32" s="549"/>
      <c r="T32" s="549"/>
      <c r="U32" s="549"/>
      <c r="V32" s="549"/>
      <c r="W32" s="549"/>
    </row>
    <row r="33" spans="1:23" ht="13" x14ac:dyDescent="0.25">
      <c r="A33" s="11" t="s">
        <v>889</v>
      </c>
      <c r="B33" s="23"/>
      <c r="C33" s="19">
        <v>30500</v>
      </c>
      <c r="D33" s="17">
        <f t="shared" si="0"/>
        <v>51621.249999999993</v>
      </c>
      <c r="E33" s="545">
        <f t="shared" si="1"/>
        <v>120.070267428715</v>
      </c>
      <c r="F33" s="18"/>
      <c r="G33" s="19">
        <v>36020</v>
      </c>
      <c r="H33" s="17">
        <f t="shared" si="2"/>
        <v>60963.849999999991</v>
      </c>
      <c r="I33" s="545">
        <f t="shared" si="3"/>
        <v>141.80101746827262</v>
      </c>
      <c r="J33" s="18"/>
      <c r="K33" s="22">
        <v>268</v>
      </c>
      <c r="Q33" s="549"/>
      <c r="R33" s="549"/>
      <c r="S33" s="549"/>
      <c r="T33" s="549"/>
      <c r="U33" s="549"/>
      <c r="V33" s="549"/>
      <c r="W33" s="549"/>
    </row>
    <row r="34" spans="1:23" ht="13" x14ac:dyDescent="0.25">
      <c r="A34" s="11" t="s">
        <v>890</v>
      </c>
      <c r="B34" s="23"/>
      <c r="C34" s="19">
        <v>93540</v>
      </c>
      <c r="D34" s="17">
        <f t="shared" si="0"/>
        <v>15093.848665955175</v>
      </c>
      <c r="E34" s="542">
        <f t="shared" si="1"/>
        <v>35.108069755183983</v>
      </c>
      <c r="F34" s="18"/>
      <c r="G34" s="19">
        <v>101130</v>
      </c>
      <c r="H34" s="17">
        <f t="shared" si="2"/>
        <v>16318.59007470651</v>
      </c>
      <c r="I34" s="542">
        <f t="shared" si="3"/>
        <v>37.95680023884708</v>
      </c>
      <c r="J34" s="18"/>
      <c r="K34" s="22">
        <v>2811</v>
      </c>
      <c r="Q34" s="549"/>
      <c r="R34" s="549"/>
      <c r="S34" s="549"/>
      <c r="T34" s="549"/>
      <c r="U34" s="549"/>
      <c r="V34" s="549"/>
      <c r="W34" s="549"/>
    </row>
    <row r="35" spans="1:23" ht="13" x14ac:dyDescent="0.25">
      <c r="A35" s="11" t="s">
        <v>891</v>
      </c>
      <c r="B35" s="16"/>
      <c r="C35" s="19">
        <v>96720</v>
      </c>
      <c r="D35" s="17">
        <f t="shared" si="0"/>
        <v>15612.535516014234</v>
      </c>
      <c r="E35" s="542">
        <f t="shared" si="1"/>
        <v>36.314527731276172</v>
      </c>
      <c r="F35" s="18"/>
      <c r="G35" s="19">
        <v>104530</v>
      </c>
      <c r="H35" s="17">
        <f t="shared" si="2"/>
        <v>16873.225160142349</v>
      </c>
      <c r="I35" s="542">
        <f t="shared" si="3"/>
        <v>39.246873281123854</v>
      </c>
      <c r="J35" s="18"/>
      <c r="K35" s="21">
        <v>2810</v>
      </c>
      <c r="Q35" s="549"/>
      <c r="R35" s="549"/>
      <c r="S35" s="549"/>
      <c r="T35" s="549"/>
      <c r="U35" s="549"/>
      <c r="V35" s="549"/>
      <c r="W35" s="549"/>
    </row>
    <row r="36" spans="1:23" ht="13" x14ac:dyDescent="0.25">
      <c r="A36" s="11" t="s">
        <v>892</v>
      </c>
      <c r="B36" s="16"/>
      <c r="C36" s="19">
        <v>100480</v>
      </c>
      <c r="D36" s="17">
        <f t="shared" si="0"/>
        <v>15645.974322004806</v>
      </c>
      <c r="E36" s="542">
        <f t="shared" si="1"/>
        <v>36.392305901657274</v>
      </c>
      <c r="F36" s="18"/>
      <c r="G36" s="19">
        <v>108570</v>
      </c>
      <c r="H36" s="17">
        <f t="shared" si="2"/>
        <v>16905.687023686918</v>
      </c>
      <c r="I36" s="542">
        <f t="shared" si="3"/>
        <v>39.322379097760042</v>
      </c>
      <c r="J36" s="18"/>
      <c r="K36" s="21">
        <v>2913</v>
      </c>
      <c r="Q36" s="549"/>
      <c r="R36" s="549"/>
      <c r="S36" s="549"/>
      <c r="T36" s="549"/>
      <c r="U36" s="549"/>
      <c r="V36" s="549"/>
      <c r="W36" s="549"/>
    </row>
    <row r="37" spans="1:23" ht="13" x14ac:dyDescent="0.25">
      <c r="A37" s="11" t="s">
        <v>893</v>
      </c>
      <c r="B37" s="16"/>
      <c r="C37" s="19">
        <v>94970</v>
      </c>
      <c r="D37" s="17">
        <f t="shared" si="0"/>
        <v>19465.631405332126</v>
      </c>
      <c r="E37" s="542">
        <f t="shared" si="1"/>
        <v>45.27677203684572</v>
      </c>
      <c r="F37" s="18"/>
      <c r="G37" s="19">
        <v>103220</v>
      </c>
      <c r="H37" s="17">
        <f t="shared" si="2"/>
        <v>21156.601807501127</v>
      </c>
      <c r="I37" s="542">
        <f t="shared" si="3"/>
        <v>49.209944294442614</v>
      </c>
      <c r="J37" s="18"/>
      <c r="K37" s="21">
        <v>2213</v>
      </c>
      <c r="Q37" s="549"/>
      <c r="R37" s="549"/>
      <c r="S37" s="549"/>
      <c r="T37" s="549"/>
      <c r="U37" s="549"/>
      <c r="V37" s="549"/>
      <c r="W37" s="549"/>
    </row>
    <row r="38" spans="1:23" ht="13" x14ac:dyDescent="0.25">
      <c r="A38" s="11" t="s">
        <v>894</v>
      </c>
      <c r="B38" s="16"/>
      <c r="C38" s="19">
        <v>90060</v>
      </c>
      <c r="D38" s="17">
        <f t="shared" si="0"/>
        <v>19287.212181303115</v>
      </c>
      <c r="E38" s="542">
        <f t="shared" si="1"/>
        <v>44.861771548798892</v>
      </c>
      <c r="F38" s="18"/>
      <c r="G38" s="19">
        <v>98560</v>
      </c>
      <c r="H38" s="17">
        <f t="shared" si="2"/>
        <v>21107.568649669498</v>
      </c>
      <c r="I38" s="542">
        <f t="shared" si="3"/>
        <v>49.095893891290459</v>
      </c>
      <c r="J38" s="18"/>
      <c r="K38" s="21">
        <v>2118</v>
      </c>
      <c r="Q38" s="549"/>
      <c r="R38" s="549"/>
      <c r="S38" s="549"/>
      <c r="T38" s="549"/>
      <c r="U38" s="549"/>
      <c r="V38" s="549"/>
      <c r="W38" s="549"/>
    </row>
    <row r="39" spans="1:23" ht="13" x14ac:dyDescent="0.25">
      <c r="A39" s="11" t="s">
        <v>895</v>
      </c>
      <c r="B39" s="16"/>
      <c r="C39" s="19">
        <v>95720</v>
      </c>
      <c r="D39" s="17">
        <f t="shared" si="0"/>
        <v>19271.031868619615</v>
      </c>
      <c r="E39" s="542">
        <f t="shared" si="1"/>
        <v>44.824136379735997</v>
      </c>
      <c r="F39" s="18"/>
      <c r="G39" s="19">
        <v>103010</v>
      </c>
      <c r="H39" s="17">
        <f t="shared" si="2"/>
        <v>20738.706569019083</v>
      </c>
      <c r="I39" s="542">
        <f t="shared" si="3"/>
        <v>48.237926122822877</v>
      </c>
      <c r="J39" s="18"/>
      <c r="K39" s="21">
        <v>2253</v>
      </c>
      <c r="Q39" s="549"/>
      <c r="R39" s="549"/>
      <c r="S39" s="549"/>
      <c r="T39" s="549"/>
      <c r="U39" s="549"/>
      <c r="V39" s="549"/>
      <c r="W39" s="549"/>
    </row>
    <row r="40" spans="1:23" ht="13" x14ac:dyDescent="0.25">
      <c r="A40" s="11" t="s">
        <v>313</v>
      </c>
      <c r="B40" s="16"/>
      <c r="C40" s="19">
        <v>84250</v>
      </c>
      <c r="D40" s="17">
        <f t="shared" si="0"/>
        <v>19903.623697916668</v>
      </c>
      <c r="E40" s="542">
        <f t="shared" si="1"/>
        <v>46.295535660398848</v>
      </c>
      <c r="F40" s="18"/>
      <c r="G40" s="19">
        <v>91420</v>
      </c>
      <c r="H40" s="17">
        <f t="shared" si="2"/>
        <v>21597.498854166668</v>
      </c>
      <c r="I40" s="542">
        <f t="shared" si="3"/>
        <v>50.235464333218552</v>
      </c>
      <c r="J40" s="18"/>
      <c r="K40" s="21">
        <v>1920</v>
      </c>
      <c r="Q40" s="549"/>
      <c r="R40" s="549"/>
      <c r="S40" s="549"/>
      <c r="T40" s="549"/>
      <c r="U40" s="549"/>
      <c r="V40" s="549"/>
      <c r="W40" s="549"/>
    </row>
    <row r="41" spans="1:23" ht="13" x14ac:dyDescent="0.25">
      <c r="A41" s="7" t="s">
        <v>314</v>
      </c>
      <c r="B41" s="8"/>
      <c r="C41" s="9" t="s">
        <v>315</v>
      </c>
      <c r="D41" s="9" t="s">
        <v>316</v>
      </c>
      <c r="E41" s="9" t="s">
        <v>307</v>
      </c>
      <c r="F41" s="9"/>
      <c r="G41" s="9" t="s">
        <v>315</v>
      </c>
      <c r="H41" s="9" t="s">
        <v>316</v>
      </c>
      <c r="I41" s="9" t="s">
        <v>307</v>
      </c>
      <c r="J41" s="9"/>
      <c r="K41" s="10"/>
      <c r="Q41" s="549"/>
      <c r="R41" s="549"/>
      <c r="S41" s="549"/>
      <c r="T41" s="549"/>
      <c r="U41" s="549"/>
      <c r="V41" s="549"/>
      <c r="W41" s="549"/>
    </row>
    <row r="42" spans="1:23" ht="13" x14ac:dyDescent="0.25">
      <c r="A42" s="15" t="s">
        <v>896</v>
      </c>
      <c r="B42" s="16"/>
      <c r="C42" s="24">
        <v>19546300</v>
      </c>
      <c r="D42" s="17">
        <f t="shared" ref="D42:D50" si="4">C42/2000</f>
        <v>9773.15</v>
      </c>
      <c r="E42" s="542">
        <f t="shared" ref="E42:E50" si="5">D42*1.05506/1000*2.2046</f>
        <v>22.7322030001394</v>
      </c>
      <c r="F42" s="18"/>
      <c r="G42" s="19">
        <v>20608570</v>
      </c>
      <c r="H42" s="17">
        <f>G42/2000</f>
        <v>10304.285</v>
      </c>
      <c r="I42" s="542">
        <f t="shared" ref="I42:I50" si="6">H42*1.05506/1000*2.2046</f>
        <v>23.967615189707661</v>
      </c>
      <c r="J42" s="18"/>
      <c r="K42" s="22"/>
      <c r="Q42" s="549"/>
      <c r="R42" s="549"/>
      <c r="S42" s="549"/>
      <c r="T42" s="549"/>
      <c r="U42" s="549"/>
      <c r="V42" s="549"/>
      <c r="W42" s="549"/>
    </row>
    <row r="43" spans="1:23" ht="13" x14ac:dyDescent="0.25">
      <c r="A43" s="15" t="s">
        <v>897</v>
      </c>
      <c r="B43" s="16"/>
      <c r="C43" s="24">
        <v>22460600</v>
      </c>
      <c r="D43" s="17">
        <f t="shared" si="4"/>
        <v>11230.3</v>
      </c>
      <c r="E43" s="542">
        <f t="shared" si="5"/>
        <v>26.121512445062798</v>
      </c>
      <c r="F43" s="18"/>
      <c r="G43" s="19">
        <v>23445900</v>
      </c>
      <c r="H43" s="17">
        <f t="shared" ref="H43:H50" si="7">G43/2000</f>
        <v>11722.95</v>
      </c>
      <c r="I43" s="542">
        <f t="shared" si="6"/>
        <v>27.267409091284208</v>
      </c>
      <c r="J43" s="18"/>
      <c r="K43" s="22"/>
      <c r="Q43" s="549"/>
      <c r="R43" s="549"/>
      <c r="S43" s="549"/>
      <c r="T43" s="549"/>
      <c r="U43" s="549"/>
      <c r="V43" s="549"/>
      <c r="W43" s="549"/>
    </row>
    <row r="44" spans="1:23" ht="13" x14ac:dyDescent="0.25">
      <c r="A44" s="11" t="s">
        <v>898</v>
      </c>
      <c r="B44" s="12"/>
      <c r="C44" s="24">
        <v>24600497.144575384</v>
      </c>
      <c r="D44" s="17">
        <f t="shared" si="4"/>
        <v>12300.248572287692</v>
      </c>
      <c r="E44" s="542">
        <f t="shared" si="5"/>
        <v>28.610197070281195</v>
      </c>
      <c r="F44" s="18"/>
      <c r="G44" s="19">
        <v>25679670</v>
      </c>
      <c r="H44" s="17">
        <f t="shared" si="7"/>
        <v>12839.834999999999</v>
      </c>
      <c r="I44" s="542">
        <f t="shared" si="6"/>
        <v>29.865267156269461</v>
      </c>
      <c r="J44" s="18"/>
      <c r="K44" s="22"/>
    </row>
    <row r="45" spans="1:23" ht="13" x14ac:dyDescent="0.25">
      <c r="A45" s="15" t="s">
        <v>899</v>
      </c>
      <c r="B45" s="16"/>
      <c r="C45" s="24">
        <v>16811000</v>
      </c>
      <c r="D45" s="17">
        <f t="shared" si="4"/>
        <v>8405.5</v>
      </c>
      <c r="E45" s="542">
        <f t="shared" si="5"/>
        <v>19.551069237418005</v>
      </c>
      <c r="F45" s="18"/>
      <c r="G45" s="19">
        <v>17703170</v>
      </c>
      <c r="H45" s="17">
        <f t="shared" si="7"/>
        <v>8851.5849999999991</v>
      </c>
      <c r="I45" s="542">
        <f t="shared" si="6"/>
        <v>20.588656379262464</v>
      </c>
      <c r="J45" s="18"/>
      <c r="K45" s="22"/>
    </row>
    <row r="46" spans="1:23" ht="13" x14ac:dyDescent="0.25">
      <c r="A46" s="15" t="s">
        <v>900</v>
      </c>
      <c r="B46" s="16"/>
      <c r="C46" s="24">
        <v>14797554.763920812</v>
      </c>
      <c r="D46" s="17">
        <f t="shared" si="4"/>
        <v>7398.7773819604063</v>
      </c>
      <c r="E46" s="542">
        <f t="shared" si="5"/>
        <v>17.209447250841734</v>
      </c>
      <c r="F46" s="18"/>
      <c r="G46" s="19">
        <v>15582870</v>
      </c>
      <c r="H46" s="17">
        <f t="shared" si="7"/>
        <v>7791.4350000000004</v>
      </c>
      <c r="I46" s="542">
        <f t="shared" si="6"/>
        <v>18.122763088911064</v>
      </c>
      <c r="J46" s="18"/>
      <c r="K46" s="22"/>
    </row>
    <row r="47" spans="1:23" ht="13" x14ac:dyDescent="0.25">
      <c r="A47" s="15" t="s">
        <v>901</v>
      </c>
      <c r="B47" s="16"/>
      <c r="C47" s="24">
        <v>14075990</v>
      </c>
      <c r="D47" s="17">
        <f t="shared" si="4"/>
        <v>7037.9949999999999</v>
      </c>
      <c r="E47" s="542">
        <f t="shared" si="5"/>
        <v>16.370272742561625</v>
      </c>
      <c r="F47" s="18"/>
      <c r="G47" s="19">
        <v>14974460</v>
      </c>
      <c r="H47" s="17">
        <f t="shared" si="7"/>
        <v>7487.23</v>
      </c>
      <c r="I47" s="542">
        <f t="shared" si="6"/>
        <v>17.415186738025483</v>
      </c>
      <c r="J47" s="18"/>
      <c r="K47" s="22"/>
    </row>
    <row r="48" spans="1:23" ht="13" x14ac:dyDescent="0.25">
      <c r="A48" s="15" t="s">
        <v>902</v>
      </c>
      <c r="B48" s="16"/>
      <c r="C48" s="24">
        <v>13243490</v>
      </c>
      <c r="D48" s="17">
        <f t="shared" si="4"/>
        <v>6621.7449999999999</v>
      </c>
      <c r="E48" s="542">
        <f t="shared" si="5"/>
        <v>15.40208137142662</v>
      </c>
      <c r="F48" s="18"/>
      <c r="G48" s="19">
        <v>14164160</v>
      </c>
      <c r="H48" s="17">
        <f t="shared" si="7"/>
        <v>7082.08</v>
      </c>
      <c r="I48" s="542">
        <f t="shared" si="6"/>
        <v>16.472813803454081</v>
      </c>
      <c r="J48" s="18"/>
      <c r="K48" s="22"/>
    </row>
    <row r="49" spans="1:11" ht="13" x14ac:dyDescent="0.25">
      <c r="A49" s="15" t="s">
        <v>971</v>
      </c>
      <c r="B49" s="16"/>
      <c r="C49" s="24">
        <v>12947318</v>
      </c>
      <c r="D49" s="17">
        <f t="shared" si="4"/>
        <v>6473.6589999999997</v>
      </c>
      <c r="E49" s="542">
        <f t="shared" si="5"/>
        <v>15.057635515844886</v>
      </c>
      <c r="F49" s="18"/>
      <c r="G49" s="19">
        <v>14062678</v>
      </c>
      <c r="H49" s="17">
        <f t="shared" si="7"/>
        <v>7031.3389999999999</v>
      </c>
      <c r="I49" s="542">
        <f t="shared" si="6"/>
        <v>16.354790984564566</v>
      </c>
      <c r="J49" s="18"/>
      <c r="K49" s="22"/>
    </row>
    <row r="50" spans="1:11" ht="13" x14ac:dyDescent="0.25">
      <c r="A50" s="15" t="s">
        <v>972</v>
      </c>
      <c r="B50" s="16"/>
      <c r="C50" s="24">
        <v>25370000</v>
      </c>
      <c r="D50" s="17">
        <f t="shared" si="4"/>
        <v>12685</v>
      </c>
      <c r="E50" s="542">
        <f t="shared" si="5"/>
        <v>29.505123226060004</v>
      </c>
      <c r="F50" s="18"/>
      <c r="G50" s="19">
        <v>26920000</v>
      </c>
      <c r="H50" s="17">
        <f t="shared" si="7"/>
        <v>13460</v>
      </c>
      <c r="I50" s="542">
        <f t="shared" si="6"/>
        <v>31.307761814960006</v>
      </c>
      <c r="J50" s="18"/>
      <c r="K50" s="22"/>
    </row>
    <row r="51" spans="1:11" ht="13" x14ac:dyDescent="0.25">
      <c r="A51" s="1665" t="s">
        <v>317</v>
      </c>
      <c r="B51" s="1666"/>
      <c r="C51" s="1666"/>
      <c r="D51" s="1666"/>
      <c r="E51" s="1666"/>
      <c r="F51" s="1666"/>
      <c r="G51" s="1666"/>
      <c r="H51" s="1666"/>
      <c r="I51" s="1666"/>
      <c r="J51" s="1666"/>
      <c r="K51" s="1667"/>
    </row>
    <row r="52" spans="1:11" x14ac:dyDescent="0.25">
      <c r="A52" s="1662" t="s">
        <v>903</v>
      </c>
      <c r="B52" s="1663"/>
      <c r="C52" s="1663"/>
      <c r="D52" s="1663"/>
      <c r="E52" s="1663"/>
      <c r="F52" s="1663"/>
      <c r="G52" s="1663"/>
      <c r="H52" s="1663"/>
      <c r="I52" s="1663"/>
      <c r="J52" s="1663"/>
      <c r="K52" s="1664"/>
    </row>
    <row r="53" spans="1:11" x14ac:dyDescent="0.25">
      <c r="A53" s="1670" t="s">
        <v>904</v>
      </c>
      <c r="B53" s="1671"/>
      <c r="C53" s="1671"/>
      <c r="D53" s="1671"/>
      <c r="E53" s="1671"/>
      <c r="F53" s="1671"/>
      <c r="G53" s="1671"/>
      <c r="H53" s="1671"/>
      <c r="I53" s="1671"/>
      <c r="J53" s="1671"/>
      <c r="K53" s="1672"/>
    </row>
    <row r="54" spans="1:11" x14ac:dyDescent="0.25">
      <c r="A54" s="1670" t="s">
        <v>905</v>
      </c>
      <c r="B54" s="1671"/>
      <c r="C54" s="1671"/>
      <c r="D54" s="1671"/>
      <c r="E54" s="1671"/>
      <c r="F54" s="1671"/>
      <c r="G54" s="1671"/>
      <c r="H54" s="1671"/>
      <c r="I54" s="1671"/>
      <c r="J54" s="1671"/>
      <c r="K54" s="1672"/>
    </row>
    <row r="55" spans="1:11" x14ac:dyDescent="0.25">
      <c r="A55" s="1670" t="s">
        <v>906</v>
      </c>
      <c r="B55" s="1671"/>
      <c r="C55" s="1671"/>
      <c r="D55" s="1671"/>
      <c r="E55" s="1671"/>
      <c r="F55" s="1671"/>
      <c r="G55" s="1671"/>
      <c r="H55" s="1671"/>
      <c r="I55" s="1671"/>
      <c r="J55" s="1671"/>
      <c r="K55" s="1672"/>
    </row>
    <row r="56" spans="1:11" x14ac:dyDescent="0.25">
      <c r="A56" s="1677" t="s">
        <v>318</v>
      </c>
      <c r="B56" s="1678"/>
      <c r="C56" s="1678"/>
      <c r="D56" s="1678"/>
      <c r="E56" s="1678"/>
      <c r="F56" s="1678"/>
      <c r="G56" s="1678"/>
      <c r="H56" s="1678"/>
      <c r="I56" s="1678"/>
      <c r="J56" s="1678"/>
      <c r="K56" s="1679"/>
    </row>
    <row r="57" spans="1:11" x14ac:dyDescent="0.25">
      <c r="A57" s="1670" t="s">
        <v>319</v>
      </c>
      <c r="B57" s="1671"/>
      <c r="C57" s="1671"/>
      <c r="D57" s="1671"/>
      <c r="E57" s="1671"/>
      <c r="F57" s="1671"/>
      <c r="G57" s="1671"/>
      <c r="H57" s="1671"/>
      <c r="I57" s="1671"/>
      <c r="J57" s="1671"/>
      <c r="K57" s="1672"/>
    </row>
    <row r="58" spans="1:11" x14ac:dyDescent="0.25">
      <c r="A58" s="1670" t="s">
        <v>907</v>
      </c>
      <c r="B58" s="1671"/>
      <c r="C58" s="1671"/>
      <c r="D58" s="1671"/>
      <c r="E58" s="1671"/>
      <c r="F58" s="1671"/>
      <c r="G58" s="1671"/>
      <c r="H58" s="1671"/>
      <c r="I58" s="1671"/>
      <c r="J58" s="1671"/>
      <c r="K58" s="1672"/>
    </row>
    <row r="59" spans="1:11" x14ac:dyDescent="0.25">
      <c r="A59" s="1670" t="s">
        <v>908</v>
      </c>
      <c r="B59" s="1671"/>
      <c r="C59" s="1671"/>
      <c r="D59" s="1671"/>
      <c r="E59" s="1671"/>
      <c r="F59" s="1671"/>
      <c r="G59" s="1671"/>
      <c r="H59" s="1671"/>
      <c r="I59" s="1671"/>
      <c r="J59" s="1671"/>
      <c r="K59" s="1672"/>
    </row>
    <row r="60" spans="1:11" x14ac:dyDescent="0.25">
      <c r="A60" s="25"/>
      <c r="B60" s="26"/>
      <c r="C60" s="26"/>
      <c r="D60" s="26"/>
      <c r="E60" s="26"/>
      <c r="F60" s="26"/>
      <c r="G60" s="26"/>
      <c r="H60" s="26"/>
      <c r="I60" s="26"/>
      <c r="J60" s="26"/>
      <c r="K60" s="27"/>
    </row>
    <row r="61" spans="1:11" x14ac:dyDescent="0.25">
      <c r="A61" s="1670" t="s">
        <v>320</v>
      </c>
      <c r="B61" s="1671"/>
      <c r="C61" s="1671"/>
      <c r="D61" s="1671"/>
      <c r="E61" s="1671"/>
      <c r="F61" s="1671"/>
      <c r="G61" s="1671"/>
      <c r="H61" s="1671"/>
      <c r="I61" s="1671"/>
      <c r="J61" s="1671"/>
      <c r="K61" s="1672"/>
    </row>
    <row r="62" spans="1:11" ht="13" thickBot="1" x14ac:dyDescent="0.3">
      <c r="A62" s="1685" t="s">
        <v>973</v>
      </c>
      <c r="B62" s="1686"/>
      <c r="C62" s="1686"/>
      <c r="D62" s="1686"/>
      <c r="E62" s="1686"/>
      <c r="F62" s="1686"/>
      <c r="G62" s="1686"/>
      <c r="H62" s="1686"/>
      <c r="I62" s="1686"/>
      <c r="J62" s="1686"/>
      <c r="K62" s="1687"/>
    </row>
    <row r="63" spans="1:11" x14ac:dyDescent="0.25">
      <c r="A63" s="537"/>
      <c r="B63" s="538"/>
      <c r="C63" s="538"/>
      <c r="D63" s="538"/>
      <c r="E63" s="538"/>
      <c r="F63" s="538"/>
      <c r="G63" s="538"/>
      <c r="H63" s="538"/>
      <c r="I63" s="538"/>
      <c r="J63" s="538"/>
      <c r="K63" s="538"/>
    </row>
    <row r="64" spans="1:11" x14ac:dyDescent="0.25">
      <c r="A64" s="537"/>
      <c r="B64" s="538"/>
      <c r="C64" s="538"/>
      <c r="D64" s="538"/>
      <c r="E64" s="538"/>
      <c r="F64" s="538"/>
      <c r="G64" s="538"/>
      <c r="H64" s="538"/>
      <c r="I64" s="538"/>
      <c r="J64" s="538"/>
      <c r="K64" s="538"/>
    </row>
    <row r="65" spans="1:14" x14ac:dyDescent="0.25">
      <c r="A65" s="537"/>
      <c r="B65" s="538"/>
      <c r="C65" s="538"/>
      <c r="D65" s="538"/>
      <c r="E65" s="538"/>
      <c r="F65" s="538"/>
      <c r="G65" s="538"/>
      <c r="H65" s="538"/>
      <c r="I65" s="538"/>
      <c r="J65" s="538"/>
      <c r="K65" s="538"/>
    </row>
    <row r="66" spans="1:14" x14ac:dyDescent="0.25">
      <c r="A66" s="537"/>
      <c r="B66" s="538"/>
      <c r="C66" s="538"/>
      <c r="D66" s="538"/>
      <c r="E66" s="538"/>
      <c r="F66" s="538"/>
      <c r="G66" s="538"/>
      <c r="H66" s="538"/>
      <c r="I66" s="538"/>
      <c r="J66" s="538"/>
      <c r="K66" s="538"/>
    </row>
    <row r="68" spans="1:14" ht="13" thickBot="1" x14ac:dyDescent="0.3"/>
    <row r="69" spans="1:14" ht="43.5" customHeight="1" thickTop="1" thickBot="1" x14ac:dyDescent="0.3">
      <c r="A69" s="371" t="s">
        <v>1083</v>
      </c>
      <c r="B69" s="372"/>
      <c r="C69" s="372"/>
      <c r="D69" s="372"/>
      <c r="E69" s="372"/>
      <c r="F69" s="372"/>
      <c r="G69" s="372"/>
      <c r="H69" s="372"/>
      <c r="I69" s="372"/>
      <c r="J69" s="372"/>
      <c r="K69" s="373"/>
      <c r="L69" s="373"/>
      <c r="M69" s="634"/>
      <c r="N69" s="635"/>
    </row>
    <row r="70" spans="1:14" ht="56.5" thickTop="1" x14ac:dyDescent="0.25">
      <c r="A70" s="636" t="s">
        <v>1090</v>
      </c>
      <c r="B70" s="637" t="s">
        <v>1031</v>
      </c>
      <c r="C70" s="638" t="s">
        <v>1040</v>
      </c>
      <c r="D70" s="638" t="s">
        <v>1041</v>
      </c>
      <c r="E70" s="637" t="s">
        <v>190</v>
      </c>
      <c r="F70" s="637" t="s">
        <v>1039</v>
      </c>
      <c r="G70" s="639" t="s">
        <v>1038</v>
      </c>
      <c r="H70" s="640" t="s">
        <v>267</v>
      </c>
      <c r="I70" s="637" t="s">
        <v>703</v>
      </c>
      <c r="J70" s="637" t="s">
        <v>1056</v>
      </c>
      <c r="K70" s="641" t="s">
        <v>702</v>
      </c>
      <c r="L70" s="641" t="s">
        <v>931</v>
      </c>
      <c r="M70" s="642" t="s">
        <v>533</v>
      </c>
      <c r="N70" s="643" t="s">
        <v>534</v>
      </c>
    </row>
    <row r="71" spans="1:14" ht="37.5" x14ac:dyDescent="0.25">
      <c r="A71" s="893" t="s">
        <v>1085</v>
      </c>
      <c r="B71" s="648" t="s">
        <v>865</v>
      </c>
      <c r="C71" s="894" t="s">
        <v>699</v>
      </c>
      <c r="D71" s="648">
        <v>2007</v>
      </c>
      <c r="E71" s="895" t="s">
        <v>700</v>
      </c>
      <c r="F71" s="649"/>
      <c r="G71" s="648"/>
      <c r="H71" s="895" t="s">
        <v>864</v>
      </c>
      <c r="I71" s="845">
        <f>mmBTU_to_GJ</f>
        <v>1.0549999999999999</v>
      </c>
      <c r="J71" s="644" t="s">
        <v>1058</v>
      </c>
      <c r="K71" s="645">
        <v>56.31533863997597</v>
      </c>
      <c r="L71" s="645" t="s">
        <v>932</v>
      </c>
      <c r="M71" s="646"/>
      <c r="N71" s="647"/>
    </row>
    <row r="72" spans="1:14" ht="37.5" x14ac:dyDescent="0.25">
      <c r="A72" s="893" t="s">
        <v>283</v>
      </c>
      <c r="B72" s="648" t="s">
        <v>865</v>
      </c>
      <c r="C72" s="894" t="s">
        <v>699</v>
      </c>
      <c r="D72" s="648">
        <v>2007</v>
      </c>
      <c r="E72" s="895" t="s">
        <v>700</v>
      </c>
      <c r="F72" s="649"/>
      <c r="G72" s="648"/>
      <c r="H72" s="895" t="s">
        <v>864</v>
      </c>
      <c r="I72" s="845">
        <f>mmBTU_to_GJ</f>
        <v>1.0549999999999999</v>
      </c>
      <c r="J72" s="644" t="s">
        <v>1058</v>
      </c>
      <c r="K72" s="645">
        <v>56.31533863997597</v>
      </c>
      <c r="L72" s="645" t="s">
        <v>932</v>
      </c>
      <c r="M72" s="646"/>
      <c r="N72" s="647"/>
    </row>
    <row r="73" spans="1:14" ht="37.5" x14ac:dyDescent="0.25">
      <c r="A73" s="893" t="s">
        <v>681</v>
      </c>
      <c r="B73" s="648" t="s">
        <v>865</v>
      </c>
      <c r="C73" s="894" t="s">
        <v>699</v>
      </c>
      <c r="D73" s="648">
        <v>2007</v>
      </c>
      <c r="E73" s="895" t="s">
        <v>700</v>
      </c>
      <c r="F73" s="649"/>
      <c r="G73" s="648"/>
      <c r="H73" s="895" t="s">
        <v>864</v>
      </c>
      <c r="I73" s="845">
        <f>mmBTU_to_GJ</f>
        <v>1.0549999999999999</v>
      </c>
      <c r="J73" s="644" t="s">
        <v>1058</v>
      </c>
      <c r="K73" s="645">
        <v>56.31533863997597</v>
      </c>
      <c r="L73" s="645" t="s">
        <v>932</v>
      </c>
      <c r="M73" s="646"/>
      <c r="N73" s="647"/>
    </row>
    <row r="74" spans="1:14" ht="37.5" x14ac:dyDescent="0.25">
      <c r="A74" s="893" t="s">
        <v>1086</v>
      </c>
      <c r="B74" s="648" t="s">
        <v>865</v>
      </c>
      <c r="C74" s="894" t="s">
        <v>699</v>
      </c>
      <c r="D74" s="648">
        <v>2007</v>
      </c>
      <c r="E74" s="895" t="s">
        <v>700</v>
      </c>
      <c r="F74" s="649"/>
      <c r="G74" s="648"/>
      <c r="H74" s="895" t="s">
        <v>864</v>
      </c>
      <c r="I74" s="845">
        <f>mmBTU_to_GJ</f>
        <v>1.0549999999999999</v>
      </c>
      <c r="J74" s="644" t="s">
        <v>1058</v>
      </c>
      <c r="K74" s="645">
        <v>56.31533863997597</v>
      </c>
      <c r="L74" s="645" t="s">
        <v>932</v>
      </c>
      <c r="M74" s="646"/>
      <c r="N74" s="647"/>
    </row>
    <row r="75" spans="1:14" ht="25" x14ac:dyDescent="0.25">
      <c r="A75" s="893" t="s">
        <v>682</v>
      </c>
      <c r="B75" s="648"/>
      <c r="C75" s="894" t="s">
        <v>699</v>
      </c>
      <c r="D75" s="648">
        <v>2007</v>
      </c>
      <c r="E75" s="895" t="s">
        <v>700</v>
      </c>
      <c r="F75" s="649"/>
      <c r="G75" s="648"/>
      <c r="H75" s="895" t="s">
        <v>864</v>
      </c>
      <c r="I75" s="845">
        <f>mmBTU_to_GJ</f>
        <v>1.0549999999999999</v>
      </c>
      <c r="J75" s="644" t="s">
        <v>1058</v>
      </c>
      <c r="K75" s="645">
        <v>56.31533863997597</v>
      </c>
      <c r="L75" s="645" t="s">
        <v>932</v>
      </c>
      <c r="M75" s="646"/>
      <c r="N75" s="647"/>
    </row>
    <row r="76" spans="1:14" ht="37.5" x14ac:dyDescent="0.25">
      <c r="A76" s="893" t="s">
        <v>683</v>
      </c>
      <c r="B76" s="648" t="s">
        <v>865</v>
      </c>
      <c r="C76" s="894" t="s">
        <v>699</v>
      </c>
      <c r="D76" s="648">
        <v>2007</v>
      </c>
      <c r="E76" s="895" t="s">
        <v>701</v>
      </c>
      <c r="F76" s="648"/>
      <c r="G76" s="648"/>
      <c r="H76" s="644" t="s">
        <v>296</v>
      </c>
      <c r="I76" s="845">
        <f>1/MJ_to_kWh/1000</f>
        <v>3.5999999999999995E-3</v>
      </c>
      <c r="J76" s="644" t="s">
        <v>1071</v>
      </c>
      <c r="K76" s="645">
        <v>0</v>
      </c>
      <c r="L76" s="645" t="s">
        <v>932</v>
      </c>
      <c r="M76" s="646"/>
      <c r="N76" s="647"/>
    </row>
    <row r="77" spans="1:14" ht="37.5" x14ac:dyDescent="0.25">
      <c r="A77" s="893" t="s">
        <v>698</v>
      </c>
      <c r="B77" s="648" t="s">
        <v>865</v>
      </c>
      <c r="C77" s="894" t="s">
        <v>699</v>
      </c>
      <c r="D77" s="648">
        <v>2007</v>
      </c>
      <c r="E77" s="895" t="s">
        <v>701</v>
      </c>
      <c r="F77" s="648"/>
      <c r="G77" s="648"/>
      <c r="H77" s="644" t="s">
        <v>296</v>
      </c>
      <c r="I77" s="845">
        <f>1/MJ_to_kWh/1000</f>
        <v>3.5999999999999995E-3</v>
      </c>
      <c r="J77" s="644" t="s">
        <v>1071</v>
      </c>
      <c r="K77" s="645">
        <v>0</v>
      </c>
      <c r="L77" s="645" t="s">
        <v>932</v>
      </c>
      <c r="M77" s="646"/>
      <c r="N77" s="647"/>
    </row>
    <row r="78" spans="1:14" ht="37.5" x14ac:dyDescent="0.25">
      <c r="A78" s="893" t="s">
        <v>684</v>
      </c>
      <c r="B78" s="648" t="s">
        <v>865</v>
      </c>
      <c r="C78" s="894" t="s">
        <v>699</v>
      </c>
      <c r="D78" s="648">
        <v>2007</v>
      </c>
      <c r="E78" s="895" t="s">
        <v>701</v>
      </c>
      <c r="F78" s="648"/>
      <c r="G78" s="648"/>
      <c r="H78" s="644" t="s">
        <v>296</v>
      </c>
      <c r="I78" s="845">
        <f>1/MJ_to_kWh/1000</f>
        <v>3.5999999999999995E-3</v>
      </c>
      <c r="J78" s="644" t="s">
        <v>1071</v>
      </c>
      <c r="K78" s="645">
        <v>0</v>
      </c>
      <c r="L78" s="645" t="s">
        <v>932</v>
      </c>
      <c r="M78" s="646"/>
      <c r="N78" s="647"/>
    </row>
    <row r="79" spans="1:14" ht="37.5" x14ac:dyDescent="0.25">
      <c r="A79" s="893" t="s">
        <v>1087</v>
      </c>
      <c r="B79" s="648" t="s">
        <v>865</v>
      </c>
      <c r="C79" s="894" t="s">
        <v>699</v>
      </c>
      <c r="D79" s="648">
        <v>2007</v>
      </c>
      <c r="E79" s="895" t="s">
        <v>700</v>
      </c>
      <c r="F79" s="649"/>
      <c r="G79" s="648"/>
      <c r="H79" s="644" t="s">
        <v>268</v>
      </c>
      <c r="I79" s="845">
        <f>$C$42/2000/lb_to_kg/1000000*mmBTU_to_GJ</f>
        <v>2.2735034516249999E-2</v>
      </c>
      <c r="J79" s="644" t="s">
        <v>1052</v>
      </c>
      <c r="K79" s="645">
        <v>102.75287348239476</v>
      </c>
      <c r="L79" s="645" t="s">
        <v>932</v>
      </c>
      <c r="M79" s="646"/>
      <c r="N79" s="647"/>
    </row>
    <row r="80" spans="1:14" ht="37.5" x14ac:dyDescent="0.25">
      <c r="A80" s="893" t="s">
        <v>716</v>
      </c>
      <c r="B80" s="648" t="s">
        <v>865</v>
      </c>
      <c r="C80" s="894" t="s">
        <v>699</v>
      </c>
      <c r="D80" s="648">
        <v>2007</v>
      </c>
      <c r="E80" s="895" t="s">
        <v>700</v>
      </c>
      <c r="F80" s="649"/>
      <c r="G80" s="648"/>
      <c r="H80" s="644" t="s">
        <v>268</v>
      </c>
      <c r="I80" s="845">
        <f>$C$42/2000/lb_to_kg/1000000*mmBTU_to_GJ</f>
        <v>2.2735034516249999E-2</v>
      </c>
      <c r="J80" s="644" t="s">
        <v>1052</v>
      </c>
      <c r="K80" s="645">
        <v>102.75287348239476</v>
      </c>
      <c r="L80" s="645" t="s">
        <v>932</v>
      </c>
      <c r="M80" s="646"/>
      <c r="N80" s="647"/>
    </row>
    <row r="81" spans="1:14" ht="37.5" x14ac:dyDescent="0.25">
      <c r="A81" s="893" t="s">
        <v>717</v>
      </c>
      <c r="B81" s="648" t="s">
        <v>865</v>
      </c>
      <c r="C81" s="894" t="s">
        <v>699</v>
      </c>
      <c r="D81" s="648">
        <v>2007</v>
      </c>
      <c r="E81" s="895" t="s">
        <v>700</v>
      </c>
      <c r="F81" s="649"/>
      <c r="G81" s="648"/>
      <c r="H81" s="644" t="s">
        <v>268</v>
      </c>
      <c r="I81" s="845">
        <f>$C$42/2000/lb_to_kg/1000000*mmBTU_to_GJ</f>
        <v>2.2735034516249999E-2</v>
      </c>
      <c r="J81" s="644" t="s">
        <v>1052</v>
      </c>
      <c r="K81" s="645">
        <v>102.75287348239476</v>
      </c>
      <c r="L81" s="645" t="s">
        <v>932</v>
      </c>
      <c r="M81" s="646"/>
      <c r="N81" s="647"/>
    </row>
    <row r="82" spans="1:14" ht="37.5" x14ac:dyDescent="0.25">
      <c r="A82" s="893" t="s">
        <v>912</v>
      </c>
      <c r="B82" s="648" t="s">
        <v>865</v>
      </c>
      <c r="C82" s="894" t="s">
        <v>699</v>
      </c>
      <c r="D82" s="648">
        <v>2007</v>
      </c>
      <c r="E82" s="895" t="s">
        <v>700</v>
      </c>
      <c r="F82" s="649"/>
      <c r="G82" s="648"/>
      <c r="H82" s="644" t="s">
        <v>269</v>
      </c>
      <c r="I82" s="845">
        <f>$C$14/gal_to_liters*mmBTU_to_GJ/1000000</f>
        <v>3.5803104359313075E-2</v>
      </c>
      <c r="J82" s="644" t="s">
        <v>1058</v>
      </c>
      <c r="K82" s="645">
        <v>74.122324937568308</v>
      </c>
      <c r="L82" s="645" t="s">
        <v>932</v>
      </c>
      <c r="M82" s="646"/>
      <c r="N82" s="647"/>
    </row>
    <row r="83" spans="1:14" ht="37.5" x14ac:dyDescent="0.25">
      <c r="A83" s="893" t="s">
        <v>910</v>
      </c>
      <c r="B83" s="648" t="s">
        <v>865</v>
      </c>
      <c r="C83" s="894" t="s">
        <v>699</v>
      </c>
      <c r="D83" s="648">
        <v>2007</v>
      </c>
      <c r="E83" s="895" t="s">
        <v>700</v>
      </c>
      <c r="F83" s="649"/>
      <c r="G83" s="648"/>
      <c r="H83" s="644" t="s">
        <v>269</v>
      </c>
      <c r="I83" s="845">
        <f>$Q$14/gal_to_liters*mmBTU_to_GJ/1000000</f>
        <v>2.4157130779392338E-2</v>
      </c>
      <c r="J83" s="644" t="s">
        <v>1052</v>
      </c>
      <c r="K83" s="645">
        <v>71.019041167591709</v>
      </c>
      <c r="L83" s="645" t="s">
        <v>932</v>
      </c>
      <c r="M83" s="646"/>
      <c r="N83" s="647"/>
    </row>
    <row r="84" spans="1:14" ht="37.5" x14ac:dyDescent="0.25">
      <c r="A84" s="893" t="s">
        <v>913</v>
      </c>
      <c r="B84" s="648" t="s">
        <v>865</v>
      </c>
      <c r="C84" s="894" t="s">
        <v>699</v>
      </c>
      <c r="D84" s="648">
        <v>2007</v>
      </c>
      <c r="E84" s="895" t="s">
        <v>700</v>
      </c>
      <c r="F84" s="649"/>
      <c r="G84" s="648"/>
      <c r="H84" s="644" t="s">
        <v>269</v>
      </c>
      <c r="I84" s="845">
        <f>$C$11/gal_to_liters*mmBTU_to_GJ/1000000</f>
        <v>3.2357978863936591E-2</v>
      </c>
      <c r="J84" s="644" t="s">
        <v>1052</v>
      </c>
      <c r="K84" s="645">
        <v>72.833307273582633</v>
      </c>
      <c r="L84" s="645" t="s">
        <v>932</v>
      </c>
      <c r="M84" s="646"/>
      <c r="N84" s="647"/>
    </row>
    <row r="85" spans="1:14" ht="275" x14ac:dyDescent="0.25">
      <c r="A85" s="893" t="s">
        <v>1081</v>
      </c>
      <c r="B85" s="844" t="s">
        <v>437</v>
      </c>
      <c r="C85" s="894" t="s">
        <v>699</v>
      </c>
      <c r="D85" s="648">
        <v>2007</v>
      </c>
      <c r="E85" s="895" t="s">
        <v>701</v>
      </c>
      <c r="F85" s="649"/>
      <c r="G85" s="648"/>
      <c r="H85" s="644" t="s">
        <v>268</v>
      </c>
      <c r="I85" s="845">
        <f>$E$45/1000</f>
        <v>1.9551069237418006E-2</v>
      </c>
      <c r="J85" s="644" t="s">
        <v>1052</v>
      </c>
      <c r="K85" s="645">
        <v>97.876597052612851</v>
      </c>
      <c r="L85" s="645" t="s">
        <v>932</v>
      </c>
      <c r="M85" s="646"/>
      <c r="N85" s="647"/>
    </row>
    <row r="86" spans="1:14" x14ac:dyDescent="0.25">
      <c r="A86" s="893" t="s">
        <v>815</v>
      </c>
      <c r="B86" s="844"/>
      <c r="C86" s="894"/>
      <c r="D86" s="648"/>
      <c r="E86" s="895" t="s">
        <v>701</v>
      </c>
      <c r="F86" s="649"/>
      <c r="G86" s="648"/>
      <c r="H86" s="644" t="s">
        <v>268</v>
      </c>
      <c r="I86" s="845">
        <f>$E$45/1000</f>
        <v>1.9551069237418006E-2</v>
      </c>
      <c r="J86" s="644" t="s">
        <v>1052</v>
      </c>
      <c r="K86" s="645">
        <v>97.876597052612851</v>
      </c>
      <c r="L86" s="645" t="s">
        <v>932</v>
      </c>
      <c r="M86" s="646"/>
      <c r="N86" s="647"/>
    </row>
    <row r="87" spans="1:14" ht="75" x14ac:dyDescent="0.25">
      <c r="A87" s="893" t="s">
        <v>824</v>
      </c>
      <c r="B87" s="994" t="s">
        <v>832</v>
      </c>
      <c r="C87" s="894"/>
      <c r="D87" s="648"/>
      <c r="E87" s="895" t="s">
        <v>701</v>
      </c>
      <c r="F87" s="649"/>
      <c r="G87" s="648"/>
      <c r="H87" s="644" t="s">
        <v>268</v>
      </c>
      <c r="I87" s="845">
        <f>18.608/1000</f>
        <v>1.8608E-2</v>
      </c>
      <c r="J87" s="644" t="s">
        <v>1052</v>
      </c>
      <c r="K87" s="645">
        <v>97.876597052612851</v>
      </c>
      <c r="L87" s="645" t="s">
        <v>932</v>
      </c>
      <c r="M87" s="646"/>
      <c r="N87" s="647"/>
    </row>
    <row r="88" spans="1:14" ht="75" x14ac:dyDescent="0.25">
      <c r="A88" s="893" t="s">
        <v>1088</v>
      </c>
      <c r="B88" s="648" t="s">
        <v>1089</v>
      </c>
      <c r="C88" s="894" t="s">
        <v>699</v>
      </c>
      <c r="D88" s="648">
        <v>2007</v>
      </c>
      <c r="E88" s="895" t="s">
        <v>701</v>
      </c>
      <c r="F88" s="649"/>
      <c r="G88" s="648"/>
      <c r="H88" s="644" t="s">
        <v>268</v>
      </c>
      <c r="I88" s="845">
        <v>2.8300000000000001E-3</v>
      </c>
      <c r="J88" s="644" t="s">
        <v>1071</v>
      </c>
      <c r="K88" s="645">
        <v>0</v>
      </c>
      <c r="L88" s="645" t="s">
        <v>932</v>
      </c>
      <c r="M88" s="646"/>
      <c r="N88" s="647"/>
    </row>
    <row r="90" spans="1:14" ht="13" thickBot="1" x14ac:dyDescent="0.3"/>
    <row r="91" spans="1:14" ht="33.75" customHeight="1" thickTop="1" x14ac:dyDescent="0.3">
      <c r="A91" s="1668" t="s">
        <v>992</v>
      </c>
      <c r="B91" s="1669"/>
      <c r="D91" s="1668" t="s">
        <v>685</v>
      </c>
      <c r="E91" s="1669"/>
      <c r="G91" s="1668" t="s">
        <v>686</v>
      </c>
      <c r="H91" s="1669"/>
      <c r="K91" s="1688" t="s">
        <v>688</v>
      </c>
      <c r="L91" s="1689"/>
    </row>
    <row r="92" spans="1:14" ht="41.25" customHeight="1" thickBot="1" x14ac:dyDescent="0.3">
      <c r="A92" s="1231" t="s">
        <v>1100</v>
      </c>
      <c r="B92" s="1045"/>
      <c r="D92" s="1680" t="s">
        <v>687</v>
      </c>
      <c r="E92" s="1681"/>
      <c r="G92" s="1231" t="s">
        <v>1101</v>
      </c>
      <c r="H92" s="1045"/>
      <c r="K92" s="1680" t="s">
        <v>689</v>
      </c>
      <c r="L92" s="1681"/>
      <c r="N92" s="1300"/>
    </row>
    <row r="93" spans="1:14" ht="14" x14ac:dyDescent="0.3">
      <c r="A93" s="30" t="s">
        <v>1084</v>
      </c>
      <c r="B93" s="31" t="s">
        <v>1092</v>
      </c>
      <c r="D93" s="30" t="s">
        <v>1084</v>
      </c>
      <c r="E93" s="31" t="s">
        <v>1092</v>
      </c>
      <c r="G93" s="30" t="s">
        <v>1084</v>
      </c>
      <c r="H93" s="31" t="s">
        <v>1092</v>
      </c>
      <c r="K93" s="30" t="s">
        <v>1084</v>
      </c>
      <c r="L93" s="31" t="s">
        <v>1092</v>
      </c>
    </row>
    <row r="94" spans="1:14" ht="28.5" customHeight="1" x14ac:dyDescent="0.25">
      <c r="A94" s="1042">
        <v>1992</v>
      </c>
      <c r="B94" s="1043">
        <v>70.563999999999993</v>
      </c>
      <c r="C94" s="865"/>
      <c r="D94" s="1234">
        <v>1992</v>
      </c>
      <c r="E94" s="1235">
        <v>358.2</v>
      </c>
      <c r="F94" s="1305"/>
      <c r="G94" s="1234">
        <v>1992</v>
      </c>
      <c r="H94" s="1237">
        <v>13.7</v>
      </c>
      <c r="K94" s="1234">
        <v>1980</v>
      </c>
      <c r="L94" s="1238">
        <v>55.195749555178075</v>
      </c>
    </row>
    <row r="95" spans="1:14" x14ac:dyDescent="0.25">
      <c r="A95" s="1042">
        <v>1993</v>
      </c>
      <c r="B95" s="1043">
        <v>72.244</v>
      </c>
      <c r="D95" s="1234">
        <v>1993</v>
      </c>
      <c r="E95" s="1235">
        <v>359.2</v>
      </c>
      <c r="F95" s="1305"/>
      <c r="G95" s="1234">
        <v>1993</v>
      </c>
      <c r="H95" s="1237">
        <v>13.97</v>
      </c>
      <c r="K95" s="1234">
        <v>1981</v>
      </c>
      <c r="L95" s="1238">
        <v>61.025412991342954</v>
      </c>
    </row>
    <row r="96" spans="1:14" x14ac:dyDescent="0.25">
      <c r="A96" s="1042">
        <v>1994</v>
      </c>
      <c r="B96" s="1043">
        <v>73.781000000000006</v>
      </c>
      <c r="D96" s="1234">
        <v>1994</v>
      </c>
      <c r="E96" s="1235">
        <v>368.1</v>
      </c>
      <c r="F96" s="1305"/>
      <c r="G96" s="1234">
        <v>1994</v>
      </c>
      <c r="H96" s="1237">
        <v>14.33</v>
      </c>
      <c r="K96" s="1234">
        <v>1982</v>
      </c>
      <c r="L96" s="1238">
        <v>62.017696129413558</v>
      </c>
    </row>
    <row r="97" spans="1:15" x14ac:dyDescent="0.25">
      <c r="A97" s="1042">
        <v>1995</v>
      </c>
      <c r="B97" s="1043">
        <v>75.320999999999998</v>
      </c>
      <c r="D97" s="1234">
        <v>1995</v>
      </c>
      <c r="E97" s="1235">
        <v>381.1</v>
      </c>
      <c r="F97" s="1305"/>
      <c r="G97" s="1234">
        <v>1995</v>
      </c>
      <c r="H97" s="1237">
        <v>14.86</v>
      </c>
      <c r="K97" s="1234">
        <v>1983</v>
      </c>
      <c r="L97" s="1238">
        <v>62.203749217801807</v>
      </c>
    </row>
    <row r="98" spans="1:15" x14ac:dyDescent="0.25">
      <c r="A98" s="1042">
        <v>1996</v>
      </c>
      <c r="B98" s="1043">
        <v>76.694999999999993</v>
      </c>
      <c r="D98" s="1234">
        <v>1996</v>
      </c>
      <c r="E98" s="1235">
        <v>381.7</v>
      </c>
      <c r="F98" s="1305"/>
      <c r="G98" s="1234">
        <v>1996</v>
      </c>
      <c r="H98" s="1237">
        <v>15.37</v>
      </c>
      <c r="K98" s="1234">
        <v>1984</v>
      </c>
      <c r="L98" s="1238">
        <v>63.81620931716656</v>
      </c>
    </row>
    <row r="99" spans="1:15" x14ac:dyDescent="0.25">
      <c r="A99" s="1042">
        <v>1997</v>
      </c>
      <c r="B99" s="1043">
        <v>78.009</v>
      </c>
      <c r="D99" s="1234">
        <v>1997</v>
      </c>
      <c r="E99" s="1235">
        <v>386.5</v>
      </c>
      <c r="F99" s="1305"/>
      <c r="G99" s="1234">
        <v>1997</v>
      </c>
      <c r="H99" s="1237">
        <v>15.78</v>
      </c>
      <c r="K99" s="1234">
        <v>1985</v>
      </c>
      <c r="L99" s="1238">
        <v>64.262922782386738</v>
      </c>
      <c r="M99" s="1302"/>
    </row>
    <row r="100" spans="1:15" x14ac:dyDescent="0.25">
      <c r="A100" s="1042">
        <v>1998</v>
      </c>
      <c r="B100" s="1043">
        <v>78.855000000000004</v>
      </c>
      <c r="D100" s="1234">
        <v>1998</v>
      </c>
      <c r="E100" s="1235">
        <v>389.5</v>
      </c>
      <c r="F100" s="1305"/>
      <c r="G100" s="1234">
        <v>1998</v>
      </c>
      <c r="H100" s="1237">
        <v>16.23</v>
      </c>
      <c r="K100" s="1234">
        <v>1986</v>
      </c>
      <c r="L100" s="1238">
        <v>64.135290363752389</v>
      </c>
      <c r="M100" s="1302"/>
      <c r="N100" s="1303"/>
      <c r="O100" s="1303"/>
    </row>
    <row r="101" spans="1:15" x14ac:dyDescent="0.25">
      <c r="A101" s="1042">
        <v>1999</v>
      </c>
      <c r="B101" s="1043">
        <v>80.061000000000007</v>
      </c>
      <c r="D101" s="1234">
        <v>1999</v>
      </c>
      <c r="E101" s="1235">
        <v>390.6</v>
      </c>
      <c r="F101" s="1305"/>
      <c r="G101" s="1234">
        <v>1999</v>
      </c>
      <c r="H101" s="1237">
        <v>16.399999999999999</v>
      </c>
      <c r="K101" s="1234">
        <v>1987</v>
      </c>
      <c r="L101" s="1238">
        <v>66.11359285258456</v>
      </c>
      <c r="M101" s="1302"/>
      <c r="N101" s="1303"/>
      <c r="O101" s="1303"/>
    </row>
    <row r="102" spans="1:15" x14ac:dyDescent="0.25">
      <c r="A102" s="1042">
        <v>2000</v>
      </c>
      <c r="B102" s="1043">
        <v>81.882999999999996</v>
      </c>
      <c r="D102" s="1234">
        <v>2000</v>
      </c>
      <c r="E102" s="1235">
        <v>394.1</v>
      </c>
      <c r="F102" s="1305"/>
      <c r="G102" s="1234">
        <v>2000</v>
      </c>
      <c r="H102" s="1237">
        <v>17.09</v>
      </c>
      <c r="K102" s="1234">
        <v>1988</v>
      </c>
      <c r="L102" s="1238">
        <v>72.112316528398225</v>
      </c>
      <c r="M102" s="1302"/>
      <c r="N102" s="1303"/>
      <c r="O102" s="1303"/>
    </row>
    <row r="103" spans="1:15" x14ac:dyDescent="0.25">
      <c r="A103" s="1042">
        <v>2001</v>
      </c>
      <c r="B103" s="1043">
        <v>83.753</v>
      </c>
      <c r="D103" s="1234">
        <v>2001</v>
      </c>
      <c r="E103" s="1235">
        <v>394.3</v>
      </c>
      <c r="F103" s="1305"/>
      <c r="G103" s="1234">
        <v>2001</v>
      </c>
      <c r="H103" s="1237">
        <v>17.57</v>
      </c>
      <c r="K103" s="1234">
        <v>1989</v>
      </c>
      <c r="L103" s="1238">
        <v>76.324186343331206</v>
      </c>
      <c r="M103" s="1302"/>
      <c r="N103" s="1303"/>
      <c r="O103" s="1303"/>
    </row>
    <row r="104" spans="1:15" x14ac:dyDescent="0.25">
      <c r="A104" s="1042">
        <v>2002</v>
      </c>
      <c r="B104" s="1043">
        <v>85.037999999999997</v>
      </c>
      <c r="D104" s="1234">
        <v>2002</v>
      </c>
      <c r="E104" s="1235">
        <v>395.6</v>
      </c>
      <c r="F104" s="1305"/>
      <c r="G104" s="1234">
        <v>2002</v>
      </c>
      <c r="H104" s="1237">
        <v>17.97</v>
      </c>
      <c r="K104" s="1234">
        <v>1990</v>
      </c>
      <c r="L104" s="1238">
        <v>77.217613273771548</v>
      </c>
      <c r="M104" s="1302"/>
      <c r="N104" s="1303"/>
      <c r="O104" s="1303"/>
    </row>
    <row r="105" spans="1:15" x14ac:dyDescent="0.25">
      <c r="A105" s="1042">
        <v>2003</v>
      </c>
      <c r="B105" s="1043">
        <v>86.728999999999999</v>
      </c>
      <c r="D105" s="1234">
        <v>2003</v>
      </c>
      <c r="E105" s="1235">
        <v>402</v>
      </c>
      <c r="F105" s="1305"/>
      <c r="G105" s="1234">
        <v>2003</v>
      </c>
      <c r="H105" s="1237">
        <v>18.5</v>
      </c>
      <c r="K105" s="1234">
        <v>1991</v>
      </c>
      <c r="L105" s="1238">
        <v>79.38736439055522</v>
      </c>
      <c r="M105" s="1302"/>
      <c r="N105" s="1303"/>
      <c r="O105" s="1303"/>
    </row>
    <row r="106" spans="1:15" x14ac:dyDescent="0.25">
      <c r="A106" s="1042">
        <v>2004</v>
      </c>
      <c r="B106" s="1043">
        <v>89.114000000000004</v>
      </c>
      <c r="D106" s="1234">
        <v>2004</v>
      </c>
      <c r="E106" s="1235">
        <v>444.2</v>
      </c>
      <c r="F106" s="1305"/>
      <c r="G106" s="1234">
        <v>2004</v>
      </c>
      <c r="H106" s="1237">
        <v>19.170000000000002</v>
      </c>
      <c r="K106" s="1234">
        <v>1992</v>
      </c>
      <c r="L106" s="1239">
        <v>80.280791320995533</v>
      </c>
      <c r="M106" s="1302"/>
      <c r="N106" s="1303"/>
      <c r="O106" s="1303"/>
    </row>
    <row r="107" spans="1:15" ht="13" x14ac:dyDescent="0.3">
      <c r="A107" s="1042">
        <v>2005</v>
      </c>
      <c r="B107" s="1043">
        <v>91.980999999999995</v>
      </c>
      <c r="D107" s="1234">
        <v>2005</v>
      </c>
      <c r="E107" s="1235">
        <v>468.2</v>
      </c>
      <c r="F107" s="1305"/>
      <c r="G107" s="1234">
        <v>2005</v>
      </c>
      <c r="H107" s="1395">
        <v>19.670000000000002</v>
      </c>
      <c r="K107" s="1234">
        <v>1993</v>
      </c>
      <c r="L107" s="1239">
        <v>81.174218251435875</v>
      </c>
      <c r="M107" s="1302"/>
      <c r="N107" s="1303"/>
      <c r="O107" s="1303"/>
    </row>
    <row r="108" spans="1:15" x14ac:dyDescent="0.25">
      <c r="A108" s="1042">
        <v>2006</v>
      </c>
      <c r="B108" s="1043">
        <v>94.811999999999998</v>
      </c>
      <c r="D108" s="1234">
        <v>2006</v>
      </c>
      <c r="E108" s="1235">
        <v>499.6</v>
      </c>
      <c r="F108" s="1305"/>
      <c r="G108" s="1234">
        <v>2006</v>
      </c>
      <c r="H108" s="1237">
        <v>19.600000000000001</v>
      </c>
      <c r="K108" s="1234">
        <v>1994</v>
      </c>
      <c r="L108" s="1239">
        <v>82.961072112316543</v>
      </c>
      <c r="M108" s="1302"/>
      <c r="N108" s="1303"/>
      <c r="O108" s="1303"/>
    </row>
    <row r="109" spans="1:15" x14ac:dyDescent="0.25">
      <c r="A109" s="1042">
        <v>2007</v>
      </c>
      <c r="B109" s="1043">
        <v>97.334000000000003</v>
      </c>
      <c r="D109" s="1234">
        <v>2007</v>
      </c>
      <c r="E109" s="1235">
        <v>525.4</v>
      </c>
      <c r="F109" s="1334"/>
      <c r="G109" s="1234">
        <v>2007</v>
      </c>
      <c r="H109" s="1237">
        <v>19.55</v>
      </c>
      <c r="K109" s="1234">
        <v>1995</v>
      </c>
      <c r="L109" s="1239">
        <v>91.512444160816855</v>
      </c>
      <c r="M109" s="1302"/>
      <c r="N109" s="1303"/>
      <c r="O109" s="1303"/>
    </row>
    <row r="110" spans="1:15" x14ac:dyDescent="0.25">
      <c r="A110" s="1042">
        <v>2008</v>
      </c>
      <c r="B110" s="1043">
        <v>99.25</v>
      </c>
      <c r="D110" s="1234">
        <v>2008</v>
      </c>
      <c r="E110" s="1235">
        <v>575.4</v>
      </c>
      <c r="F110" s="1305"/>
      <c r="G110" s="1234">
        <v>2008</v>
      </c>
      <c r="H110" s="1237">
        <v>19.5</v>
      </c>
      <c r="K110" s="1234">
        <v>1996</v>
      </c>
      <c r="L110" s="1239">
        <v>93.044033184428855</v>
      </c>
      <c r="M110" s="1302"/>
      <c r="N110" s="1303"/>
      <c r="O110" s="1303"/>
    </row>
    <row r="111" spans="1:15" ht="14.5" x14ac:dyDescent="0.35">
      <c r="A111" s="1042">
        <v>2009</v>
      </c>
      <c r="B111" s="1232">
        <v>100</v>
      </c>
      <c r="D111" s="864">
        <v>2009</v>
      </c>
      <c r="E111" s="1235">
        <v>521.9</v>
      </c>
      <c r="F111" s="1305"/>
      <c r="G111" s="864">
        <v>2009</v>
      </c>
      <c r="H111" s="1046">
        <v>20.3</v>
      </c>
      <c r="K111" s="1234">
        <v>1997</v>
      </c>
      <c r="L111" s="1239">
        <v>93.873643905552015</v>
      </c>
      <c r="M111" s="1302"/>
      <c r="N111" s="1303"/>
      <c r="O111" s="1303"/>
    </row>
    <row r="112" spans="1:15" ht="14.5" x14ac:dyDescent="0.35">
      <c r="A112" s="1042">
        <v>2010</v>
      </c>
      <c r="B112" s="1232">
        <v>101.217</v>
      </c>
      <c r="D112" s="864">
        <v>2010</v>
      </c>
      <c r="E112" s="1235">
        <v>550.79999999999995</v>
      </c>
      <c r="F112" s="1305"/>
      <c r="G112" s="864">
        <v>2010</v>
      </c>
      <c r="H112" s="1046">
        <v>21.07</v>
      </c>
      <c r="K112" s="1234">
        <v>1998</v>
      </c>
      <c r="L112" s="1239">
        <v>94.894703254626677</v>
      </c>
      <c r="M112" s="1302"/>
      <c r="N112" s="1303"/>
      <c r="O112" s="1303"/>
    </row>
    <row r="113" spans="1:15" ht="14.5" x14ac:dyDescent="0.35">
      <c r="A113" s="1042">
        <v>2011</v>
      </c>
      <c r="B113" s="1232">
        <v>103.307</v>
      </c>
      <c r="D113" s="864">
        <v>2011</v>
      </c>
      <c r="E113" s="1235">
        <v>585.70000000000005</v>
      </c>
      <c r="F113" s="1305"/>
      <c r="G113" s="864">
        <v>2011</v>
      </c>
      <c r="H113" s="1046">
        <v>21.45</v>
      </c>
      <c r="K113" s="1234">
        <v>1999</v>
      </c>
      <c r="L113" s="1239">
        <v>95.532865347798349</v>
      </c>
      <c r="M113" s="1302"/>
      <c r="N113" s="1303"/>
      <c r="O113" s="1303"/>
    </row>
    <row r="114" spans="1:15" ht="14.5" x14ac:dyDescent="0.35">
      <c r="A114" s="1042">
        <v>2012</v>
      </c>
      <c r="B114" s="1232">
        <v>105.21299999999999</v>
      </c>
      <c r="D114" s="864">
        <v>2012</v>
      </c>
      <c r="E114" s="1235">
        <v>584.6</v>
      </c>
      <c r="F114" s="1305"/>
      <c r="G114" s="864">
        <v>2012</v>
      </c>
      <c r="H114" s="1046">
        <v>21.45</v>
      </c>
      <c r="K114" s="1234">
        <v>2000</v>
      </c>
      <c r="L114" s="1239">
        <v>100</v>
      </c>
      <c r="M114" s="1302"/>
      <c r="N114" s="1303"/>
      <c r="O114" s="1303"/>
    </row>
    <row r="115" spans="1:15" ht="14.5" x14ac:dyDescent="0.35">
      <c r="A115" s="1042">
        <v>2013</v>
      </c>
      <c r="B115" s="1232">
        <v>106.91</v>
      </c>
      <c r="D115" s="864">
        <v>2013</v>
      </c>
      <c r="E115" s="1235">
        <v>567.29999999999995</v>
      </c>
      <c r="F115" s="1305"/>
      <c r="G115" s="864">
        <v>2013</v>
      </c>
      <c r="H115" s="1046">
        <v>21.4</v>
      </c>
      <c r="K115" s="1234">
        <v>2001</v>
      </c>
      <c r="L115" s="1239">
        <v>101.08487555839186</v>
      </c>
      <c r="M115" s="1302"/>
      <c r="N115" s="1303"/>
      <c r="O115" s="1303"/>
    </row>
    <row r="116" spans="1:15" ht="14.5" x14ac:dyDescent="0.35">
      <c r="A116" s="1042">
        <v>2014</v>
      </c>
      <c r="B116" s="1232">
        <v>108.827</v>
      </c>
      <c r="D116" s="864">
        <v>2014</v>
      </c>
      <c r="E116" s="1235">
        <v>576.1</v>
      </c>
      <c r="F116" s="1305"/>
      <c r="G116" s="864">
        <v>2014</v>
      </c>
      <c r="H116" s="1046">
        <v>21.488333333333333</v>
      </c>
      <c r="K116" s="1234">
        <v>2002</v>
      </c>
      <c r="L116" s="1239">
        <v>100.38289725590302</v>
      </c>
      <c r="M116" s="1302"/>
      <c r="N116" s="1303"/>
      <c r="O116" s="1303"/>
    </row>
    <row r="117" spans="1:15" ht="14.5" x14ac:dyDescent="0.35">
      <c r="A117" s="1042">
        <v>2015</v>
      </c>
      <c r="B117" s="1232">
        <v>110.01</v>
      </c>
      <c r="D117" s="864">
        <v>2015</v>
      </c>
      <c r="E117" s="1235">
        <v>556.79999999999995</v>
      </c>
      <c r="F117" s="1305"/>
      <c r="G117" s="864">
        <v>2015</v>
      </c>
      <c r="H117" s="1046">
        <v>21.754999999999999</v>
      </c>
      <c r="K117" s="1234">
        <v>2003</v>
      </c>
      <c r="L117" s="1239">
        <v>105.04148053605616</v>
      </c>
      <c r="M117" s="1302"/>
      <c r="N117" s="1303"/>
      <c r="O117" s="1303"/>
    </row>
    <row r="118" spans="1:15" ht="15" thickBot="1" x14ac:dyDescent="0.4">
      <c r="A118" s="1042">
        <v>2016</v>
      </c>
      <c r="B118" s="1232">
        <v>111.41200000000001</v>
      </c>
      <c r="D118" s="866">
        <v>2016</v>
      </c>
      <c r="E118" s="1236">
        <v>541.70000000000005</v>
      </c>
      <c r="F118" s="1305"/>
      <c r="G118" s="866">
        <v>2016</v>
      </c>
      <c r="H118" s="1047">
        <v>22.714999999999993</v>
      </c>
      <c r="K118" s="1234">
        <v>2004</v>
      </c>
      <c r="L118" s="1239">
        <v>110.27440970006384</v>
      </c>
      <c r="M118" s="1302"/>
      <c r="N118" s="1303"/>
      <c r="O118" s="1303"/>
    </row>
    <row r="119" spans="1:15" ht="13.5" thickTop="1" thickBot="1" x14ac:dyDescent="0.3">
      <c r="A119" s="1044">
        <v>2017</v>
      </c>
      <c r="B119" s="1233">
        <v>112.854</v>
      </c>
      <c r="G119" s="305" t="s">
        <v>1102</v>
      </c>
      <c r="H119" s="305"/>
      <c r="K119" s="1234">
        <v>2005</v>
      </c>
      <c r="L119" s="1239">
        <v>119.52776005105299</v>
      </c>
      <c r="M119" s="1302"/>
      <c r="N119" s="1303"/>
      <c r="O119" s="1303"/>
    </row>
    <row r="120" spans="1:15" ht="13" thickTop="1" x14ac:dyDescent="0.25">
      <c r="K120" s="1234">
        <v>2006</v>
      </c>
      <c r="L120" s="1239">
        <v>125.5902999361838</v>
      </c>
      <c r="M120" s="1302"/>
      <c r="N120" s="1303"/>
      <c r="O120" s="1303"/>
    </row>
    <row r="121" spans="1:15" x14ac:dyDescent="0.25">
      <c r="K121" s="1234">
        <v>2007</v>
      </c>
      <c r="L121" s="1239">
        <v>129.73835354179963</v>
      </c>
      <c r="M121" s="1302"/>
      <c r="N121" s="1303"/>
      <c r="O121" s="1303"/>
    </row>
    <row r="122" spans="1:15" x14ac:dyDescent="0.25">
      <c r="K122" s="1234">
        <v>2008</v>
      </c>
      <c r="L122" s="1239">
        <v>145.6285896617741</v>
      </c>
      <c r="M122" s="1302"/>
      <c r="N122" s="1303"/>
      <c r="O122" s="1303"/>
    </row>
    <row r="123" spans="1:15" x14ac:dyDescent="0.25">
      <c r="K123" s="1234">
        <v>2009</v>
      </c>
      <c r="L123" s="1240">
        <v>143.39502233567327</v>
      </c>
      <c r="M123" s="1302"/>
      <c r="N123" s="1303"/>
      <c r="O123" s="1303"/>
    </row>
    <row r="124" spans="1:15" x14ac:dyDescent="0.25">
      <c r="K124" s="1234">
        <v>2010</v>
      </c>
      <c r="L124" s="1240">
        <v>149.13848117421827</v>
      </c>
      <c r="M124" s="1302"/>
      <c r="N124" s="1303"/>
      <c r="O124" s="1303"/>
    </row>
    <row r="125" spans="1:15" x14ac:dyDescent="0.25">
      <c r="K125" s="1234">
        <v>2011</v>
      </c>
      <c r="L125" s="1240">
        <v>160.8806636885769</v>
      </c>
      <c r="M125" s="1302"/>
      <c r="N125" s="1303"/>
      <c r="O125" s="1303"/>
    </row>
    <row r="126" spans="1:15" x14ac:dyDescent="0.25">
      <c r="K126" s="1234">
        <v>2012</v>
      </c>
      <c r="L126" s="1240">
        <v>166.11359285258459</v>
      </c>
      <c r="M126" s="1302"/>
      <c r="N126" s="1303"/>
      <c r="O126" s="1303"/>
    </row>
    <row r="127" spans="1:15" x14ac:dyDescent="0.25">
      <c r="K127" s="1234">
        <v>2013</v>
      </c>
      <c r="L127" s="1240">
        <v>168.41097638800255</v>
      </c>
      <c r="M127" s="1302"/>
      <c r="N127" s="1303"/>
      <c r="O127" s="1303"/>
    </row>
    <row r="128" spans="1:15" x14ac:dyDescent="0.25">
      <c r="K128" s="1234">
        <v>2014</v>
      </c>
      <c r="L128" s="1240">
        <v>171.79323548181239</v>
      </c>
      <c r="N128" s="1303"/>
      <c r="O128" s="1303"/>
    </row>
    <row r="129" spans="1:15" x14ac:dyDescent="0.25">
      <c r="K129" s="1234">
        <v>2015</v>
      </c>
      <c r="L129" s="1240">
        <v>168.98532227185709</v>
      </c>
      <c r="N129" s="1303"/>
      <c r="O129" s="1303"/>
    </row>
    <row r="130" spans="1:15" ht="13" thickBot="1" x14ac:dyDescent="0.3">
      <c r="K130" s="1241">
        <v>2016</v>
      </c>
      <c r="L130" s="1242">
        <v>170.4530950861519</v>
      </c>
      <c r="M130" s="1302"/>
      <c r="N130" s="1303"/>
      <c r="O130" s="1303"/>
    </row>
    <row r="131" spans="1:15" ht="13" thickTop="1" x14ac:dyDescent="0.25">
      <c r="K131" s="305" t="s">
        <v>1204</v>
      </c>
    </row>
    <row r="132" spans="1:15" ht="13" thickBot="1" x14ac:dyDescent="0.3">
      <c r="K132" s="305" t="s">
        <v>1231</v>
      </c>
    </row>
    <row r="133" spans="1:15" ht="28.5" thickBot="1" x14ac:dyDescent="0.35">
      <c r="A133" s="1438" t="s">
        <v>1103</v>
      </c>
      <c r="B133" s="1439"/>
      <c r="C133" s="1439"/>
      <c r="D133" s="1439"/>
      <c r="E133" s="1439"/>
      <c r="F133" s="1439"/>
      <c r="G133" s="1439"/>
      <c r="H133" s="1439"/>
      <c r="I133" s="1440"/>
    </row>
    <row r="134" spans="1:15" ht="52" x14ac:dyDescent="0.3">
      <c r="A134" s="1422"/>
      <c r="B134" s="606"/>
      <c r="C134" s="1682" t="s">
        <v>124</v>
      </c>
      <c r="D134" s="1682"/>
      <c r="E134" s="1682"/>
      <c r="F134" s="1683" t="s">
        <v>125</v>
      </c>
      <c r="G134" s="1682"/>
      <c r="H134" s="1684"/>
      <c r="I134" s="1423" t="s">
        <v>126</v>
      </c>
    </row>
    <row r="135" spans="1:15" ht="30" customHeight="1" thickBot="1" x14ac:dyDescent="0.35">
      <c r="A135" s="581" t="s">
        <v>127</v>
      </c>
      <c r="B135" s="607" t="s">
        <v>128</v>
      </c>
      <c r="C135" s="608" t="s">
        <v>129</v>
      </c>
      <c r="D135" s="608" t="s">
        <v>398</v>
      </c>
      <c r="E135" s="608" t="s">
        <v>399</v>
      </c>
      <c r="F135" s="581" t="s">
        <v>403</v>
      </c>
      <c r="G135" s="582" t="s">
        <v>404</v>
      </c>
      <c r="H135" s="583" t="s">
        <v>405</v>
      </c>
      <c r="I135" s="1424" t="s">
        <v>130</v>
      </c>
    </row>
    <row r="136" spans="1:15" x14ac:dyDescent="0.25">
      <c r="A136" s="1425" t="s">
        <v>1085</v>
      </c>
      <c r="B136" s="609" t="s">
        <v>131</v>
      </c>
      <c r="C136" s="846">
        <f t="shared" ref="C136:I145" si="8">+AVERAGEIFS(D$165:D$524,$B$165:$B$524,$A136,$C$165:$C$524,"&gt;="&amp;startup_year,$C$165:$C$524,"&lt;="&amp;(startup_year+anal_period))</f>
        <v>1092000</v>
      </c>
      <c r="D136" s="847">
        <f t="shared" si="8"/>
        <v>1092000</v>
      </c>
      <c r="E136" s="848">
        <f t="shared" si="8"/>
        <v>3971.5555555555557</v>
      </c>
      <c r="F136" s="849">
        <f t="shared" si="8"/>
        <v>5.74</v>
      </c>
      <c r="G136" s="849">
        <f t="shared" si="8"/>
        <v>0.18462200000000004</v>
      </c>
      <c r="H136" s="849">
        <f t="shared" si="8"/>
        <v>8.6102222222222209E-4</v>
      </c>
      <c r="I136" s="1426">
        <f t="shared" si="8"/>
        <v>11.566300000000002</v>
      </c>
    </row>
    <row r="137" spans="1:15" ht="16.5" customHeight="1" x14ac:dyDescent="0.25">
      <c r="A137" s="1427" t="s">
        <v>283</v>
      </c>
      <c r="B137" s="610" t="s">
        <v>131</v>
      </c>
      <c r="C137" s="850">
        <f t="shared" si="8"/>
        <v>1092000</v>
      </c>
      <c r="D137" s="851">
        <f t="shared" si="8"/>
        <v>1092000</v>
      </c>
      <c r="E137" s="852">
        <f t="shared" si="8"/>
        <v>3971.5555555555557</v>
      </c>
      <c r="F137" s="853">
        <f t="shared" si="8"/>
        <v>5.74</v>
      </c>
      <c r="G137" s="853">
        <f t="shared" si="8"/>
        <v>0.18462200000000004</v>
      </c>
      <c r="H137" s="853">
        <f t="shared" si="8"/>
        <v>8.6102222222222209E-4</v>
      </c>
      <c r="I137" s="1428">
        <f t="shared" si="8"/>
        <v>11.566300000000002</v>
      </c>
    </row>
    <row r="138" spans="1:15" x14ac:dyDescent="0.25">
      <c r="A138" s="1429" t="s">
        <v>1086</v>
      </c>
      <c r="B138" s="1417" t="s">
        <v>131</v>
      </c>
      <c r="C138" s="1418">
        <f t="shared" si="8"/>
        <v>1092000</v>
      </c>
      <c r="D138" s="1419">
        <f t="shared" si="8"/>
        <v>1092000</v>
      </c>
      <c r="E138" s="1420">
        <f t="shared" si="8"/>
        <v>3971.5555555555557</v>
      </c>
      <c r="F138" s="1421">
        <f t="shared" si="8"/>
        <v>5.74</v>
      </c>
      <c r="G138" s="1421">
        <f t="shared" si="8"/>
        <v>0.18462200000000004</v>
      </c>
      <c r="H138" s="1421">
        <f t="shared" si="8"/>
        <v>8.6102222222222209E-4</v>
      </c>
      <c r="I138" s="1430">
        <f t="shared" si="8"/>
        <v>11.566300000000002</v>
      </c>
    </row>
    <row r="139" spans="1:15" x14ac:dyDescent="0.25">
      <c r="A139" s="1427" t="s">
        <v>681</v>
      </c>
      <c r="B139" s="611" t="s">
        <v>131</v>
      </c>
      <c r="C139" s="851">
        <f t="shared" si="8"/>
        <v>1092000</v>
      </c>
      <c r="D139" s="851">
        <f t="shared" si="8"/>
        <v>1092000</v>
      </c>
      <c r="E139" s="851">
        <f t="shared" si="8"/>
        <v>3971.5555555555557</v>
      </c>
      <c r="F139" s="854">
        <f t="shared" si="8"/>
        <v>5.74</v>
      </c>
      <c r="G139" s="853">
        <f t="shared" si="8"/>
        <v>0.18462200000000004</v>
      </c>
      <c r="H139" s="855">
        <f t="shared" si="8"/>
        <v>8.6102222222222209E-4</v>
      </c>
      <c r="I139" s="1428">
        <f t="shared" si="8"/>
        <v>11.566300000000002</v>
      </c>
    </row>
    <row r="140" spans="1:15" x14ac:dyDescent="0.25">
      <c r="A140" s="1427" t="s">
        <v>682</v>
      </c>
      <c r="B140" s="611" t="s">
        <v>1295</v>
      </c>
      <c r="C140" s="851">
        <f t="shared" si="8"/>
        <v>-1185000</v>
      </c>
      <c r="D140" s="851">
        <f t="shared" si="8"/>
        <v>0</v>
      </c>
      <c r="E140" s="851">
        <f t="shared" si="8"/>
        <v>0</v>
      </c>
      <c r="F140" s="854">
        <f t="shared" si="8"/>
        <v>-85.800000000000011</v>
      </c>
      <c r="G140" s="853">
        <f t="shared" si="8"/>
        <v>0.54700000000000004</v>
      </c>
      <c r="H140" s="855">
        <f t="shared" si="8"/>
        <v>-1.8286999999999995E-3</v>
      </c>
      <c r="I140" s="1428">
        <f t="shared" si="8"/>
        <v>-70.08</v>
      </c>
    </row>
    <row r="141" spans="1:15" x14ac:dyDescent="0.25">
      <c r="A141" s="1427" t="s">
        <v>683</v>
      </c>
      <c r="B141" s="611" t="s">
        <v>132</v>
      </c>
      <c r="C141" s="851">
        <f t="shared" si="8"/>
        <v>1722555.5555555555</v>
      </c>
      <c r="D141" s="851">
        <f t="shared" si="8"/>
        <v>1293777.7777777778</v>
      </c>
      <c r="E141" s="851">
        <f t="shared" si="8"/>
        <v>15361.111111111111</v>
      </c>
      <c r="F141" s="854">
        <f t="shared" si="8"/>
        <v>125.73222222222223</v>
      </c>
      <c r="G141" s="853">
        <f t="shared" si="8"/>
        <v>0.20455800000000002</v>
      </c>
      <c r="H141" s="855">
        <f t="shared" si="8"/>
        <v>1.7955444444444446E-3</v>
      </c>
      <c r="I141" s="1428">
        <f t="shared" si="8"/>
        <v>130.52666666666664</v>
      </c>
    </row>
    <row r="142" spans="1:15" x14ac:dyDescent="0.25">
      <c r="A142" s="1427" t="s">
        <v>698</v>
      </c>
      <c r="B142" s="611" t="s">
        <v>132</v>
      </c>
      <c r="C142" s="851">
        <f t="shared" si="8"/>
        <v>1722555.5555555555</v>
      </c>
      <c r="D142" s="851">
        <f t="shared" si="8"/>
        <v>1293777.7777777778</v>
      </c>
      <c r="E142" s="851">
        <f t="shared" si="8"/>
        <v>15361.111111111111</v>
      </c>
      <c r="F142" s="854">
        <f t="shared" si="8"/>
        <v>125.73222222222223</v>
      </c>
      <c r="G142" s="853">
        <f t="shared" si="8"/>
        <v>0.20455800000000002</v>
      </c>
      <c r="H142" s="855">
        <f t="shared" si="8"/>
        <v>1.7955444444444446E-3</v>
      </c>
      <c r="I142" s="1428">
        <f t="shared" si="8"/>
        <v>130.52666666666664</v>
      </c>
    </row>
    <row r="143" spans="1:15" x14ac:dyDescent="0.25">
      <c r="A143" s="1427" t="s">
        <v>684</v>
      </c>
      <c r="B143" s="611" t="s">
        <v>132</v>
      </c>
      <c r="C143" s="851">
        <f t="shared" si="8"/>
        <v>1722555.5555555555</v>
      </c>
      <c r="D143" s="851">
        <f t="shared" si="8"/>
        <v>1293777.7777777778</v>
      </c>
      <c r="E143" s="851">
        <f t="shared" si="8"/>
        <v>15361.111111111111</v>
      </c>
      <c r="F143" s="854">
        <f t="shared" si="8"/>
        <v>125.73222222222223</v>
      </c>
      <c r="G143" s="853">
        <f t="shared" si="8"/>
        <v>0.20455800000000002</v>
      </c>
      <c r="H143" s="855">
        <f t="shared" si="8"/>
        <v>1.7955444444444446E-3</v>
      </c>
      <c r="I143" s="1428">
        <f t="shared" si="8"/>
        <v>130.52666666666664</v>
      </c>
    </row>
    <row r="144" spans="1:15" x14ac:dyDescent="0.25">
      <c r="A144" s="1427" t="s">
        <v>1087</v>
      </c>
      <c r="B144" s="611" t="s">
        <v>133</v>
      </c>
      <c r="C144" s="851">
        <f t="shared" si="8"/>
        <v>1022000</v>
      </c>
      <c r="D144" s="851">
        <f t="shared" si="8"/>
        <v>1021000</v>
      </c>
      <c r="E144" s="851">
        <f t="shared" si="8"/>
        <v>15510</v>
      </c>
      <c r="F144" s="854">
        <f t="shared" si="8"/>
        <v>1.6978444444444447</v>
      </c>
      <c r="G144" s="853">
        <f t="shared" si="8"/>
        <v>0.14096234111111108</v>
      </c>
      <c r="H144" s="855">
        <f t="shared" si="8"/>
        <v>3.279166666666666E-5</v>
      </c>
      <c r="I144" s="1428">
        <f t="shared" si="8"/>
        <v>5.9552888888888873</v>
      </c>
    </row>
    <row r="145" spans="1:9" x14ac:dyDescent="0.25">
      <c r="A145" s="1427" t="s">
        <v>716</v>
      </c>
      <c r="B145" s="611" t="s">
        <v>133</v>
      </c>
      <c r="C145" s="851">
        <f t="shared" si="8"/>
        <v>1022000</v>
      </c>
      <c r="D145" s="851">
        <f t="shared" si="8"/>
        <v>1021000</v>
      </c>
      <c r="E145" s="851">
        <f t="shared" si="8"/>
        <v>15510</v>
      </c>
      <c r="F145" s="854">
        <f t="shared" si="8"/>
        <v>1.6978444444444447</v>
      </c>
      <c r="G145" s="853">
        <f t="shared" si="8"/>
        <v>0.14096234111111108</v>
      </c>
      <c r="H145" s="855">
        <f t="shared" si="8"/>
        <v>3.279166666666666E-5</v>
      </c>
      <c r="I145" s="1428">
        <f t="shared" si="8"/>
        <v>5.9552888888888873</v>
      </c>
    </row>
    <row r="146" spans="1:9" x14ac:dyDescent="0.25">
      <c r="A146" s="1427" t="s">
        <v>717</v>
      </c>
      <c r="B146" s="611" t="s">
        <v>133</v>
      </c>
      <c r="C146" s="851">
        <f t="shared" ref="C146:I153" si="9">+AVERAGEIFS(D$165:D$524,$B$165:$B$524,$A146,$C$165:$C$524,"&gt;="&amp;startup_year,$C$165:$C$524,"&lt;="&amp;(startup_year+anal_period))</f>
        <v>1022000</v>
      </c>
      <c r="D146" s="851">
        <f t="shared" si="9"/>
        <v>1021000</v>
      </c>
      <c r="E146" s="851">
        <f t="shared" si="9"/>
        <v>15510</v>
      </c>
      <c r="F146" s="854">
        <f t="shared" si="9"/>
        <v>1.6978444444444447</v>
      </c>
      <c r="G146" s="853">
        <f t="shared" si="9"/>
        <v>0.14096234111111108</v>
      </c>
      <c r="H146" s="855">
        <f t="shared" si="9"/>
        <v>3.279166666666666E-5</v>
      </c>
      <c r="I146" s="1428">
        <f t="shared" si="9"/>
        <v>5.9552888888888873</v>
      </c>
    </row>
    <row r="147" spans="1:9" x14ac:dyDescent="0.25">
      <c r="A147" s="1427" t="s">
        <v>912</v>
      </c>
      <c r="B147" s="611" t="s">
        <v>134</v>
      </c>
      <c r="C147" s="851">
        <f t="shared" si="9"/>
        <v>1209000</v>
      </c>
      <c r="D147" s="851">
        <f t="shared" si="9"/>
        <v>1202000</v>
      </c>
      <c r="E147" s="851">
        <f t="shared" si="9"/>
        <v>1052000</v>
      </c>
      <c r="F147" s="854">
        <f t="shared" si="9"/>
        <v>17.978222222222218</v>
      </c>
      <c r="G147" s="853">
        <f t="shared" si="9"/>
        <v>0.1641276666666667</v>
      </c>
      <c r="H147" s="855">
        <f t="shared" si="9"/>
        <v>2.9047555555555561E-4</v>
      </c>
      <c r="I147" s="1428">
        <f t="shared" si="9"/>
        <v>22.99966666666667</v>
      </c>
    </row>
    <row r="148" spans="1:9" x14ac:dyDescent="0.25">
      <c r="A148" s="1427" t="s">
        <v>910</v>
      </c>
      <c r="B148" s="611" t="s">
        <v>1104</v>
      </c>
      <c r="C148" s="851">
        <f t="shared" si="9"/>
        <v>1585222.2222222222</v>
      </c>
      <c r="D148" s="851">
        <f t="shared" si="9"/>
        <v>696333.33333333337</v>
      </c>
      <c r="E148" s="851">
        <f t="shared" si="9"/>
        <v>286011.11111111112</v>
      </c>
      <c r="F148" s="854">
        <f t="shared" si="9"/>
        <v>38.073444444444448</v>
      </c>
      <c r="G148" s="853">
        <f t="shared" si="9"/>
        <v>0.1118</v>
      </c>
      <c r="H148" s="855">
        <f t="shared" si="9"/>
        <v>2.5350000000000004E-2</v>
      </c>
      <c r="I148" s="1428">
        <f t="shared" si="9"/>
        <v>45.206666666666663</v>
      </c>
    </row>
    <row r="149" spans="1:9" x14ac:dyDescent="0.25">
      <c r="A149" s="1427" t="s">
        <v>913</v>
      </c>
      <c r="B149" s="611" t="s">
        <v>134</v>
      </c>
      <c r="C149" s="851">
        <f t="shared" si="9"/>
        <v>1249111.111111111</v>
      </c>
      <c r="D149" s="851">
        <f t="shared" si="9"/>
        <v>1242000</v>
      </c>
      <c r="E149" s="851">
        <f t="shared" si="9"/>
        <v>1078000</v>
      </c>
      <c r="F149" s="854">
        <f t="shared" si="9"/>
        <v>23.850666666666669</v>
      </c>
      <c r="G149" s="853">
        <f t="shared" si="9"/>
        <v>0.16985744444444445</v>
      </c>
      <c r="H149" s="855">
        <f t="shared" si="9"/>
        <v>3.7835111111111111E-4</v>
      </c>
      <c r="I149" s="1428">
        <f t="shared" si="9"/>
        <v>29.169000000000008</v>
      </c>
    </row>
    <row r="150" spans="1:9" x14ac:dyDescent="0.25">
      <c r="A150" s="1427" t="s">
        <v>1081</v>
      </c>
      <c r="B150" s="611" t="s">
        <v>1296</v>
      </c>
      <c r="C150" s="851">
        <f t="shared" si="9"/>
        <v>1190000</v>
      </c>
      <c r="D150" s="851">
        <f t="shared" si="9"/>
        <v>51592.222222222219</v>
      </c>
      <c r="E150" s="851">
        <f t="shared" si="9"/>
        <v>29220</v>
      </c>
      <c r="F150" s="854">
        <f t="shared" si="9"/>
        <v>3.7602333333333329</v>
      </c>
      <c r="G150" s="853">
        <f t="shared" si="9"/>
        <v>8.4359666666666642E-3</v>
      </c>
      <c r="H150" s="855">
        <f t="shared" si="9"/>
        <v>-3.8261034444444448E-3</v>
      </c>
      <c r="I150" s="1428">
        <f t="shared" si="9"/>
        <v>3.0076888888888895</v>
      </c>
    </row>
    <row r="151" spans="1:9" x14ac:dyDescent="0.25">
      <c r="A151" s="1427" t="s">
        <v>815</v>
      </c>
      <c r="B151" s="611" t="s">
        <v>1296</v>
      </c>
      <c r="C151" s="851">
        <f t="shared" si="9"/>
        <v>1190000</v>
      </c>
      <c r="D151" s="851">
        <f t="shared" si="9"/>
        <v>51592.222222222219</v>
      </c>
      <c r="E151" s="851">
        <f t="shared" si="9"/>
        <v>29220</v>
      </c>
      <c r="F151" s="854">
        <f t="shared" si="9"/>
        <v>3.7602333333333329</v>
      </c>
      <c r="G151" s="853">
        <f t="shared" si="9"/>
        <v>8.4359666666666642E-3</v>
      </c>
      <c r="H151" s="855">
        <f t="shared" si="9"/>
        <v>-3.8261034444444448E-3</v>
      </c>
      <c r="I151" s="1428">
        <f t="shared" si="9"/>
        <v>3.0076888888888895</v>
      </c>
    </row>
    <row r="152" spans="1:9" x14ac:dyDescent="0.25">
      <c r="A152" s="1427" t="s">
        <v>824</v>
      </c>
      <c r="B152" s="611" t="s">
        <v>1296</v>
      </c>
      <c r="C152" s="851">
        <f t="shared" si="9"/>
        <v>1190000</v>
      </c>
      <c r="D152" s="851">
        <f t="shared" si="9"/>
        <v>51592.222222222219</v>
      </c>
      <c r="E152" s="851">
        <f t="shared" si="9"/>
        <v>29220</v>
      </c>
      <c r="F152" s="854">
        <f t="shared" si="9"/>
        <v>3.7602333333333329</v>
      </c>
      <c r="G152" s="853">
        <f t="shared" si="9"/>
        <v>8.4359666666666642E-3</v>
      </c>
      <c r="H152" s="855">
        <f t="shared" si="9"/>
        <v>-3.8261034444444448E-3</v>
      </c>
      <c r="I152" s="1428">
        <f t="shared" si="9"/>
        <v>3.0076888888888895</v>
      </c>
    </row>
    <row r="153" spans="1:9" ht="13" thickBot="1" x14ac:dyDescent="0.3">
      <c r="A153" s="1431" t="s">
        <v>1088</v>
      </c>
      <c r="B153" s="1432" t="s">
        <v>1297</v>
      </c>
      <c r="C153" s="1433">
        <f t="shared" si="9"/>
        <v>1384000</v>
      </c>
      <c r="D153" s="1433">
        <f t="shared" si="9"/>
        <v>1383000</v>
      </c>
      <c r="E153" s="1433">
        <f t="shared" si="9"/>
        <v>5034</v>
      </c>
      <c r="F153" s="1434">
        <f t="shared" si="9"/>
        <v>78.571100000000001</v>
      </c>
      <c r="G153" s="1435">
        <f t="shared" si="9"/>
        <v>0.27494000000000002</v>
      </c>
      <c r="H153" s="1436">
        <f t="shared" si="9"/>
        <v>2.3304000000000003E-3</v>
      </c>
      <c r="I153" s="1437">
        <f t="shared" si="9"/>
        <v>87.59429999999999</v>
      </c>
    </row>
    <row r="162" spans="2:10" ht="13" thickBot="1" x14ac:dyDescent="0.3">
      <c r="B162" s="305" t="s">
        <v>1294</v>
      </c>
    </row>
    <row r="163" spans="2:10" ht="37.5" x14ac:dyDescent="0.25">
      <c r="D163" s="1399" t="s">
        <v>124</v>
      </c>
      <c r="E163" s="1400"/>
      <c r="F163" s="1401"/>
      <c r="G163" s="1399" t="s">
        <v>125</v>
      </c>
      <c r="H163" s="1400"/>
      <c r="I163" s="1400"/>
      <c r="J163" s="1401" t="s">
        <v>126</v>
      </c>
    </row>
    <row r="164" spans="2:10" ht="13.5" thickBot="1" x14ac:dyDescent="0.35">
      <c r="B164" s="1" t="s">
        <v>248</v>
      </c>
      <c r="C164" s="1" t="s">
        <v>1084</v>
      </c>
      <c r="D164" s="1402" t="s">
        <v>129</v>
      </c>
      <c r="E164" s="1403" t="s">
        <v>398</v>
      </c>
      <c r="F164" s="1404" t="s">
        <v>399</v>
      </c>
      <c r="G164" s="1402" t="s">
        <v>403</v>
      </c>
      <c r="H164" s="1403" t="s">
        <v>404</v>
      </c>
      <c r="I164" s="1403" t="s">
        <v>405</v>
      </c>
      <c r="J164" s="1404" t="s">
        <v>130</v>
      </c>
    </row>
    <row r="165" spans="2:10" x14ac:dyDescent="0.25">
      <c r="B165" s="1405" t="s">
        <v>1085</v>
      </c>
      <c r="C165" s="1406">
        <v>2005</v>
      </c>
      <c r="D165" s="1405">
        <v>1094000</v>
      </c>
      <c r="E165" s="1407">
        <v>1094000</v>
      </c>
      <c r="F165" s="1408">
        <v>4252</v>
      </c>
      <c r="G165" s="1405">
        <v>5.9984999999999999</v>
      </c>
      <c r="H165" s="1407">
        <v>0.18232600000000002</v>
      </c>
      <c r="I165" s="1407">
        <v>8.8801999999999994E-5</v>
      </c>
      <c r="J165" s="1408">
        <v>11.536999999999999</v>
      </c>
    </row>
    <row r="166" spans="2:10" x14ac:dyDescent="0.25">
      <c r="B166" s="1409" t="s">
        <v>283</v>
      </c>
      <c r="C166" s="1410">
        <v>2005</v>
      </c>
      <c r="D166" s="1409">
        <v>1094000</v>
      </c>
      <c r="E166" s="1411">
        <v>1094000</v>
      </c>
      <c r="F166" s="1412">
        <v>4252</v>
      </c>
      <c r="G166" s="1409">
        <v>5.9984999999999999</v>
      </c>
      <c r="H166" s="1411">
        <v>0.18232600000000002</v>
      </c>
      <c r="I166" s="1411">
        <v>8.8801999999999994E-5</v>
      </c>
      <c r="J166" s="1412">
        <v>11.536999999999999</v>
      </c>
    </row>
    <row r="167" spans="2:10" x14ac:dyDescent="0.25">
      <c r="B167" s="1409" t="s">
        <v>1086</v>
      </c>
      <c r="C167" s="1410">
        <v>2005</v>
      </c>
      <c r="D167" s="1409">
        <v>1094000</v>
      </c>
      <c r="E167" s="1411">
        <v>1094000</v>
      </c>
      <c r="F167" s="1412">
        <v>4252</v>
      </c>
      <c r="G167" s="1409">
        <v>5.9984999999999999</v>
      </c>
      <c r="H167" s="1411">
        <v>0.18232600000000002</v>
      </c>
      <c r="I167" s="1411">
        <v>8.8801999999999994E-5</v>
      </c>
      <c r="J167" s="1412">
        <v>11.536999999999999</v>
      </c>
    </row>
    <row r="168" spans="2:10" x14ac:dyDescent="0.25">
      <c r="B168" s="1409" t="s">
        <v>681</v>
      </c>
      <c r="C168" s="1410">
        <v>2005</v>
      </c>
      <c r="D168" s="1409">
        <v>1094000</v>
      </c>
      <c r="E168" s="1411">
        <v>1094000</v>
      </c>
      <c r="F168" s="1412">
        <v>4252</v>
      </c>
      <c r="G168" s="1409">
        <v>5.9984999999999999</v>
      </c>
      <c r="H168" s="1411">
        <v>0.18232600000000002</v>
      </c>
      <c r="I168" s="1411">
        <v>8.8801999999999994E-5</v>
      </c>
      <c r="J168" s="1412">
        <v>11.536999999999999</v>
      </c>
    </row>
    <row r="169" spans="2:10" x14ac:dyDescent="0.25">
      <c r="B169" s="1409" t="s">
        <v>682</v>
      </c>
      <c r="C169" s="1410">
        <v>2005</v>
      </c>
      <c r="D169" s="1409">
        <v>-1208000</v>
      </c>
      <c r="E169" s="1411">
        <v>0</v>
      </c>
      <c r="F169" s="1412">
        <v>0</v>
      </c>
      <c r="G169" s="1409">
        <v>-85.789999999999992</v>
      </c>
      <c r="H169" s="1411">
        <v>0.54689999999999994</v>
      </c>
      <c r="I169" s="1411">
        <v>-1.4884E-3</v>
      </c>
      <c r="J169" s="1412">
        <v>-70</v>
      </c>
    </row>
    <row r="170" spans="2:10" x14ac:dyDescent="0.25">
      <c r="B170" s="1409" t="s">
        <v>683</v>
      </c>
      <c r="C170" s="1410">
        <v>2005</v>
      </c>
      <c r="D170" s="1409">
        <v>2475000</v>
      </c>
      <c r="E170" s="1411">
        <v>2129000</v>
      </c>
      <c r="F170" s="1412">
        <v>124000</v>
      </c>
      <c r="G170" s="1409">
        <v>251.83</v>
      </c>
      <c r="H170" s="1411">
        <v>0.31369799999999998</v>
      </c>
      <c r="I170" s="1411">
        <v>3.6604999999999997E-3</v>
      </c>
      <c r="J170" s="1412">
        <v>255.85999999999999</v>
      </c>
    </row>
    <row r="171" spans="2:10" x14ac:dyDescent="0.25">
      <c r="B171" s="1409" t="s">
        <v>698</v>
      </c>
      <c r="C171" s="1410">
        <v>2005</v>
      </c>
      <c r="D171" s="1409">
        <v>2475000</v>
      </c>
      <c r="E171" s="1411">
        <v>2129000</v>
      </c>
      <c r="F171" s="1412">
        <v>124000</v>
      </c>
      <c r="G171" s="1409">
        <v>251.83</v>
      </c>
      <c r="H171" s="1411">
        <v>0.31369799999999998</v>
      </c>
      <c r="I171" s="1411">
        <v>3.6604999999999997E-3</v>
      </c>
      <c r="J171" s="1412">
        <v>255.85999999999999</v>
      </c>
    </row>
    <row r="172" spans="2:10" x14ac:dyDescent="0.25">
      <c r="B172" s="1409" t="s">
        <v>684</v>
      </c>
      <c r="C172" s="1410">
        <v>2005</v>
      </c>
      <c r="D172" s="1409">
        <v>2475000</v>
      </c>
      <c r="E172" s="1411">
        <v>2129000</v>
      </c>
      <c r="F172" s="1412">
        <v>124000</v>
      </c>
      <c r="G172" s="1409">
        <v>251.83</v>
      </c>
      <c r="H172" s="1411">
        <v>0.31369799999999998</v>
      </c>
      <c r="I172" s="1411">
        <v>3.6604999999999997E-3</v>
      </c>
      <c r="J172" s="1412">
        <v>255.85999999999999</v>
      </c>
    </row>
    <row r="173" spans="2:10" x14ac:dyDescent="0.25">
      <c r="B173" s="1409" t="s">
        <v>1087</v>
      </c>
      <c r="C173" s="1410">
        <v>2005</v>
      </c>
      <c r="D173" s="1409">
        <v>1023000</v>
      </c>
      <c r="E173" s="1411">
        <v>1022000</v>
      </c>
      <c r="F173" s="1412">
        <v>15840</v>
      </c>
      <c r="G173" s="1409">
        <v>1.9352</v>
      </c>
      <c r="H173" s="1411">
        <v>0.14136591000000001</v>
      </c>
      <c r="I173" s="1411">
        <v>3.6392E-5</v>
      </c>
      <c r="J173" s="1412">
        <v>6.2023000000000001</v>
      </c>
    </row>
    <row r="174" spans="2:10" x14ac:dyDescent="0.25">
      <c r="B174" s="1409" t="s">
        <v>716</v>
      </c>
      <c r="C174" s="1410">
        <v>2005</v>
      </c>
      <c r="D174" s="1409">
        <v>1023000</v>
      </c>
      <c r="E174" s="1411">
        <v>1022000</v>
      </c>
      <c r="F174" s="1412">
        <v>15840</v>
      </c>
      <c r="G174" s="1409">
        <v>1.9352</v>
      </c>
      <c r="H174" s="1411">
        <v>0.14136591000000001</v>
      </c>
      <c r="I174" s="1411">
        <v>3.6392E-5</v>
      </c>
      <c r="J174" s="1412">
        <v>6.2023000000000001</v>
      </c>
    </row>
    <row r="175" spans="2:10" x14ac:dyDescent="0.25">
      <c r="B175" s="1409" t="s">
        <v>717</v>
      </c>
      <c r="C175" s="1410">
        <v>2005</v>
      </c>
      <c r="D175" s="1409">
        <v>1023000</v>
      </c>
      <c r="E175" s="1411">
        <v>1022000</v>
      </c>
      <c r="F175" s="1412">
        <v>15840</v>
      </c>
      <c r="G175" s="1409">
        <v>1.9352</v>
      </c>
      <c r="H175" s="1411">
        <v>0.14136591000000001</v>
      </c>
      <c r="I175" s="1411">
        <v>3.6392E-5</v>
      </c>
      <c r="J175" s="1412">
        <v>6.2023000000000001</v>
      </c>
    </row>
    <row r="176" spans="2:10" x14ac:dyDescent="0.25">
      <c r="B176" s="1409" t="s">
        <v>912</v>
      </c>
      <c r="C176" s="1410">
        <v>2005</v>
      </c>
      <c r="D176" s="1409">
        <v>1205000</v>
      </c>
      <c r="E176" s="1411">
        <v>1200000</v>
      </c>
      <c r="F176" s="1412">
        <v>1056000</v>
      </c>
      <c r="G176" s="1409">
        <v>18.433</v>
      </c>
      <c r="H176" s="1411">
        <v>0.18217</v>
      </c>
      <c r="I176" s="1411">
        <v>2.0549999999999998E-4</v>
      </c>
      <c r="J176" s="1412">
        <v>23.908999999999999</v>
      </c>
    </row>
    <row r="177" spans="2:10" x14ac:dyDescent="0.25">
      <c r="B177" s="1409" t="s">
        <v>910</v>
      </c>
      <c r="C177" s="1410">
        <v>2005</v>
      </c>
      <c r="D177" s="1409">
        <v>1760000</v>
      </c>
      <c r="E177" s="1411">
        <v>783400</v>
      </c>
      <c r="F177" s="1412">
        <v>307400</v>
      </c>
      <c r="G177" s="1409">
        <v>47.923999999999999</v>
      </c>
      <c r="H177" s="1411">
        <v>0.13161500000000001</v>
      </c>
      <c r="I177" s="1411">
        <v>3.3619999999999997E-2</v>
      </c>
      <c r="J177" s="1412">
        <v>56.43</v>
      </c>
    </row>
    <row r="178" spans="2:10" x14ac:dyDescent="0.25">
      <c r="B178" s="1409" t="s">
        <v>913</v>
      </c>
      <c r="C178" s="1410">
        <v>2005</v>
      </c>
      <c r="D178" s="1409">
        <v>1248000</v>
      </c>
      <c r="E178" s="1411">
        <v>1242000</v>
      </c>
      <c r="F178" s="1412">
        <v>1084000</v>
      </c>
      <c r="G178" s="1409">
        <v>24.465</v>
      </c>
      <c r="H178" s="1411">
        <v>0.18840200000000001</v>
      </c>
      <c r="I178" s="1411">
        <v>2.7361999999999997E-4</v>
      </c>
      <c r="J178" s="1412">
        <v>30.237000000000002</v>
      </c>
    </row>
    <row r="179" spans="2:10" x14ac:dyDescent="0.25">
      <c r="B179" s="1409" t="s">
        <v>1081</v>
      </c>
      <c r="C179" s="1410">
        <v>2005</v>
      </c>
      <c r="D179" s="1409">
        <v>1195000</v>
      </c>
      <c r="E179" s="1411">
        <v>56800</v>
      </c>
      <c r="F179" s="1412">
        <v>32280</v>
      </c>
      <c r="G179" s="1409">
        <v>4.3339999999999996</v>
      </c>
      <c r="H179" s="1411">
        <v>9.434399999999999E-3</v>
      </c>
      <c r="I179" s="1411">
        <v>-3.8369229999999999E-3</v>
      </c>
      <c r="J179" s="1412">
        <v>3.6147</v>
      </c>
    </row>
    <row r="180" spans="2:10" x14ac:dyDescent="0.25">
      <c r="B180" s="1409" t="s">
        <v>815</v>
      </c>
      <c r="C180" s="1410">
        <v>2005</v>
      </c>
      <c r="D180" s="1409">
        <v>1195000</v>
      </c>
      <c r="E180" s="1411">
        <v>56800</v>
      </c>
      <c r="F180" s="1412">
        <v>32280</v>
      </c>
      <c r="G180" s="1409">
        <v>4.3339999999999996</v>
      </c>
      <c r="H180" s="1411">
        <v>9.434399999999999E-3</v>
      </c>
      <c r="I180" s="1411">
        <v>-3.8369229999999999E-3</v>
      </c>
      <c r="J180" s="1412">
        <v>3.6147</v>
      </c>
    </row>
    <row r="181" spans="2:10" x14ac:dyDescent="0.25">
      <c r="B181" s="1409" t="s">
        <v>824</v>
      </c>
      <c r="C181" s="1410">
        <v>2005</v>
      </c>
      <c r="D181" s="1409">
        <v>1195000</v>
      </c>
      <c r="E181" s="1411">
        <v>56800</v>
      </c>
      <c r="F181" s="1412">
        <v>32280</v>
      </c>
      <c r="G181" s="1409">
        <v>4.3339999999999996</v>
      </c>
      <c r="H181" s="1411">
        <v>9.434399999999999E-3</v>
      </c>
      <c r="I181" s="1411">
        <v>-3.8369229999999999E-3</v>
      </c>
      <c r="J181" s="1412">
        <v>3.6147</v>
      </c>
    </row>
    <row r="182" spans="2:10" ht="13" thickBot="1" x14ac:dyDescent="0.3">
      <c r="B182" s="1413" t="s">
        <v>1088</v>
      </c>
      <c r="C182" s="1414">
        <v>2005</v>
      </c>
      <c r="D182" s="1413">
        <v>1387000</v>
      </c>
      <c r="E182" s="1415">
        <v>1386000</v>
      </c>
      <c r="F182" s="1416">
        <v>5427</v>
      </c>
      <c r="G182" s="1413">
        <v>78.934799999999996</v>
      </c>
      <c r="H182" s="1415">
        <v>0.27050000000000002</v>
      </c>
      <c r="I182" s="1415">
        <v>1.418723E-3</v>
      </c>
      <c r="J182" s="1416">
        <v>87.571399999999997</v>
      </c>
    </row>
    <row r="183" spans="2:10" x14ac:dyDescent="0.25">
      <c r="B183" s="1405" t="s">
        <v>1085</v>
      </c>
      <c r="C183" s="1406">
        <v>2010</v>
      </c>
      <c r="D183" s="1405">
        <v>1094000</v>
      </c>
      <c r="E183" s="1407">
        <v>1093000</v>
      </c>
      <c r="F183" s="1408">
        <v>4104</v>
      </c>
      <c r="G183" s="1405">
        <v>5.9177</v>
      </c>
      <c r="H183" s="1407">
        <v>0.18431800000000001</v>
      </c>
      <c r="I183" s="1407">
        <v>8.6370000000000001E-4</v>
      </c>
      <c r="J183" s="1408">
        <v>11.7387</v>
      </c>
    </row>
    <row r="184" spans="2:10" x14ac:dyDescent="0.25">
      <c r="B184" s="1409" t="s">
        <v>283</v>
      </c>
      <c r="C184" s="1410">
        <v>2010</v>
      </c>
      <c r="D184" s="1409">
        <v>1094000</v>
      </c>
      <c r="E184" s="1411">
        <v>1093000</v>
      </c>
      <c r="F184" s="1412">
        <v>4104</v>
      </c>
      <c r="G184" s="1409">
        <v>5.9177</v>
      </c>
      <c r="H184" s="1411">
        <v>0.18431800000000001</v>
      </c>
      <c r="I184" s="1411">
        <v>8.6370000000000001E-4</v>
      </c>
      <c r="J184" s="1412">
        <v>11.7387</v>
      </c>
    </row>
    <row r="185" spans="2:10" x14ac:dyDescent="0.25">
      <c r="B185" s="1409" t="s">
        <v>1086</v>
      </c>
      <c r="C185" s="1410">
        <v>2010</v>
      </c>
      <c r="D185" s="1409">
        <v>1094000</v>
      </c>
      <c r="E185" s="1411">
        <v>1093000</v>
      </c>
      <c r="F185" s="1412">
        <v>4104</v>
      </c>
      <c r="G185" s="1409">
        <v>5.9177</v>
      </c>
      <c r="H185" s="1411">
        <v>0.18431800000000001</v>
      </c>
      <c r="I185" s="1411">
        <v>8.6370000000000001E-4</v>
      </c>
      <c r="J185" s="1412">
        <v>11.7387</v>
      </c>
    </row>
    <row r="186" spans="2:10" x14ac:dyDescent="0.25">
      <c r="B186" s="1409" t="s">
        <v>681</v>
      </c>
      <c r="C186" s="1410">
        <v>2010</v>
      </c>
      <c r="D186" s="1409">
        <v>1094000</v>
      </c>
      <c r="E186" s="1411">
        <v>1093000</v>
      </c>
      <c r="F186" s="1412">
        <v>4104</v>
      </c>
      <c r="G186" s="1409">
        <v>5.9177</v>
      </c>
      <c r="H186" s="1411">
        <v>0.18431800000000001</v>
      </c>
      <c r="I186" s="1411">
        <v>8.6370000000000001E-4</v>
      </c>
      <c r="J186" s="1412">
        <v>11.7387</v>
      </c>
    </row>
    <row r="187" spans="2:10" x14ac:dyDescent="0.25">
      <c r="B187" s="1409" t="s">
        <v>682</v>
      </c>
      <c r="C187" s="1410">
        <v>2010</v>
      </c>
      <c r="D187" s="1409">
        <v>-1208000</v>
      </c>
      <c r="E187" s="1411">
        <v>0</v>
      </c>
      <c r="F187" s="1412">
        <v>0</v>
      </c>
      <c r="G187" s="1409">
        <v>-85.789999999999992</v>
      </c>
      <c r="H187" s="1411">
        <v>0.54600000000000004</v>
      </c>
      <c r="I187" s="1411">
        <v>-1.8614999999999999E-3</v>
      </c>
      <c r="J187" s="1412">
        <v>-70.12</v>
      </c>
    </row>
    <row r="188" spans="2:10" x14ac:dyDescent="0.25">
      <c r="B188" s="1409" t="s">
        <v>683</v>
      </c>
      <c r="C188" s="1410">
        <v>2010</v>
      </c>
      <c r="D188" s="1409">
        <v>2254000</v>
      </c>
      <c r="E188" s="1411">
        <v>1938000</v>
      </c>
      <c r="F188" s="1412">
        <v>52730</v>
      </c>
      <c r="G188" s="1409">
        <v>220.67</v>
      </c>
      <c r="H188" s="1411">
        <v>0.288267</v>
      </c>
      <c r="I188" s="1411">
        <v>3.4012000000000001E-3</v>
      </c>
      <c r="J188" s="1412">
        <v>228.91000000000003</v>
      </c>
    </row>
    <row r="189" spans="2:10" x14ac:dyDescent="0.25">
      <c r="B189" s="1409" t="s">
        <v>698</v>
      </c>
      <c r="C189" s="1410">
        <v>2010</v>
      </c>
      <c r="D189" s="1409">
        <v>2254000</v>
      </c>
      <c r="E189" s="1411">
        <v>1938000</v>
      </c>
      <c r="F189" s="1412">
        <v>52730</v>
      </c>
      <c r="G189" s="1409">
        <v>220.67</v>
      </c>
      <c r="H189" s="1411">
        <v>0.288267</v>
      </c>
      <c r="I189" s="1411">
        <v>3.4012000000000001E-3</v>
      </c>
      <c r="J189" s="1412">
        <v>228.91000000000003</v>
      </c>
    </row>
    <row r="190" spans="2:10" x14ac:dyDescent="0.25">
      <c r="B190" s="1409" t="s">
        <v>684</v>
      </c>
      <c r="C190" s="1410">
        <v>2010</v>
      </c>
      <c r="D190" s="1409">
        <v>2254000</v>
      </c>
      <c r="E190" s="1411">
        <v>1938000</v>
      </c>
      <c r="F190" s="1412">
        <v>52730</v>
      </c>
      <c r="G190" s="1409">
        <v>220.67</v>
      </c>
      <c r="H190" s="1411">
        <v>0.288267</v>
      </c>
      <c r="I190" s="1411">
        <v>3.4012000000000001E-3</v>
      </c>
      <c r="J190" s="1412">
        <v>228.91000000000003</v>
      </c>
    </row>
    <row r="191" spans="2:10" x14ac:dyDescent="0.25">
      <c r="B191" s="1409" t="s">
        <v>1087</v>
      </c>
      <c r="C191" s="1410">
        <v>2010</v>
      </c>
      <c r="D191" s="1409">
        <v>1023000</v>
      </c>
      <c r="E191" s="1411">
        <v>1022000</v>
      </c>
      <c r="F191" s="1412">
        <v>15710</v>
      </c>
      <c r="G191" s="1409">
        <v>1.8761000000000001</v>
      </c>
      <c r="H191" s="1411">
        <v>0.14136795000000002</v>
      </c>
      <c r="I191" s="1411">
        <v>3.5802E-5</v>
      </c>
      <c r="J191" s="1412">
        <v>6.1511000000000005</v>
      </c>
    </row>
    <row r="192" spans="2:10" x14ac:dyDescent="0.25">
      <c r="B192" s="1409" t="s">
        <v>716</v>
      </c>
      <c r="C192" s="1410">
        <v>2010</v>
      </c>
      <c r="D192" s="1409">
        <v>1023000</v>
      </c>
      <c r="E192" s="1411">
        <v>1022000</v>
      </c>
      <c r="F192" s="1412">
        <v>15710</v>
      </c>
      <c r="G192" s="1409">
        <v>1.8761000000000001</v>
      </c>
      <c r="H192" s="1411">
        <v>0.14136795000000002</v>
      </c>
      <c r="I192" s="1411">
        <v>3.5802E-5</v>
      </c>
      <c r="J192" s="1412">
        <v>6.1511000000000005</v>
      </c>
    </row>
    <row r="193" spans="2:10" x14ac:dyDescent="0.25">
      <c r="B193" s="1409" t="s">
        <v>717</v>
      </c>
      <c r="C193" s="1410">
        <v>2010</v>
      </c>
      <c r="D193" s="1409">
        <v>1023000</v>
      </c>
      <c r="E193" s="1411">
        <v>1022000</v>
      </c>
      <c r="F193" s="1412">
        <v>15710</v>
      </c>
      <c r="G193" s="1409">
        <v>1.8761000000000001</v>
      </c>
      <c r="H193" s="1411">
        <v>0.14136795000000002</v>
      </c>
      <c r="I193" s="1411">
        <v>3.5802E-5</v>
      </c>
      <c r="J193" s="1412">
        <v>6.1511000000000005</v>
      </c>
    </row>
    <row r="194" spans="2:10" x14ac:dyDescent="0.25">
      <c r="B194" s="1409" t="s">
        <v>912</v>
      </c>
      <c r="C194" s="1410">
        <v>2010</v>
      </c>
      <c r="D194" s="1409">
        <v>1206000</v>
      </c>
      <c r="E194" s="1411">
        <v>1201000</v>
      </c>
      <c r="F194" s="1412">
        <v>1056000</v>
      </c>
      <c r="G194" s="1409">
        <v>18.166999999999998</v>
      </c>
      <c r="H194" s="1411">
        <v>0.18199899999999999</v>
      </c>
      <c r="I194" s="1411">
        <v>2.9639E-4</v>
      </c>
      <c r="J194" s="1412">
        <v>23.741999999999997</v>
      </c>
    </row>
    <row r="195" spans="2:10" x14ac:dyDescent="0.25">
      <c r="B195" s="1409" t="s">
        <v>910</v>
      </c>
      <c r="C195" s="1410">
        <v>2010</v>
      </c>
      <c r="D195" s="1409">
        <v>1687000</v>
      </c>
      <c r="E195" s="1411">
        <v>740000</v>
      </c>
      <c r="F195" s="1412">
        <v>297100</v>
      </c>
      <c r="G195" s="1409">
        <v>42.921999999999997</v>
      </c>
      <c r="H195" s="1411">
        <v>0.12687100000000001</v>
      </c>
      <c r="I195" s="1411">
        <v>2.955E-2</v>
      </c>
      <c r="J195" s="1412">
        <v>50.54</v>
      </c>
    </row>
    <row r="196" spans="2:10" x14ac:dyDescent="0.25">
      <c r="B196" s="1409" t="s">
        <v>913</v>
      </c>
      <c r="C196" s="1410">
        <v>2010</v>
      </c>
      <c r="D196" s="1409">
        <v>1248000</v>
      </c>
      <c r="E196" s="1411">
        <v>1242000</v>
      </c>
      <c r="F196" s="1412">
        <v>1083000</v>
      </c>
      <c r="G196" s="1409">
        <v>24.158999999999999</v>
      </c>
      <c r="H196" s="1411">
        <v>0.18823500000000001</v>
      </c>
      <c r="I196" s="1411">
        <v>3.8572999999999998E-4</v>
      </c>
      <c r="J196" s="1412">
        <v>30.041</v>
      </c>
    </row>
    <row r="197" spans="2:10" x14ac:dyDescent="0.25">
      <c r="B197" s="1409" t="s">
        <v>1081</v>
      </c>
      <c r="C197" s="1410">
        <v>2010</v>
      </c>
      <c r="D197" s="1409">
        <v>1194000</v>
      </c>
      <c r="E197" s="1411">
        <v>56320</v>
      </c>
      <c r="F197" s="1412">
        <v>32080</v>
      </c>
      <c r="G197" s="1409">
        <v>4.2514000000000003</v>
      </c>
      <c r="H197" s="1411">
        <v>9.6048000000000001E-3</v>
      </c>
      <c r="I197" s="1411">
        <v>-3.820487E-3</v>
      </c>
      <c r="J197" s="1412">
        <v>3.5488999999999997</v>
      </c>
    </row>
    <row r="198" spans="2:10" x14ac:dyDescent="0.25">
      <c r="B198" s="1409" t="s">
        <v>815</v>
      </c>
      <c r="C198" s="1410">
        <v>2010</v>
      </c>
      <c r="D198" s="1409">
        <v>1194000</v>
      </c>
      <c r="E198" s="1411">
        <v>56320</v>
      </c>
      <c r="F198" s="1412">
        <v>32080</v>
      </c>
      <c r="G198" s="1409">
        <v>4.2514000000000003</v>
      </c>
      <c r="H198" s="1411">
        <v>9.6048000000000001E-3</v>
      </c>
      <c r="I198" s="1411">
        <v>-3.820487E-3</v>
      </c>
      <c r="J198" s="1412">
        <v>3.5488999999999997</v>
      </c>
    </row>
    <row r="199" spans="2:10" x14ac:dyDescent="0.25">
      <c r="B199" s="1409" t="s">
        <v>824</v>
      </c>
      <c r="C199" s="1410">
        <v>2010</v>
      </c>
      <c r="D199" s="1409">
        <v>1194000</v>
      </c>
      <c r="E199" s="1411">
        <v>56320</v>
      </c>
      <c r="F199" s="1412">
        <v>32080</v>
      </c>
      <c r="G199" s="1409">
        <v>4.2514000000000003</v>
      </c>
      <c r="H199" s="1411">
        <v>9.6048000000000001E-3</v>
      </c>
      <c r="I199" s="1411">
        <v>-3.820487E-3</v>
      </c>
      <c r="J199" s="1412">
        <v>3.5488999999999997</v>
      </c>
    </row>
    <row r="200" spans="2:10" ht="13" thickBot="1" x14ac:dyDescent="0.3">
      <c r="B200" s="1413" t="s">
        <v>1088</v>
      </c>
      <c r="C200" s="1414">
        <v>2010</v>
      </c>
      <c r="D200" s="1413">
        <v>1386000</v>
      </c>
      <c r="E200" s="1415">
        <v>1385000</v>
      </c>
      <c r="F200" s="1416">
        <v>5215</v>
      </c>
      <c r="G200" s="1413">
        <v>78.8352</v>
      </c>
      <c r="H200" s="1415">
        <v>0.27453</v>
      </c>
      <c r="I200" s="1415">
        <v>2.3346E-3</v>
      </c>
      <c r="J200" s="1416">
        <v>87.848799999999997</v>
      </c>
    </row>
    <row r="201" spans="2:10" x14ac:dyDescent="0.25">
      <c r="B201" s="1405" t="s">
        <v>1085</v>
      </c>
      <c r="C201" s="1406">
        <v>2015</v>
      </c>
      <c r="D201" s="1405">
        <v>1093000</v>
      </c>
      <c r="E201" s="1407">
        <v>1092000</v>
      </c>
      <c r="F201" s="1408">
        <v>4020</v>
      </c>
      <c r="G201" s="1405">
        <v>5.8287000000000004</v>
      </c>
      <c r="H201" s="1407">
        <v>0.18472100000000002</v>
      </c>
      <c r="I201" s="1407">
        <v>8.6249999999999999E-4</v>
      </c>
      <c r="J201" s="1408">
        <v>11.659600000000001</v>
      </c>
    </row>
    <row r="202" spans="2:10" x14ac:dyDescent="0.25">
      <c r="B202" s="1409" t="s">
        <v>283</v>
      </c>
      <c r="C202" s="1410">
        <v>2015</v>
      </c>
      <c r="D202" s="1409">
        <v>1093000</v>
      </c>
      <c r="E202" s="1411">
        <v>1092000</v>
      </c>
      <c r="F202" s="1412">
        <v>4020</v>
      </c>
      <c r="G202" s="1409">
        <v>5.8287000000000004</v>
      </c>
      <c r="H202" s="1411">
        <v>0.18472100000000002</v>
      </c>
      <c r="I202" s="1411">
        <v>8.6249999999999999E-4</v>
      </c>
      <c r="J202" s="1412">
        <v>11.659600000000001</v>
      </c>
    </row>
    <row r="203" spans="2:10" x14ac:dyDescent="0.25">
      <c r="B203" s="1409" t="s">
        <v>1086</v>
      </c>
      <c r="C203" s="1410">
        <v>2015</v>
      </c>
      <c r="D203" s="1409">
        <v>1093000</v>
      </c>
      <c r="E203" s="1411">
        <v>1092000</v>
      </c>
      <c r="F203" s="1412">
        <v>4020</v>
      </c>
      <c r="G203" s="1409">
        <v>5.8287000000000004</v>
      </c>
      <c r="H203" s="1411">
        <v>0.18472100000000002</v>
      </c>
      <c r="I203" s="1411">
        <v>8.6249999999999999E-4</v>
      </c>
      <c r="J203" s="1412">
        <v>11.659600000000001</v>
      </c>
    </row>
    <row r="204" spans="2:10" x14ac:dyDescent="0.25">
      <c r="B204" s="1409" t="s">
        <v>681</v>
      </c>
      <c r="C204" s="1410">
        <v>2015</v>
      </c>
      <c r="D204" s="1409">
        <v>1093000</v>
      </c>
      <c r="E204" s="1411">
        <v>1092000</v>
      </c>
      <c r="F204" s="1412">
        <v>4020</v>
      </c>
      <c r="G204" s="1409">
        <v>5.8287000000000004</v>
      </c>
      <c r="H204" s="1411">
        <v>0.18472100000000002</v>
      </c>
      <c r="I204" s="1411">
        <v>8.6249999999999999E-4</v>
      </c>
      <c r="J204" s="1412">
        <v>11.659600000000001</v>
      </c>
    </row>
    <row r="205" spans="2:10" x14ac:dyDescent="0.25">
      <c r="B205" s="1409" t="s">
        <v>682</v>
      </c>
      <c r="C205" s="1410">
        <v>2015</v>
      </c>
      <c r="D205" s="1409">
        <v>-1194000</v>
      </c>
      <c r="E205" s="1411">
        <v>0</v>
      </c>
      <c r="F205" s="1412">
        <v>0</v>
      </c>
      <c r="G205" s="1409">
        <v>-85.789999999999992</v>
      </c>
      <c r="H205" s="1411">
        <v>0.54659999999999997</v>
      </c>
      <c r="I205" s="1411">
        <v>-1.8422E-3</v>
      </c>
      <c r="J205" s="1412">
        <v>-70.099999999999994</v>
      </c>
    </row>
    <row r="206" spans="2:10" x14ac:dyDescent="0.25">
      <c r="B206" s="1409" t="s">
        <v>683</v>
      </c>
      <c r="C206" s="1410">
        <v>2015</v>
      </c>
      <c r="D206" s="1409">
        <v>2038000</v>
      </c>
      <c r="E206" s="1411">
        <v>1688000</v>
      </c>
      <c r="F206" s="1412">
        <v>38920</v>
      </c>
      <c r="G206" s="1409">
        <v>180.61</v>
      </c>
      <c r="H206" s="1411">
        <v>0.25748300000000002</v>
      </c>
      <c r="I206" s="1411">
        <v>2.7356999999999998E-3</v>
      </c>
      <c r="J206" s="1412">
        <v>187.32</v>
      </c>
    </row>
    <row r="207" spans="2:10" x14ac:dyDescent="0.25">
      <c r="B207" s="1409" t="s">
        <v>698</v>
      </c>
      <c r="C207" s="1410">
        <v>2015</v>
      </c>
      <c r="D207" s="1409">
        <v>2038000</v>
      </c>
      <c r="E207" s="1411">
        <v>1688000</v>
      </c>
      <c r="F207" s="1412">
        <v>38920</v>
      </c>
      <c r="G207" s="1409">
        <v>180.61</v>
      </c>
      <c r="H207" s="1411">
        <v>0.25748300000000002</v>
      </c>
      <c r="I207" s="1411">
        <v>2.7356999999999998E-3</v>
      </c>
      <c r="J207" s="1412">
        <v>187.32</v>
      </c>
    </row>
    <row r="208" spans="2:10" x14ac:dyDescent="0.25">
      <c r="B208" s="1409" t="s">
        <v>684</v>
      </c>
      <c r="C208" s="1410">
        <v>2015</v>
      </c>
      <c r="D208" s="1409">
        <v>2038000</v>
      </c>
      <c r="E208" s="1411">
        <v>1688000</v>
      </c>
      <c r="F208" s="1412">
        <v>38920</v>
      </c>
      <c r="G208" s="1409">
        <v>180.61</v>
      </c>
      <c r="H208" s="1411">
        <v>0.25748300000000002</v>
      </c>
      <c r="I208" s="1411">
        <v>2.7356999999999998E-3</v>
      </c>
      <c r="J208" s="1412">
        <v>187.32</v>
      </c>
    </row>
    <row r="209" spans="2:10" x14ac:dyDescent="0.25">
      <c r="B209" s="1409" t="s">
        <v>1087</v>
      </c>
      <c r="C209" s="1410">
        <v>2015</v>
      </c>
      <c r="D209" s="1409">
        <v>1022000</v>
      </c>
      <c r="E209" s="1411">
        <v>1021000</v>
      </c>
      <c r="F209" s="1412">
        <v>15590</v>
      </c>
      <c r="G209" s="1409">
        <v>1.8048999999999999</v>
      </c>
      <c r="H209" s="1411">
        <v>0.14106285999999998</v>
      </c>
      <c r="I209" s="1411">
        <v>3.4603000000000001E-5</v>
      </c>
      <c r="J209" s="1412">
        <v>6.0683999999999996</v>
      </c>
    </row>
    <row r="210" spans="2:10" x14ac:dyDescent="0.25">
      <c r="B210" s="1409" t="s">
        <v>716</v>
      </c>
      <c r="C210" s="1410">
        <v>2015</v>
      </c>
      <c r="D210" s="1409">
        <v>1022000</v>
      </c>
      <c r="E210" s="1411">
        <v>1021000</v>
      </c>
      <c r="F210" s="1412">
        <v>15590</v>
      </c>
      <c r="G210" s="1409">
        <v>1.8048999999999999</v>
      </c>
      <c r="H210" s="1411">
        <v>0.14106285999999998</v>
      </c>
      <c r="I210" s="1411">
        <v>3.4603000000000001E-5</v>
      </c>
      <c r="J210" s="1412">
        <v>6.0683999999999996</v>
      </c>
    </row>
    <row r="211" spans="2:10" x14ac:dyDescent="0.25">
      <c r="B211" s="1409" t="s">
        <v>717</v>
      </c>
      <c r="C211" s="1410">
        <v>2015</v>
      </c>
      <c r="D211" s="1409">
        <v>1022000</v>
      </c>
      <c r="E211" s="1411">
        <v>1021000</v>
      </c>
      <c r="F211" s="1412">
        <v>15590</v>
      </c>
      <c r="G211" s="1409">
        <v>1.8048999999999999</v>
      </c>
      <c r="H211" s="1411">
        <v>0.14106285999999998</v>
      </c>
      <c r="I211" s="1411">
        <v>3.4603000000000001E-5</v>
      </c>
      <c r="J211" s="1412">
        <v>6.0683999999999996</v>
      </c>
    </row>
    <row r="212" spans="2:10" x14ac:dyDescent="0.25">
      <c r="B212" s="1409" t="s">
        <v>912</v>
      </c>
      <c r="C212" s="1410">
        <v>2015</v>
      </c>
      <c r="D212" s="1409">
        <v>1210000</v>
      </c>
      <c r="E212" s="1411">
        <v>1204000</v>
      </c>
      <c r="F212" s="1412">
        <v>1053000</v>
      </c>
      <c r="G212" s="1409">
        <v>18.527999999999999</v>
      </c>
      <c r="H212" s="1411">
        <v>0.16494200000000001</v>
      </c>
      <c r="I212" s="1411">
        <v>2.9771000000000002E-4</v>
      </c>
      <c r="J212" s="1412">
        <v>23.579000000000001</v>
      </c>
    </row>
    <row r="213" spans="2:10" x14ac:dyDescent="0.25">
      <c r="B213" s="1409" t="s">
        <v>910</v>
      </c>
      <c r="C213" s="1410">
        <v>2015</v>
      </c>
      <c r="D213" s="1409">
        <v>1642000</v>
      </c>
      <c r="E213" s="1411">
        <v>724000</v>
      </c>
      <c r="F213" s="1412">
        <v>290600</v>
      </c>
      <c r="G213" s="1409">
        <v>41.042999999999999</v>
      </c>
      <c r="H213" s="1411">
        <v>0.1162</v>
      </c>
      <c r="I213" s="1411">
        <v>2.7609999999999999E-2</v>
      </c>
      <c r="J213" s="1412">
        <v>48.36</v>
      </c>
    </row>
    <row r="214" spans="2:10" x14ac:dyDescent="0.25">
      <c r="B214" s="1409" t="s">
        <v>913</v>
      </c>
      <c r="C214" s="1410">
        <v>2015</v>
      </c>
      <c r="D214" s="1409">
        <v>1252000</v>
      </c>
      <c r="E214" s="1411">
        <v>1245000</v>
      </c>
      <c r="F214" s="1412">
        <v>1081000</v>
      </c>
      <c r="G214" s="1409">
        <v>24.462</v>
      </c>
      <c r="H214" s="1411">
        <v>0.17067199999999999</v>
      </c>
      <c r="I214" s="1411">
        <v>3.8633E-4</v>
      </c>
      <c r="J214" s="1412">
        <v>29.811999999999998</v>
      </c>
    </row>
    <row r="215" spans="2:10" x14ac:dyDescent="0.25">
      <c r="B215" s="1409" t="s">
        <v>1081</v>
      </c>
      <c r="C215" s="1410">
        <v>2015</v>
      </c>
      <c r="D215" s="1409">
        <v>1191000</v>
      </c>
      <c r="E215" s="1411">
        <v>53390</v>
      </c>
      <c r="F215" s="1412">
        <v>29910</v>
      </c>
      <c r="G215" s="1409">
        <v>3.9701</v>
      </c>
      <c r="H215" s="1411">
        <v>8.6864999999999998E-3</v>
      </c>
      <c r="I215" s="1411">
        <v>-3.8232459999999998E-3</v>
      </c>
      <c r="J215" s="1412">
        <v>3.2326999999999999</v>
      </c>
    </row>
    <row r="216" spans="2:10" x14ac:dyDescent="0.25">
      <c r="B216" s="1409" t="s">
        <v>815</v>
      </c>
      <c r="C216" s="1410">
        <v>2015</v>
      </c>
      <c r="D216" s="1409">
        <v>1191000</v>
      </c>
      <c r="E216" s="1411">
        <v>53390</v>
      </c>
      <c r="F216" s="1412">
        <v>29910</v>
      </c>
      <c r="G216" s="1409">
        <v>3.9701</v>
      </c>
      <c r="H216" s="1411">
        <v>8.6864999999999998E-3</v>
      </c>
      <c r="I216" s="1411">
        <v>-3.8232459999999998E-3</v>
      </c>
      <c r="J216" s="1412">
        <v>3.2326999999999999</v>
      </c>
    </row>
    <row r="217" spans="2:10" x14ac:dyDescent="0.25">
      <c r="B217" s="1409" t="s">
        <v>824</v>
      </c>
      <c r="C217" s="1410">
        <v>2015</v>
      </c>
      <c r="D217" s="1409">
        <v>1191000</v>
      </c>
      <c r="E217" s="1411">
        <v>53390</v>
      </c>
      <c r="F217" s="1412">
        <v>29910</v>
      </c>
      <c r="G217" s="1409">
        <v>3.9701</v>
      </c>
      <c r="H217" s="1411">
        <v>8.6864999999999998E-3</v>
      </c>
      <c r="I217" s="1411">
        <v>-3.8232459999999998E-3</v>
      </c>
      <c r="J217" s="1412">
        <v>3.2326999999999999</v>
      </c>
    </row>
    <row r="218" spans="2:10" ht="13" thickBot="1" x14ac:dyDescent="0.3">
      <c r="B218" s="1413" t="s">
        <v>1088</v>
      </c>
      <c r="C218" s="1414">
        <v>2015</v>
      </c>
      <c r="D218" s="1413">
        <v>1385000</v>
      </c>
      <c r="E218" s="1415">
        <v>1384000</v>
      </c>
      <c r="F218" s="1416">
        <v>5105</v>
      </c>
      <c r="G218" s="1413">
        <v>78.707400000000007</v>
      </c>
      <c r="H218" s="1415">
        <v>0.27494000000000002</v>
      </c>
      <c r="I218" s="1415">
        <v>2.3330999999999998E-3</v>
      </c>
      <c r="J218" s="1416">
        <v>87.730800000000002</v>
      </c>
    </row>
    <row r="219" spans="2:10" x14ac:dyDescent="0.25">
      <c r="B219" s="1405" t="s">
        <v>1085</v>
      </c>
      <c r="C219" s="1406">
        <v>2020</v>
      </c>
      <c r="D219" s="1405">
        <v>1093000</v>
      </c>
      <c r="E219" s="1407">
        <v>1092000</v>
      </c>
      <c r="F219" s="1408">
        <v>3993</v>
      </c>
      <c r="G219" s="1405">
        <v>5.7995000000000001</v>
      </c>
      <c r="H219" s="1407">
        <v>0.18462100000000001</v>
      </c>
      <c r="I219" s="1407">
        <v>8.6209999999999998E-4</v>
      </c>
      <c r="J219" s="1408">
        <v>11.6227</v>
      </c>
    </row>
    <row r="220" spans="2:10" x14ac:dyDescent="0.25">
      <c r="B220" s="1409" t="s">
        <v>283</v>
      </c>
      <c r="C220" s="1410">
        <v>2020</v>
      </c>
      <c r="D220" s="1409">
        <v>1093000</v>
      </c>
      <c r="E220" s="1411">
        <v>1092000</v>
      </c>
      <c r="F220" s="1412">
        <v>3993</v>
      </c>
      <c r="G220" s="1409">
        <v>5.7995000000000001</v>
      </c>
      <c r="H220" s="1411">
        <v>0.18462100000000001</v>
      </c>
      <c r="I220" s="1411">
        <v>8.6209999999999998E-4</v>
      </c>
      <c r="J220" s="1412">
        <v>11.6227</v>
      </c>
    </row>
    <row r="221" spans="2:10" x14ac:dyDescent="0.25">
      <c r="B221" s="1409" t="s">
        <v>1086</v>
      </c>
      <c r="C221" s="1410">
        <v>2020</v>
      </c>
      <c r="D221" s="1409">
        <v>1093000</v>
      </c>
      <c r="E221" s="1411">
        <v>1092000</v>
      </c>
      <c r="F221" s="1412">
        <v>3993</v>
      </c>
      <c r="G221" s="1409">
        <v>5.7995000000000001</v>
      </c>
      <c r="H221" s="1411">
        <v>0.18462100000000001</v>
      </c>
      <c r="I221" s="1411">
        <v>8.6209999999999998E-4</v>
      </c>
      <c r="J221" s="1412">
        <v>11.6227</v>
      </c>
    </row>
    <row r="222" spans="2:10" x14ac:dyDescent="0.25">
      <c r="B222" s="1409" t="s">
        <v>681</v>
      </c>
      <c r="C222" s="1410">
        <v>2020</v>
      </c>
      <c r="D222" s="1409">
        <v>1093000</v>
      </c>
      <c r="E222" s="1411">
        <v>1092000</v>
      </c>
      <c r="F222" s="1412">
        <v>3993</v>
      </c>
      <c r="G222" s="1409">
        <v>5.7995000000000001</v>
      </c>
      <c r="H222" s="1411">
        <v>0.18462100000000001</v>
      </c>
      <c r="I222" s="1411">
        <v>8.6209999999999998E-4</v>
      </c>
      <c r="J222" s="1412">
        <v>11.6227</v>
      </c>
    </row>
    <row r="223" spans="2:10" x14ac:dyDescent="0.25">
      <c r="B223" s="1409" t="s">
        <v>682</v>
      </c>
      <c r="C223" s="1410">
        <v>2020</v>
      </c>
      <c r="D223" s="1409">
        <v>-1185000</v>
      </c>
      <c r="E223" s="1411">
        <v>0</v>
      </c>
      <c r="F223" s="1412">
        <v>0</v>
      </c>
      <c r="G223" s="1409">
        <v>-85.800000000000011</v>
      </c>
      <c r="H223" s="1411">
        <v>0.54700000000000004</v>
      </c>
      <c r="I223" s="1411">
        <v>-1.8286999999999999E-3</v>
      </c>
      <c r="J223" s="1412">
        <v>-70.08</v>
      </c>
    </row>
    <row r="224" spans="2:10" x14ac:dyDescent="0.25">
      <c r="B224" s="1409" t="s">
        <v>683</v>
      </c>
      <c r="C224" s="1410">
        <v>2020</v>
      </c>
      <c r="D224" s="1409">
        <v>1866000</v>
      </c>
      <c r="E224" s="1411">
        <v>1484000</v>
      </c>
      <c r="F224" s="1412">
        <v>26490</v>
      </c>
      <c r="G224" s="1409">
        <v>161.61000000000001</v>
      </c>
      <c r="H224" s="1411">
        <v>0.22423899999999999</v>
      </c>
      <c r="I224" s="1411">
        <v>2.4153E-3</v>
      </c>
      <c r="J224" s="1412">
        <v>168.06</v>
      </c>
    </row>
    <row r="225" spans="2:10" x14ac:dyDescent="0.25">
      <c r="B225" s="1409" t="s">
        <v>698</v>
      </c>
      <c r="C225" s="1410">
        <v>2020</v>
      </c>
      <c r="D225" s="1409">
        <v>1866000</v>
      </c>
      <c r="E225" s="1411">
        <v>1484000</v>
      </c>
      <c r="F225" s="1412">
        <v>26490</v>
      </c>
      <c r="G225" s="1409">
        <v>161.61000000000001</v>
      </c>
      <c r="H225" s="1411">
        <v>0.22423899999999999</v>
      </c>
      <c r="I225" s="1411">
        <v>2.4153E-3</v>
      </c>
      <c r="J225" s="1412">
        <v>168.06</v>
      </c>
    </row>
    <row r="226" spans="2:10" x14ac:dyDescent="0.25">
      <c r="B226" s="1409" t="s">
        <v>684</v>
      </c>
      <c r="C226" s="1410">
        <v>2020</v>
      </c>
      <c r="D226" s="1409">
        <v>1866000</v>
      </c>
      <c r="E226" s="1411">
        <v>1484000</v>
      </c>
      <c r="F226" s="1412">
        <v>26490</v>
      </c>
      <c r="G226" s="1409">
        <v>161.61000000000001</v>
      </c>
      <c r="H226" s="1411">
        <v>0.22423899999999999</v>
      </c>
      <c r="I226" s="1411">
        <v>2.4153E-3</v>
      </c>
      <c r="J226" s="1412">
        <v>168.06</v>
      </c>
    </row>
    <row r="227" spans="2:10" x14ac:dyDescent="0.25">
      <c r="B227" s="1409" t="s">
        <v>1087</v>
      </c>
      <c r="C227" s="1410">
        <v>2020</v>
      </c>
      <c r="D227" s="1409">
        <v>1022000</v>
      </c>
      <c r="E227" s="1411">
        <v>1021000</v>
      </c>
      <c r="F227" s="1412">
        <v>15530</v>
      </c>
      <c r="G227" s="1409">
        <v>1.7706</v>
      </c>
      <c r="H227" s="1411">
        <v>0.14096106</v>
      </c>
      <c r="I227" s="1411">
        <v>3.4058000000000005E-5</v>
      </c>
      <c r="J227" s="1412">
        <v>6.0322999999999993</v>
      </c>
    </row>
    <row r="228" spans="2:10" x14ac:dyDescent="0.25">
      <c r="B228" s="1409" t="s">
        <v>716</v>
      </c>
      <c r="C228" s="1410">
        <v>2020</v>
      </c>
      <c r="D228" s="1409">
        <v>1022000</v>
      </c>
      <c r="E228" s="1411">
        <v>1021000</v>
      </c>
      <c r="F228" s="1412">
        <v>15530</v>
      </c>
      <c r="G228" s="1409">
        <v>1.7706</v>
      </c>
      <c r="H228" s="1411">
        <v>0.14096106</v>
      </c>
      <c r="I228" s="1411">
        <v>3.4058000000000005E-5</v>
      </c>
      <c r="J228" s="1412">
        <v>6.0322999999999993</v>
      </c>
    </row>
    <row r="229" spans="2:10" x14ac:dyDescent="0.25">
      <c r="B229" s="1409" t="s">
        <v>717</v>
      </c>
      <c r="C229" s="1410">
        <v>2020</v>
      </c>
      <c r="D229" s="1409">
        <v>1022000</v>
      </c>
      <c r="E229" s="1411">
        <v>1021000</v>
      </c>
      <c r="F229" s="1412">
        <v>15530</v>
      </c>
      <c r="G229" s="1409">
        <v>1.7706</v>
      </c>
      <c r="H229" s="1411">
        <v>0.14096106</v>
      </c>
      <c r="I229" s="1411">
        <v>3.4058000000000005E-5</v>
      </c>
      <c r="J229" s="1412">
        <v>6.0322999999999993</v>
      </c>
    </row>
    <row r="230" spans="2:10" x14ac:dyDescent="0.25">
      <c r="B230" s="1409" t="s">
        <v>912</v>
      </c>
      <c r="C230" s="1410">
        <v>2020</v>
      </c>
      <c r="D230" s="1409">
        <v>1211000</v>
      </c>
      <c r="E230" s="1411">
        <v>1205000</v>
      </c>
      <c r="F230" s="1412">
        <v>1052000</v>
      </c>
      <c r="G230" s="1409">
        <v>18.605999999999998</v>
      </c>
      <c r="H230" s="1411">
        <v>0.162991</v>
      </c>
      <c r="I230" s="1411">
        <v>3.0018999999999998E-4</v>
      </c>
      <c r="J230" s="1412">
        <v>23.607999999999997</v>
      </c>
    </row>
    <row r="231" spans="2:10" x14ac:dyDescent="0.25">
      <c r="B231" s="1409" t="s">
        <v>910</v>
      </c>
      <c r="C231" s="1410">
        <v>2020</v>
      </c>
      <c r="D231" s="1409">
        <v>1591000</v>
      </c>
      <c r="E231" s="1411">
        <v>703100</v>
      </c>
      <c r="F231" s="1412">
        <v>286400</v>
      </c>
      <c r="G231" s="1409">
        <v>39.366999999999997</v>
      </c>
      <c r="H231" s="1411">
        <v>0.11210000000000001</v>
      </c>
      <c r="I231" s="1411">
        <v>2.5360000000000001E-2</v>
      </c>
      <c r="J231" s="1412">
        <v>46.16</v>
      </c>
    </row>
    <row r="232" spans="2:10" x14ac:dyDescent="0.25">
      <c r="B232" s="1409" t="s">
        <v>913</v>
      </c>
      <c r="C232" s="1410">
        <v>2020</v>
      </c>
      <c r="D232" s="1409">
        <v>1252000</v>
      </c>
      <c r="E232" s="1411">
        <v>1245000</v>
      </c>
      <c r="F232" s="1412">
        <v>1078000</v>
      </c>
      <c r="G232" s="1409">
        <v>24.533999999999999</v>
      </c>
      <c r="H232" s="1411">
        <v>0.16861900000000002</v>
      </c>
      <c r="I232" s="1411">
        <v>3.8906999999999999E-4</v>
      </c>
      <c r="J232" s="1412">
        <v>29.833999999999996</v>
      </c>
    </row>
    <row r="233" spans="2:10" x14ac:dyDescent="0.25">
      <c r="B233" s="1409" t="s">
        <v>1081</v>
      </c>
      <c r="C233" s="1410">
        <v>2020</v>
      </c>
      <c r="D233" s="1409">
        <v>1190000</v>
      </c>
      <c r="E233" s="1411">
        <v>52190</v>
      </c>
      <c r="F233" s="1412">
        <v>29260</v>
      </c>
      <c r="G233" s="1409">
        <v>3.8701999999999996</v>
      </c>
      <c r="H233" s="1411">
        <v>8.4535000000000009E-3</v>
      </c>
      <c r="I233" s="1411">
        <v>-3.824488E-3</v>
      </c>
      <c r="J233" s="1412">
        <v>3.1251000000000002</v>
      </c>
    </row>
    <row r="234" spans="2:10" x14ac:dyDescent="0.25">
      <c r="B234" s="1409" t="s">
        <v>815</v>
      </c>
      <c r="C234" s="1410">
        <v>2020</v>
      </c>
      <c r="D234" s="1409">
        <v>1190000</v>
      </c>
      <c r="E234" s="1411">
        <v>52190</v>
      </c>
      <c r="F234" s="1412">
        <v>29260</v>
      </c>
      <c r="G234" s="1409">
        <v>3.8701999999999996</v>
      </c>
      <c r="H234" s="1411">
        <v>8.4535000000000009E-3</v>
      </c>
      <c r="I234" s="1411">
        <v>-3.824488E-3</v>
      </c>
      <c r="J234" s="1412">
        <v>3.1251000000000002</v>
      </c>
    </row>
    <row r="235" spans="2:10" x14ac:dyDescent="0.25">
      <c r="B235" s="1409" t="s">
        <v>824</v>
      </c>
      <c r="C235" s="1410">
        <v>2020</v>
      </c>
      <c r="D235" s="1409">
        <v>1190000</v>
      </c>
      <c r="E235" s="1411">
        <v>52190</v>
      </c>
      <c r="F235" s="1412">
        <v>29260</v>
      </c>
      <c r="G235" s="1409">
        <v>3.8701999999999996</v>
      </c>
      <c r="H235" s="1411">
        <v>8.4535000000000009E-3</v>
      </c>
      <c r="I235" s="1411">
        <v>-3.824488E-3</v>
      </c>
      <c r="J235" s="1412">
        <v>3.1251000000000002</v>
      </c>
    </row>
    <row r="236" spans="2:10" ht="13" thickBot="1" x14ac:dyDescent="0.3">
      <c r="B236" s="1413" t="s">
        <v>1088</v>
      </c>
      <c r="C236" s="1414">
        <v>2020</v>
      </c>
      <c r="D236" s="1413">
        <v>1384000</v>
      </c>
      <c r="E236" s="1415">
        <v>1384000</v>
      </c>
      <c r="F236" s="1416">
        <v>5066</v>
      </c>
      <c r="G236" s="1413">
        <v>78.656899999999993</v>
      </c>
      <c r="H236" s="1415">
        <v>0.27494000000000002</v>
      </c>
      <c r="I236" s="1415">
        <v>2.3319E-3</v>
      </c>
      <c r="J236" s="1416">
        <v>87.680599999999998</v>
      </c>
    </row>
    <row r="237" spans="2:10" x14ac:dyDescent="0.25">
      <c r="B237" s="1405" t="s">
        <v>1085</v>
      </c>
      <c r="C237" s="1406">
        <v>2025</v>
      </c>
      <c r="D237" s="1405">
        <v>1093000</v>
      </c>
      <c r="E237" s="1407">
        <v>1092000</v>
      </c>
      <c r="F237" s="1408">
        <v>3984</v>
      </c>
      <c r="G237" s="1405">
        <v>5.7702</v>
      </c>
      <c r="H237" s="1407">
        <v>0.18462100000000001</v>
      </c>
      <c r="I237" s="1407">
        <v>8.6159999999999991E-4</v>
      </c>
      <c r="J237" s="1408">
        <v>11.5953</v>
      </c>
    </row>
    <row r="238" spans="2:10" x14ac:dyDescent="0.25">
      <c r="B238" s="1409" t="s">
        <v>283</v>
      </c>
      <c r="C238" s="1410">
        <v>2025</v>
      </c>
      <c r="D238" s="1409">
        <v>1093000</v>
      </c>
      <c r="E238" s="1411">
        <v>1092000</v>
      </c>
      <c r="F238" s="1412">
        <v>3984</v>
      </c>
      <c r="G238" s="1409">
        <v>5.7702</v>
      </c>
      <c r="H238" s="1411">
        <v>0.18462100000000001</v>
      </c>
      <c r="I238" s="1411">
        <v>8.6159999999999991E-4</v>
      </c>
      <c r="J238" s="1412">
        <v>11.5953</v>
      </c>
    </row>
    <row r="239" spans="2:10" x14ac:dyDescent="0.25">
      <c r="B239" s="1409" t="s">
        <v>1086</v>
      </c>
      <c r="C239" s="1410">
        <v>2025</v>
      </c>
      <c r="D239" s="1409">
        <v>1093000</v>
      </c>
      <c r="E239" s="1411">
        <v>1092000</v>
      </c>
      <c r="F239" s="1412">
        <v>3984</v>
      </c>
      <c r="G239" s="1409">
        <v>5.7702</v>
      </c>
      <c r="H239" s="1411">
        <v>0.18462100000000001</v>
      </c>
      <c r="I239" s="1411">
        <v>8.6159999999999991E-4</v>
      </c>
      <c r="J239" s="1412">
        <v>11.5953</v>
      </c>
    </row>
    <row r="240" spans="2:10" x14ac:dyDescent="0.25">
      <c r="B240" s="1409" t="s">
        <v>681</v>
      </c>
      <c r="C240" s="1410">
        <v>2025</v>
      </c>
      <c r="D240" s="1409">
        <v>1093000</v>
      </c>
      <c r="E240" s="1411">
        <v>1092000</v>
      </c>
      <c r="F240" s="1412">
        <v>3984</v>
      </c>
      <c r="G240" s="1409">
        <v>5.7702</v>
      </c>
      <c r="H240" s="1411">
        <v>0.18462100000000001</v>
      </c>
      <c r="I240" s="1411">
        <v>8.6159999999999991E-4</v>
      </c>
      <c r="J240" s="1412">
        <v>11.5953</v>
      </c>
    </row>
    <row r="241" spans="2:10" x14ac:dyDescent="0.25">
      <c r="B241" s="1409" t="s">
        <v>682</v>
      </c>
      <c r="C241" s="1410">
        <v>2025</v>
      </c>
      <c r="D241" s="1409">
        <v>-1185000</v>
      </c>
      <c r="E241" s="1411">
        <v>0</v>
      </c>
      <c r="F241" s="1412">
        <v>0</v>
      </c>
      <c r="G241" s="1409">
        <v>-85.800000000000011</v>
      </c>
      <c r="H241" s="1411">
        <v>0.54700000000000004</v>
      </c>
      <c r="I241" s="1411">
        <v>-1.8286999999999999E-3</v>
      </c>
      <c r="J241" s="1412">
        <v>-70.08</v>
      </c>
    </row>
    <row r="242" spans="2:10" x14ac:dyDescent="0.25">
      <c r="B242" s="1409" t="s">
        <v>683</v>
      </c>
      <c r="C242" s="1410">
        <v>2025</v>
      </c>
      <c r="D242" s="1409">
        <v>1787000</v>
      </c>
      <c r="E242" s="1411">
        <v>1356000</v>
      </c>
      <c r="F242" s="1412">
        <v>23200</v>
      </c>
      <c r="G242" s="1409">
        <v>145.11000000000001</v>
      </c>
      <c r="H242" s="1411">
        <v>0.20658799999999999</v>
      </c>
      <c r="I242" s="1411">
        <v>2.1538999999999998E-3</v>
      </c>
      <c r="J242" s="1412">
        <v>150.89999999999998</v>
      </c>
    </row>
    <row r="243" spans="2:10" x14ac:dyDescent="0.25">
      <c r="B243" s="1409" t="s">
        <v>698</v>
      </c>
      <c r="C243" s="1410">
        <v>2025</v>
      </c>
      <c r="D243" s="1409">
        <v>1787000</v>
      </c>
      <c r="E243" s="1411">
        <v>1356000</v>
      </c>
      <c r="F243" s="1412">
        <v>23200</v>
      </c>
      <c r="G243" s="1409">
        <v>145.11000000000001</v>
      </c>
      <c r="H243" s="1411">
        <v>0.20658799999999999</v>
      </c>
      <c r="I243" s="1411">
        <v>2.1538999999999998E-3</v>
      </c>
      <c r="J243" s="1412">
        <v>150.89999999999998</v>
      </c>
    </row>
    <row r="244" spans="2:10" x14ac:dyDescent="0.25">
      <c r="B244" s="1409" t="s">
        <v>684</v>
      </c>
      <c r="C244" s="1410">
        <v>2025</v>
      </c>
      <c r="D244" s="1409">
        <v>1787000</v>
      </c>
      <c r="E244" s="1411">
        <v>1356000</v>
      </c>
      <c r="F244" s="1412">
        <v>23200</v>
      </c>
      <c r="G244" s="1409">
        <v>145.11000000000001</v>
      </c>
      <c r="H244" s="1411">
        <v>0.20658799999999999</v>
      </c>
      <c r="I244" s="1411">
        <v>2.1538999999999998E-3</v>
      </c>
      <c r="J244" s="1412">
        <v>150.89999999999998</v>
      </c>
    </row>
    <row r="245" spans="2:10" x14ac:dyDescent="0.25">
      <c r="B245" s="1409" t="s">
        <v>1087</v>
      </c>
      <c r="C245" s="1410">
        <v>2025</v>
      </c>
      <c r="D245" s="1409">
        <v>1022000</v>
      </c>
      <c r="E245" s="1411">
        <v>1021000</v>
      </c>
      <c r="F245" s="1412">
        <v>15530</v>
      </c>
      <c r="G245" s="1409">
        <v>1.7374000000000001</v>
      </c>
      <c r="H245" s="1411">
        <v>0.14096106999999999</v>
      </c>
      <c r="I245" s="1411">
        <v>3.3522000000000002E-5</v>
      </c>
      <c r="J245" s="1412">
        <v>5.9969999999999999</v>
      </c>
    </row>
    <row r="246" spans="2:10" x14ac:dyDescent="0.25">
      <c r="B246" s="1409" t="s">
        <v>716</v>
      </c>
      <c r="C246" s="1410">
        <v>2025</v>
      </c>
      <c r="D246" s="1409">
        <v>1022000</v>
      </c>
      <c r="E246" s="1411">
        <v>1021000</v>
      </c>
      <c r="F246" s="1412">
        <v>15530</v>
      </c>
      <c r="G246" s="1409">
        <v>1.7374000000000001</v>
      </c>
      <c r="H246" s="1411">
        <v>0.14096106999999999</v>
      </c>
      <c r="I246" s="1411">
        <v>3.3522000000000002E-5</v>
      </c>
      <c r="J246" s="1412">
        <v>5.9969999999999999</v>
      </c>
    </row>
    <row r="247" spans="2:10" x14ac:dyDescent="0.25">
      <c r="B247" s="1409" t="s">
        <v>717</v>
      </c>
      <c r="C247" s="1410">
        <v>2025</v>
      </c>
      <c r="D247" s="1409">
        <v>1022000</v>
      </c>
      <c r="E247" s="1411">
        <v>1021000</v>
      </c>
      <c r="F247" s="1412">
        <v>15530</v>
      </c>
      <c r="G247" s="1409">
        <v>1.7374000000000001</v>
      </c>
      <c r="H247" s="1411">
        <v>0.14096106999999999</v>
      </c>
      <c r="I247" s="1411">
        <v>3.3522000000000002E-5</v>
      </c>
      <c r="J247" s="1412">
        <v>5.9969999999999999</v>
      </c>
    </row>
    <row r="248" spans="2:10" x14ac:dyDescent="0.25">
      <c r="B248" s="1409" t="s">
        <v>912</v>
      </c>
      <c r="C248" s="1410">
        <v>2025</v>
      </c>
      <c r="D248" s="1409">
        <v>1210000</v>
      </c>
      <c r="E248" s="1411">
        <v>1203000</v>
      </c>
      <c r="F248" s="1412">
        <v>1052000</v>
      </c>
      <c r="G248" s="1409">
        <v>18.323</v>
      </c>
      <c r="H248" s="1411">
        <v>0.16309799999999999</v>
      </c>
      <c r="I248" s="1411">
        <v>2.9605000000000001E-4</v>
      </c>
      <c r="J248" s="1412">
        <v>23.334</v>
      </c>
    </row>
    <row r="249" spans="2:10" x14ac:dyDescent="0.25">
      <c r="B249" s="1409" t="s">
        <v>910</v>
      </c>
      <c r="C249" s="1410">
        <v>2025</v>
      </c>
      <c r="D249" s="1409">
        <v>1588000</v>
      </c>
      <c r="E249" s="1411">
        <v>698600</v>
      </c>
      <c r="F249" s="1412">
        <v>286300</v>
      </c>
      <c r="G249" s="1409">
        <v>38.775999999999996</v>
      </c>
      <c r="H249" s="1411">
        <v>0.1116</v>
      </c>
      <c r="I249" s="1411">
        <v>2.5360000000000001E-2</v>
      </c>
      <c r="J249" s="1412">
        <v>45.71</v>
      </c>
    </row>
    <row r="250" spans="2:10" x14ac:dyDescent="0.25">
      <c r="B250" s="1409" t="s">
        <v>913</v>
      </c>
      <c r="C250" s="1410">
        <v>2025</v>
      </c>
      <c r="D250" s="1409">
        <v>1251000</v>
      </c>
      <c r="E250" s="1411">
        <v>1243000</v>
      </c>
      <c r="F250" s="1412">
        <v>1078000</v>
      </c>
      <c r="G250" s="1409">
        <v>24.223999999999997</v>
      </c>
      <c r="H250" s="1411">
        <v>0.16872600000000001</v>
      </c>
      <c r="I250" s="1411">
        <v>3.8451000000000002E-4</v>
      </c>
      <c r="J250" s="1412">
        <v>29.523000000000003</v>
      </c>
    </row>
    <row r="251" spans="2:10" x14ac:dyDescent="0.25">
      <c r="B251" s="1409" t="s">
        <v>1081</v>
      </c>
      <c r="C251" s="1410">
        <v>2025</v>
      </c>
      <c r="D251" s="1409">
        <v>1190000</v>
      </c>
      <c r="E251" s="1411">
        <v>51790</v>
      </c>
      <c r="F251" s="1412">
        <v>29250</v>
      </c>
      <c r="G251" s="1409">
        <v>3.8201000000000001</v>
      </c>
      <c r="H251" s="1411">
        <v>8.410599999999999E-3</v>
      </c>
      <c r="I251" s="1411">
        <v>-3.8247120000000001E-3</v>
      </c>
      <c r="J251" s="1412">
        <v>3.0718000000000001</v>
      </c>
    </row>
    <row r="252" spans="2:10" x14ac:dyDescent="0.25">
      <c r="B252" s="1409" t="s">
        <v>815</v>
      </c>
      <c r="C252" s="1410">
        <v>2025</v>
      </c>
      <c r="D252" s="1409">
        <v>1190000</v>
      </c>
      <c r="E252" s="1411">
        <v>51790</v>
      </c>
      <c r="F252" s="1412">
        <v>29250</v>
      </c>
      <c r="G252" s="1409">
        <v>3.8201000000000001</v>
      </c>
      <c r="H252" s="1411">
        <v>8.410599999999999E-3</v>
      </c>
      <c r="I252" s="1411">
        <v>-3.8247120000000001E-3</v>
      </c>
      <c r="J252" s="1412">
        <v>3.0718000000000001</v>
      </c>
    </row>
    <row r="253" spans="2:10" x14ac:dyDescent="0.25">
      <c r="B253" s="1409" t="s">
        <v>824</v>
      </c>
      <c r="C253" s="1410">
        <v>2025</v>
      </c>
      <c r="D253" s="1409">
        <v>1190000</v>
      </c>
      <c r="E253" s="1411">
        <v>51790</v>
      </c>
      <c r="F253" s="1412">
        <v>29250</v>
      </c>
      <c r="G253" s="1409">
        <v>3.8201000000000001</v>
      </c>
      <c r="H253" s="1411">
        <v>8.410599999999999E-3</v>
      </c>
      <c r="I253" s="1411">
        <v>-3.8247120000000001E-3</v>
      </c>
      <c r="J253" s="1412">
        <v>3.0718000000000001</v>
      </c>
    </row>
    <row r="254" spans="2:10" ht="13" thickBot="1" x14ac:dyDescent="0.3">
      <c r="B254" s="1413" t="s">
        <v>1088</v>
      </c>
      <c r="C254" s="1414">
        <v>2025</v>
      </c>
      <c r="D254" s="1413">
        <v>1384000</v>
      </c>
      <c r="E254" s="1415">
        <v>1383000</v>
      </c>
      <c r="F254" s="1416">
        <v>5053</v>
      </c>
      <c r="G254" s="1413">
        <v>78.616100000000003</v>
      </c>
      <c r="H254" s="1415">
        <v>0.27494000000000002</v>
      </c>
      <c r="I254" s="1415">
        <v>2.3316999999999999E-3</v>
      </c>
      <c r="J254" s="1416">
        <v>87.639700000000005</v>
      </c>
    </row>
    <row r="255" spans="2:10" x14ac:dyDescent="0.25">
      <c r="B255" s="1405" t="s">
        <v>1085</v>
      </c>
      <c r="C255" s="1406">
        <v>2030</v>
      </c>
      <c r="D255" s="1405">
        <v>1092000</v>
      </c>
      <c r="E255" s="1407">
        <v>1092000</v>
      </c>
      <c r="F255" s="1408">
        <v>3981</v>
      </c>
      <c r="G255" s="1405">
        <v>5.7552000000000003</v>
      </c>
      <c r="H255" s="1407">
        <v>0.18462100000000001</v>
      </c>
      <c r="I255" s="1407">
        <v>8.6129999999999996E-4</v>
      </c>
      <c r="J255" s="1408">
        <v>11.5802</v>
      </c>
    </row>
    <row r="256" spans="2:10" x14ac:dyDescent="0.25">
      <c r="B256" s="1409" t="s">
        <v>283</v>
      </c>
      <c r="C256" s="1410">
        <v>2030</v>
      </c>
      <c r="D256" s="1409">
        <v>1092000</v>
      </c>
      <c r="E256" s="1411">
        <v>1092000</v>
      </c>
      <c r="F256" s="1412">
        <v>3981</v>
      </c>
      <c r="G256" s="1409">
        <v>5.7552000000000003</v>
      </c>
      <c r="H256" s="1411">
        <v>0.18462100000000001</v>
      </c>
      <c r="I256" s="1411">
        <v>8.6129999999999996E-4</v>
      </c>
      <c r="J256" s="1412">
        <v>11.5802</v>
      </c>
    </row>
    <row r="257" spans="2:10" x14ac:dyDescent="0.25">
      <c r="B257" s="1409" t="s">
        <v>1086</v>
      </c>
      <c r="C257" s="1410">
        <v>2030</v>
      </c>
      <c r="D257" s="1409">
        <v>1092000</v>
      </c>
      <c r="E257" s="1411">
        <v>1092000</v>
      </c>
      <c r="F257" s="1412">
        <v>3981</v>
      </c>
      <c r="G257" s="1409">
        <v>5.7552000000000003</v>
      </c>
      <c r="H257" s="1411">
        <v>0.18462100000000001</v>
      </c>
      <c r="I257" s="1411">
        <v>8.6129999999999996E-4</v>
      </c>
      <c r="J257" s="1412">
        <v>11.5802</v>
      </c>
    </row>
    <row r="258" spans="2:10" x14ac:dyDescent="0.25">
      <c r="B258" s="1409" t="s">
        <v>681</v>
      </c>
      <c r="C258" s="1410">
        <v>2030</v>
      </c>
      <c r="D258" s="1409">
        <v>1092000</v>
      </c>
      <c r="E258" s="1411">
        <v>1092000</v>
      </c>
      <c r="F258" s="1412">
        <v>3981</v>
      </c>
      <c r="G258" s="1409">
        <v>5.7552000000000003</v>
      </c>
      <c r="H258" s="1411">
        <v>0.18462100000000001</v>
      </c>
      <c r="I258" s="1411">
        <v>8.6129999999999996E-4</v>
      </c>
      <c r="J258" s="1412">
        <v>11.5802</v>
      </c>
    </row>
    <row r="259" spans="2:10" x14ac:dyDescent="0.25">
      <c r="B259" s="1409" t="s">
        <v>682</v>
      </c>
      <c r="C259" s="1410">
        <v>2030</v>
      </c>
      <c r="D259" s="1409">
        <v>-1185000</v>
      </c>
      <c r="E259" s="1411">
        <v>0</v>
      </c>
      <c r="F259" s="1412">
        <v>0</v>
      </c>
      <c r="G259" s="1409">
        <v>-85.800000000000011</v>
      </c>
      <c r="H259" s="1411">
        <v>0.54700000000000004</v>
      </c>
      <c r="I259" s="1411">
        <v>-1.8286999999999999E-3</v>
      </c>
      <c r="J259" s="1412">
        <v>-70.08</v>
      </c>
    </row>
    <row r="260" spans="2:10" x14ac:dyDescent="0.25">
      <c r="B260" s="1409" t="s">
        <v>683</v>
      </c>
      <c r="C260" s="1410">
        <v>2030</v>
      </c>
      <c r="D260" s="1409">
        <v>1749000</v>
      </c>
      <c r="E260" s="1411">
        <v>1310000</v>
      </c>
      <c r="F260" s="1412">
        <v>19790</v>
      </c>
      <c r="G260" s="1409">
        <v>134.88</v>
      </c>
      <c r="H260" s="1411">
        <v>0.20275799999999999</v>
      </c>
      <c r="I260" s="1411">
        <v>1.9713E-3</v>
      </c>
      <c r="J260" s="1412">
        <v>140.09</v>
      </c>
    </row>
    <row r="261" spans="2:10" x14ac:dyDescent="0.25">
      <c r="B261" s="1409" t="s">
        <v>698</v>
      </c>
      <c r="C261" s="1410">
        <v>2030</v>
      </c>
      <c r="D261" s="1409">
        <v>1749000</v>
      </c>
      <c r="E261" s="1411">
        <v>1310000</v>
      </c>
      <c r="F261" s="1412">
        <v>19790</v>
      </c>
      <c r="G261" s="1409">
        <v>134.88</v>
      </c>
      <c r="H261" s="1411">
        <v>0.20275799999999999</v>
      </c>
      <c r="I261" s="1411">
        <v>1.9713E-3</v>
      </c>
      <c r="J261" s="1412">
        <v>140.09</v>
      </c>
    </row>
    <row r="262" spans="2:10" x14ac:dyDescent="0.25">
      <c r="B262" s="1409" t="s">
        <v>684</v>
      </c>
      <c r="C262" s="1410">
        <v>2030</v>
      </c>
      <c r="D262" s="1409">
        <v>1749000</v>
      </c>
      <c r="E262" s="1411">
        <v>1310000</v>
      </c>
      <c r="F262" s="1412">
        <v>19790</v>
      </c>
      <c r="G262" s="1409">
        <v>134.88</v>
      </c>
      <c r="H262" s="1411">
        <v>0.20275799999999999</v>
      </c>
      <c r="I262" s="1411">
        <v>1.9713E-3</v>
      </c>
      <c r="J262" s="1412">
        <v>140.09</v>
      </c>
    </row>
    <row r="263" spans="2:10" x14ac:dyDescent="0.25">
      <c r="B263" s="1409" t="s">
        <v>1087</v>
      </c>
      <c r="C263" s="1410">
        <v>2030</v>
      </c>
      <c r="D263" s="1409">
        <v>1022000</v>
      </c>
      <c r="E263" s="1411">
        <v>1021000</v>
      </c>
      <c r="F263" s="1412">
        <v>15520</v>
      </c>
      <c r="G263" s="1409">
        <v>1.716</v>
      </c>
      <c r="H263" s="1411">
        <v>0.14096175</v>
      </c>
      <c r="I263" s="1411">
        <v>3.3149000000000004E-5</v>
      </c>
      <c r="J263" s="1412">
        <v>5.9754000000000005</v>
      </c>
    </row>
    <row r="264" spans="2:10" x14ac:dyDescent="0.25">
      <c r="B264" s="1409" t="s">
        <v>716</v>
      </c>
      <c r="C264" s="1410">
        <v>2030</v>
      </c>
      <c r="D264" s="1409">
        <v>1022000</v>
      </c>
      <c r="E264" s="1411">
        <v>1021000</v>
      </c>
      <c r="F264" s="1412">
        <v>15520</v>
      </c>
      <c r="G264" s="1409">
        <v>1.716</v>
      </c>
      <c r="H264" s="1411">
        <v>0.14096175</v>
      </c>
      <c r="I264" s="1411">
        <v>3.3149000000000004E-5</v>
      </c>
      <c r="J264" s="1412">
        <v>5.9754000000000005</v>
      </c>
    </row>
    <row r="265" spans="2:10" x14ac:dyDescent="0.25">
      <c r="B265" s="1409" t="s">
        <v>717</v>
      </c>
      <c r="C265" s="1410">
        <v>2030</v>
      </c>
      <c r="D265" s="1409">
        <v>1022000</v>
      </c>
      <c r="E265" s="1411">
        <v>1021000</v>
      </c>
      <c r="F265" s="1412">
        <v>15520</v>
      </c>
      <c r="G265" s="1409">
        <v>1.716</v>
      </c>
      <c r="H265" s="1411">
        <v>0.14096175</v>
      </c>
      <c r="I265" s="1411">
        <v>3.3149000000000004E-5</v>
      </c>
      <c r="J265" s="1412">
        <v>5.9754000000000005</v>
      </c>
    </row>
    <row r="266" spans="2:10" x14ac:dyDescent="0.25">
      <c r="B266" s="1409" t="s">
        <v>912</v>
      </c>
      <c r="C266" s="1410">
        <v>2030</v>
      </c>
      <c r="D266" s="1409">
        <v>1209000</v>
      </c>
      <c r="E266" s="1411">
        <v>1202000</v>
      </c>
      <c r="F266" s="1412">
        <v>1052000</v>
      </c>
      <c r="G266" s="1409">
        <v>18.120999999999999</v>
      </c>
      <c r="H266" s="1411">
        <v>0.16412299999999999</v>
      </c>
      <c r="I266" s="1411">
        <v>2.9339999999999998E-4</v>
      </c>
      <c r="J266" s="1412">
        <v>23.162000000000003</v>
      </c>
    </row>
    <row r="267" spans="2:10" x14ac:dyDescent="0.25">
      <c r="B267" s="1409" t="s">
        <v>910</v>
      </c>
      <c r="C267" s="1410">
        <v>2030</v>
      </c>
      <c r="D267" s="1409">
        <v>1586000</v>
      </c>
      <c r="E267" s="1411">
        <v>697000</v>
      </c>
      <c r="F267" s="1412">
        <v>286200</v>
      </c>
      <c r="G267" s="1409">
        <v>38.404000000000003</v>
      </c>
      <c r="H267" s="1411">
        <v>0.1118</v>
      </c>
      <c r="I267" s="1411">
        <v>2.5350000000000001E-2</v>
      </c>
      <c r="J267" s="1412">
        <v>45.44</v>
      </c>
    </row>
    <row r="268" spans="2:10" x14ac:dyDescent="0.25">
      <c r="B268" s="1409" t="s">
        <v>913</v>
      </c>
      <c r="C268" s="1410">
        <v>2030</v>
      </c>
      <c r="D268" s="1409">
        <v>1250000</v>
      </c>
      <c r="E268" s="1411">
        <v>1242000</v>
      </c>
      <c r="F268" s="1412">
        <v>1078000</v>
      </c>
      <c r="G268" s="1409">
        <v>24.006999999999998</v>
      </c>
      <c r="H268" s="1411">
        <v>0.16975200000000001</v>
      </c>
      <c r="I268" s="1411">
        <v>3.8147000000000002E-4</v>
      </c>
      <c r="J268" s="1412">
        <v>29.335999999999999</v>
      </c>
    </row>
    <row r="269" spans="2:10" x14ac:dyDescent="0.25">
      <c r="B269" s="1409" t="s">
        <v>1081</v>
      </c>
      <c r="C269" s="1410">
        <v>2030</v>
      </c>
      <c r="D269" s="1409">
        <v>1190000</v>
      </c>
      <c r="E269" s="1411">
        <v>51650</v>
      </c>
      <c r="F269" s="1412">
        <v>29230</v>
      </c>
      <c r="G269" s="1409">
        <v>3.7881999999999998</v>
      </c>
      <c r="H269" s="1411">
        <v>8.4297E-3</v>
      </c>
      <c r="I269" s="1411">
        <v>-3.825901E-3</v>
      </c>
      <c r="J269" s="1412">
        <v>3.0377000000000001</v>
      </c>
    </row>
    <row r="270" spans="2:10" x14ac:dyDescent="0.25">
      <c r="B270" s="1409" t="s">
        <v>815</v>
      </c>
      <c r="C270" s="1410">
        <v>2030</v>
      </c>
      <c r="D270" s="1409">
        <v>1190000</v>
      </c>
      <c r="E270" s="1411">
        <v>51650</v>
      </c>
      <c r="F270" s="1412">
        <v>29230</v>
      </c>
      <c r="G270" s="1409">
        <v>3.7881999999999998</v>
      </c>
      <c r="H270" s="1411">
        <v>8.4297E-3</v>
      </c>
      <c r="I270" s="1411">
        <v>-3.825901E-3</v>
      </c>
      <c r="J270" s="1412">
        <v>3.0377000000000001</v>
      </c>
    </row>
    <row r="271" spans="2:10" x14ac:dyDescent="0.25">
      <c r="B271" s="1409" t="s">
        <v>824</v>
      </c>
      <c r="C271" s="1410">
        <v>2030</v>
      </c>
      <c r="D271" s="1409">
        <v>1190000</v>
      </c>
      <c r="E271" s="1411">
        <v>51650</v>
      </c>
      <c r="F271" s="1412">
        <v>29230</v>
      </c>
      <c r="G271" s="1409">
        <v>3.7881999999999998</v>
      </c>
      <c r="H271" s="1411">
        <v>8.4297E-3</v>
      </c>
      <c r="I271" s="1411">
        <v>-3.825901E-3</v>
      </c>
      <c r="J271" s="1412">
        <v>3.0377000000000001</v>
      </c>
    </row>
    <row r="272" spans="2:10" ht="13" thickBot="1" x14ac:dyDescent="0.3">
      <c r="B272" s="1413" t="s">
        <v>1088</v>
      </c>
      <c r="C272" s="1414">
        <v>2030</v>
      </c>
      <c r="D272" s="1413">
        <v>1384000</v>
      </c>
      <c r="E272" s="1415">
        <v>1383000</v>
      </c>
      <c r="F272" s="1416">
        <v>5048</v>
      </c>
      <c r="G272" s="1413">
        <v>78.598700000000008</v>
      </c>
      <c r="H272" s="1415">
        <v>0.27484000000000003</v>
      </c>
      <c r="I272" s="1415">
        <v>2.3306000000000004E-3</v>
      </c>
      <c r="J272" s="1416">
        <v>87.622100000000003</v>
      </c>
    </row>
    <row r="273" spans="2:10" x14ac:dyDescent="0.25">
      <c r="B273" s="1405" t="s">
        <v>1085</v>
      </c>
      <c r="C273" s="1406">
        <v>2035</v>
      </c>
      <c r="D273" s="1405">
        <v>1092000</v>
      </c>
      <c r="E273" s="1407">
        <v>1092000</v>
      </c>
      <c r="F273" s="1408">
        <v>3981</v>
      </c>
      <c r="G273" s="1405">
        <v>5.7552000000000003</v>
      </c>
      <c r="H273" s="1407">
        <v>0.18462100000000001</v>
      </c>
      <c r="I273" s="1407">
        <v>8.6129999999999996E-4</v>
      </c>
      <c r="J273" s="1408">
        <v>11.5802</v>
      </c>
    </row>
    <row r="274" spans="2:10" x14ac:dyDescent="0.25">
      <c r="B274" s="1409" t="s">
        <v>283</v>
      </c>
      <c r="C274" s="1410">
        <v>2035</v>
      </c>
      <c r="D274" s="1409">
        <v>1092000</v>
      </c>
      <c r="E274" s="1411">
        <v>1092000</v>
      </c>
      <c r="F274" s="1412">
        <v>3981</v>
      </c>
      <c r="G274" s="1409">
        <v>5.7552000000000003</v>
      </c>
      <c r="H274" s="1411">
        <v>0.18462100000000001</v>
      </c>
      <c r="I274" s="1411">
        <v>8.6129999999999996E-4</v>
      </c>
      <c r="J274" s="1412">
        <v>11.5802</v>
      </c>
    </row>
    <row r="275" spans="2:10" x14ac:dyDescent="0.25">
      <c r="B275" s="1409" t="s">
        <v>1086</v>
      </c>
      <c r="C275" s="1410">
        <v>2035</v>
      </c>
      <c r="D275" s="1409">
        <v>1092000</v>
      </c>
      <c r="E275" s="1411">
        <v>1092000</v>
      </c>
      <c r="F275" s="1412">
        <v>3981</v>
      </c>
      <c r="G275" s="1409">
        <v>5.7552000000000003</v>
      </c>
      <c r="H275" s="1411">
        <v>0.18462100000000001</v>
      </c>
      <c r="I275" s="1411">
        <v>8.6129999999999996E-4</v>
      </c>
      <c r="J275" s="1412">
        <v>11.5802</v>
      </c>
    </row>
    <row r="276" spans="2:10" x14ac:dyDescent="0.25">
      <c r="B276" s="1409" t="s">
        <v>681</v>
      </c>
      <c r="C276" s="1410">
        <v>2035</v>
      </c>
      <c r="D276" s="1409">
        <v>1092000</v>
      </c>
      <c r="E276" s="1411">
        <v>1092000</v>
      </c>
      <c r="F276" s="1412">
        <v>3981</v>
      </c>
      <c r="G276" s="1409">
        <v>5.7552000000000003</v>
      </c>
      <c r="H276" s="1411">
        <v>0.18462100000000001</v>
      </c>
      <c r="I276" s="1411">
        <v>8.6129999999999996E-4</v>
      </c>
      <c r="J276" s="1412">
        <v>11.5802</v>
      </c>
    </row>
    <row r="277" spans="2:10" x14ac:dyDescent="0.25">
      <c r="B277" s="1409" t="s">
        <v>682</v>
      </c>
      <c r="C277" s="1410">
        <v>2035</v>
      </c>
      <c r="D277" s="1409">
        <v>-1185000</v>
      </c>
      <c r="E277" s="1411">
        <v>0</v>
      </c>
      <c r="F277" s="1412">
        <v>0</v>
      </c>
      <c r="G277" s="1409">
        <v>-85.800000000000011</v>
      </c>
      <c r="H277" s="1411">
        <v>0.54700000000000004</v>
      </c>
      <c r="I277" s="1411">
        <v>-1.8286999999999999E-3</v>
      </c>
      <c r="J277" s="1412">
        <v>-70.08</v>
      </c>
    </row>
    <row r="278" spans="2:10" x14ac:dyDescent="0.25">
      <c r="B278" s="1409" t="s">
        <v>683</v>
      </c>
      <c r="C278" s="1410">
        <v>2035</v>
      </c>
      <c r="D278" s="1409">
        <v>1745000</v>
      </c>
      <c r="E278" s="1411">
        <v>1314000</v>
      </c>
      <c r="F278" s="1412">
        <v>18650</v>
      </c>
      <c r="G278" s="1409">
        <v>132.69</v>
      </c>
      <c r="H278" s="1411">
        <v>0.204869</v>
      </c>
      <c r="I278" s="1411">
        <v>1.9257999999999999E-3</v>
      </c>
      <c r="J278" s="1412">
        <v>137.91999999999999</v>
      </c>
    </row>
    <row r="279" spans="2:10" x14ac:dyDescent="0.25">
      <c r="B279" s="1409" t="s">
        <v>698</v>
      </c>
      <c r="C279" s="1410">
        <v>2035</v>
      </c>
      <c r="D279" s="1409">
        <v>1745000</v>
      </c>
      <c r="E279" s="1411">
        <v>1314000</v>
      </c>
      <c r="F279" s="1412">
        <v>18650</v>
      </c>
      <c r="G279" s="1409">
        <v>132.69</v>
      </c>
      <c r="H279" s="1411">
        <v>0.204869</v>
      </c>
      <c r="I279" s="1411">
        <v>1.9257999999999999E-3</v>
      </c>
      <c r="J279" s="1412">
        <v>137.91999999999999</v>
      </c>
    </row>
    <row r="280" spans="2:10" x14ac:dyDescent="0.25">
      <c r="B280" s="1409" t="s">
        <v>684</v>
      </c>
      <c r="C280" s="1410">
        <v>2035</v>
      </c>
      <c r="D280" s="1409">
        <v>1745000</v>
      </c>
      <c r="E280" s="1411">
        <v>1314000</v>
      </c>
      <c r="F280" s="1412">
        <v>18650</v>
      </c>
      <c r="G280" s="1409">
        <v>132.69</v>
      </c>
      <c r="H280" s="1411">
        <v>0.204869</v>
      </c>
      <c r="I280" s="1411">
        <v>1.9257999999999999E-3</v>
      </c>
      <c r="J280" s="1412">
        <v>137.91999999999999</v>
      </c>
    </row>
    <row r="281" spans="2:10" x14ac:dyDescent="0.25">
      <c r="B281" s="1409" t="s">
        <v>1087</v>
      </c>
      <c r="C281" s="1410">
        <v>2035</v>
      </c>
      <c r="D281" s="1409">
        <v>1022000</v>
      </c>
      <c r="E281" s="1411">
        <v>1021000</v>
      </c>
      <c r="F281" s="1412">
        <v>15520</v>
      </c>
      <c r="G281" s="1409">
        <v>1.7124999999999999</v>
      </c>
      <c r="H281" s="1411">
        <v>0.14096197999999999</v>
      </c>
      <c r="I281" s="1411">
        <v>3.3061000000000001E-5</v>
      </c>
      <c r="J281" s="1412">
        <v>5.9708000000000006</v>
      </c>
    </row>
    <row r="282" spans="2:10" x14ac:dyDescent="0.25">
      <c r="B282" s="1409" t="s">
        <v>716</v>
      </c>
      <c r="C282" s="1410">
        <v>2035</v>
      </c>
      <c r="D282" s="1409">
        <v>1022000</v>
      </c>
      <c r="E282" s="1411">
        <v>1021000</v>
      </c>
      <c r="F282" s="1412">
        <v>15520</v>
      </c>
      <c r="G282" s="1409">
        <v>1.7124999999999999</v>
      </c>
      <c r="H282" s="1411">
        <v>0.14096197999999999</v>
      </c>
      <c r="I282" s="1411">
        <v>3.3061000000000001E-5</v>
      </c>
      <c r="J282" s="1412">
        <v>5.9708000000000006</v>
      </c>
    </row>
    <row r="283" spans="2:10" x14ac:dyDescent="0.25">
      <c r="B283" s="1409" t="s">
        <v>717</v>
      </c>
      <c r="C283" s="1410">
        <v>2035</v>
      </c>
      <c r="D283" s="1409">
        <v>1022000</v>
      </c>
      <c r="E283" s="1411">
        <v>1021000</v>
      </c>
      <c r="F283" s="1412">
        <v>15520</v>
      </c>
      <c r="G283" s="1409">
        <v>1.7124999999999999</v>
      </c>
      <c r="H283" s="1411">
        <v>0.14096197999999999</v>
      </c>
      <c r="I283" s="1411">
        <v>3.3061000000000001E-5</v>
      </c>
      <c r="J283" s="1412">
        <v>5.9708000000000006</v>
      </c>
    </row>
    <row r="284" spans="2:10" x14ac:dyDescent="0.25">
      <c r="B284" s="1409" t="s">
        <v>912</v>
      </c>
      <c r="C284" s="1410">
        <v>2035</v>
      </c>
      <c r="D284" s="1409">
        <v>1209000</v>
      </c>
      <c r="E284" s="1411">
        <v>1202000</v>
      </c>
      <c r="F284" s="1412">
        <v>1052000</v>
      </c>
      <c r="G284" s="1409">
        <v>18.088999999999999</v>
      </c>
      <c r="H284" s="1411">
        <v>0.16412499999999999</v>
      </c>
      <c r="I284" s="1411">
        <v>2.9260000000000001E-4</v>
      </c>
      <c r="J284" s="1412">
        <v>23.119</v>
      </c>
    </row>
    <row r="285" spans="2:10" x14ac:dyDescent="0.25">
      <c r="B285" s="1409" t="s">
        <v>910</v>
      </c>
      <c r="C285" s="1410">
        <v>2035</v>
      </c>
      <c r="D285" s="1409">
        <v>1586000</v>
      </c>
      <c r="E285" s="1411">
        <v>697100</v>
      </c>
      <c r="F285" s="1412">
        <v>286100</v>
      </c>
      <c r="G285" s="1409">
        <v>38.326999999999998</v>
      </c>
      <c r="H285" s="1411">
        <v>0.1118</v>
      </c>
      <c r="I285" s="1411">
        <v>2.5350000000000001E-2</v>
      </c>
      <c r="J285" s="1412">
        <v>45.39</v>
      </c>
    </row>
    <row r="286" spans="2:10" x14ac:dyDescent="0.25">
      <c r="B286" s="1409" t="s">
        <v>913</v>
      </c>
      <c r="C286" s="1410">
        <v>2035</v>
      </c>
      <c r="D286" s="1409">
        <v>1250000</v>
      </c>
      <c r="E286" s="1411">
        <v>1242000</v>
      </c>
      <c r="F286" s="1412">
        <v>1078000</v>
      </c>
      <c r="G286" s="1409">
        <v>23.973999999999997</v>
      </c>
      <c r="H286" s="1411">
        <v>0.169854</v>
      </c>
      <c r="I286" s="1411">
        <v>3.8064000000000001E-4</v>
      </c>
      <c r="J286" s="1412">
        <v>29.302</v>
      </c>
    </row>
    <row r="287" spans="2:10" x14ac:dyDescent="0.25">
      <c r="B287" s="1409" t="s">
        <v>1081</v>
      </c>
      <c r="C287" s="1410">
        <v>2035</v>
      </c>
      <c r="D287" s="1409">
        <v>1190000</v>
      </c>
      <c r="E287" s="1411">
        <v>51660</v>
      </c>
      <c r="F287" s="1412">
        <v>29230</v>
      </c>
      <c r="G287" s="1409">
        <v>3.7818000000000001</v>
      </c>
      <c r="H287" s="1411">
        <v>8.4370999999999995E-3</v>
      </c>
      <c r="I287" s="1411">
        <v>-3.8259590000000003E-3</v>
      </c>
      <c r="J287" s="1412">
        <v>3.0312999999999999</v>
      </c>
    </row>
    <row r="288" spans="2:10" x14ac:dyDescent="0.25">
      <c r="B288" s="1409" t="s">
        <v>815</v>
      </c>
      <c r="C288" s="1410">
        <v>2035</v>
      </c>
      <c r="D288" s="1409">
        <v>1190000</v>
      </c>
      <c r="E288" s="1411">
        <v>51660</v>
      </c>
      <c r="F288" s="1412">
        <v>29230</v>
      </c>
      <c r="G288" s="1409">
        <v>3.7818000000000001</v>
      </c>
      <c r="H288" s="1411">
        <v>8.4370999999999995E-3</v>
      </c>
      <c r="I288" s="1411">
        <v>-3.8259590000000003E-3</v>
      </c>
      <c r="J288" s="1412">
        <v>3.0312999999999999</v>
      </c>
    </row>
    <row r="289" spans="2:10" x14ac:dyDescent="0.25">
      <c r="B289" s="1409" t="s">
        <v>824</v>
      </c>
      <c r="C289" s="1410">
        <v>2035</v>
      </c>
      <c r="D289" s="1409">
        <v>1190000</v>
      </c>
      <c r="E289" s="1411">
        <v>51660</v>
      </c>
      <c r="F289" s="1412">
        <v>29230</v>
      </c>
      <c r="G289" s="1409">
        <v>3.7818000000000001</v>
      </c>
      <c r="H289" s="1411">
        <v>8.4370999999999995E-3</v>
      </c>
      <c r="I289" s="1411">
        <v>-3.8259590000000003E-3</v>
      </c>
      <c r="J289" s="1412">
        <v>3.0312999999999999</v>
      </c>
    </row>
    <row r="290" spans="2:10" ht="13" thickBot="1" x14ac:dyDescent="0.3">
      <c r="B290" s="1413" t="s">
        <v>1088</v>
      </c>
      <c r="C290" s="1414">
        <v>2035</v>
      </c>
      <c r="D290" s="1413">
        <v>1384000</v>
      </c>
      <c r="E290" s="1415">
        <v>1383000</v>
      </c>
      <c r="F290" s="1416">
        <v>5034</v>
      </c>
      <c r="G290" s="1413">
        <v>78.571100000000001</v>
      </c>
      <c r="H290" s="1415">
        <v>0.27494000000000002</v>
      </c>
      <c r="I290" s="1415">
        <v>2.3304000000000003E-3</v>
      </c>
      <c r="J290" s="1416">
        <v>87.594300000000004</v>
      </c>
    </row>
    <row r="291" spans="2:10" x14ac:dyDescent="0.25">
      <c r="B291" s="1405" t="s">
        <v>1085</v>
      </c>
      <c r="C291" s="1406">
        <v>2040</v>
      </c>
      <c r="D291" s="1405">
        <v>1092000</v>
      </c>
      <c r="E291" s="1407">
        <v>1092000</v>
      </c>
      <c r="F291" s="1408">
        <v>3975</v>
      </c>
      <c r="G291" s="1405">
        <v>5.7453000000000003</v>
      </c>
      <c r="H291" s="1407">
        <v>0.18462200000000001</v>
      </c>
      <c r="I291" s="1407">
        <v>8.6110000000000006E-4</v>
      </c>
      <c r="J291" s="1408">
        <v>11.577199999999999</v>
      </c>
    </row>
    <row r="292" spans="2:10" x14ac:dyDescent="0.25">
      <c r="B292" s="1409" t="s">
        <v>283</v>
      </c>
      <c r="C292" s="1410">
        <v>2040</v>
      </c>
      <c r="D292" s="1409">
        <v>1092000</v>
      </c>
      <c r="E292" s="1411">
        <v>1092000</v>
      </c>
      <c r="F292" s="1412">
        <v>3975</v>
      </c>
      <c r="G292" s="1409">
        <v>5.7453000000000003</v>
      </c>
      <c r="H292" s="1411">
        <v>0.18462200000000001</v>
      </c>
      <c r="I292" s="1411">
        <v>8.6110000000000006E-4</v>
      </c>
      <c r="J292" s="1412">
        <v>11.577199999999999</v>
      </c>
    </row>
    <row r="293" spans="2:10" x14ac:dyDescent="0.25">
      <c r="B293" s="1409" t="s">
        <v>1086</v>
      </c>
      <c r="C293" s="1410">
        <v>2040</v>
      </c>
      <c r="D293" s="1409">
        <v>1092000</v>
      </c>
      <c r="E293" s="1411">
        <v>1092000</v>
      </c>
      <c r="F293" s="1412">
        <v>3975</v>
      </c>
      <c r="G293" s="1409">
        <v>5.7453000000000003</v>
      </c>
      <c r="H293" s="1411">
        <v>0.18462200000000001</v>
      </c>
      <c r="I293" s="1411">
        <v>8.6110000000000006E-4</v>
      </c>
      <c r="J293" s="1412">
        <v>11.577199999999999</v>
      </c>
    </row>
    <row r="294" spans="2:10" x14ac:dyDescent="0.25">
      <c r="B294" s="1409" t="s">
        <v>681</v>
      </c>
      <c r="C294" s="1410">
        <v>2040</v>
      </c>
      <c r="D294" s="1409">
        <v>1092000</v>
      </c>
      <c r="E294" s="1411">
        <v>1092000</v>
      </c>
      <c r="F294" s="1412">
        <v>3975</v>
      </c>
      <c r="G294" s="1409">
        <v>5.7453000000000003</v>
      </c>
      <c r="H294" s="1411">
        <v>0.18462200000000001</v>
      </c>
      <c r="I294" s="1411">
        <v>8.6110000000000006E-4</v>
      </c>
      <c r="J294" s="1412">
        <v>11.577199999999999</v>
      </c>
    </row>
    <row r="295" spans="2:10" x14ac:dyDescent="0.25">
      <c r="B295" s="1409" t="s">
        <v>682</v>
      </c>
      <c r="C295" s="1410">
        <v>2040</v>
      </c>
      <c r="D295" s="1409">
        <v>-1185000</v>
      </c>
      <c r="E295" s="1411">
        <v>0</v>
      </c>
      <c r="F295" s="1412">
        <v>0</v>
      </c>
      <c r="G295" s="1409">
        <v>-85.800000000000011</v>
      </c>
      <c r="H295" s="1411">
        <v>0.54700000000000004</v>
      </c>
      <c r="I295" s="1411">
        <v>-1.8286999999999999E-3</v>
      </c>
      <c r="J295" s="1412">
        <v>-70.08</v>
      </c>
    </row>
    <row r="296" spans="2:10" x14ac:dyDescent="0.25">
      <c r="B296" s="1409" t="s">
        <v>683</v>
      </c>
      <c r="C296" s="1410">
        <v>2040</v>
      </c>
      <c r="D296" s="1409">
        <v>1732000</v>
      </c>
      <c r="E296" s="1411">
        <v>1300000</v>
      </c>
      <c r="F296" s="1412">
        <v>17320</v>
      </c>
      <c r="G296" s="1409">
        <v>129.32</v>
      </c>
      <c r="H296" s="1411">
        <v>0.20383000000000001</v>
      </c>
      <c r="I296" s="1411">
        <v>1.8644999999999998E-3</v>
      </c>
      <c r="J296" s="1412">
        <v>134.37</v>
      </c>
    </row>
    <row r="297" spans="2:10" x14ac:dyDescent="0.25">
      <c r="B297" s="1409" t="s">
        <v>698</v>
      </c>
      <c r="C297" s="1410">
        <v>2040</v>
      </c>
      <c r="D297" s="1409">
        <v>1732000</v>
      </c>
      <c r="E297" s="1411">
        <v>1300000</v>
      </c>
      <c r="F297" s="1412">
        <v>17320</v>
      </c>
      <c r="G297" s="1409">
        <v>129.32</v>
      </c>
      <c r="H297" s="1411">
        <v>0.20383000000000001</v>
      </c>
      <c r="I297" s="1411">
        <v>1.8644999999999998E-3</v>
      </c>
      <c r="J297" s="1412">
        <v>134.37</v>
      </c>
    </row>
    <row r="298" spans="2:10" x14ac:dyDescent="0.25">
      <c r="B298" s="1409" t="s">
        <v>684</v>
      </c>
      <c r="C298" s="1410">
        <v>2040</v>
      </c>
      <c r="D298" s="1409">
        <v>1732000</v>
      </c>
      <c r="E298" s="1411">
        <v>1300000</v>
      </c>
      <c r="F298" s="1412">
        <v>17320</v>
      </c>
      <c r="G298" s="1409">
        <v>129.32</v>
      </c>
      <c r="H298" s="1411">
        <v>0.20383000000000001</v>
      </c>
      <c r="I298" s="1411">
        <v>1.8644999999999998E-3</v>
      </c>
      <c r="J298" s="1412">
        <v>134.37</v>
      </c>
    </row>
    <row r="299" spans="2:10" x14ac:dyDescent="0.25">
      <c r="B299" s="1409" t="s">
        <v>1087</v>
      </c>
      <c r="C299" s="1410">
        <v>2040</v>
      </c>
      <c r="D299" s="1409">
        <v>1022000</v>
      </c>
      <c r="E299" s="1411">
        <v>1021000</v>
      </c>
      <c r="F299" s="1412">
        <v>15510</v>
      </c>
      <c r="G299" s="1409">
        <v>1.7054</v>
      </c>
      <c r="H299" s="1411">
        <v>0.14096210000000001</v>
      </c>
      <c r="I299" s="1411">
        <v>3.2928999999999996E-5</v>
      </c>
      <c r="J299" s="1412">
        <v>5.9637000000000002</v>
      </c>
    </row>
    <row r="300" spans="2:10" x14ac:dyDescent="0.25">
      <c r="B300" s="1409" t="s">
        <v>716</v>
      </c>
      <c r="C300" s="1410">
        <v>2040</v>
      </c>
      <c r="D300" s="1409">
        <v>1022000</v>
      </c>
      <c r="E300" s="1411">
        <v>1021000</v>
      </c>
      <c r="F300" s="1412">
        <v>15510</v>
      </c>
      <c r="G300" s="1409">
        <v>1.7054</v>
      </c>
      <c r="H300" s="1411">
        <v>0.14096210000000001</v>
      </c>
      <c r="I300" s="1411">
        <v>3.2928999999999996E-5</v>
      </c>
      <c r="J300" s="1412">
        <v>5.9637000000000002</v>
      </c>
    </row>
    <row r="301" spans="2:10" x14ac:dyDescent="0.25">
      <c r="B301" s="1409" t="s">
        <v>717</v>
      </c>
      <c r="C301" s="1410">
        <v>2040</v>
      </c>
      <c r="D301" s="1409">
        <v>1022000</v>
      </c>
      <c r="E301" s="1411">
        <v>1021000</v>
      </c>
      <c r="F301" s="1412">
        <v>15510</v>
      </c>
      <c r="G301" s="1409">
        <v>1.7054</v>
      </c>
      <c r="H301" s="1411">
        <v>0.14096210000000001</v>
      </c>
      <c r="I301" s="1411">
        <v>3.2928999999999996E-5</v>
      </c>
      <c r="J301" s="1412">
        <v>5.9637000000000002</v>
      </c>
    </row>
    <row r="302" spans="2:10" x14ac:dyDescent="0.25">
      <c r="B302" s="1409" t="s">
        <v>912</v>
      </c>
      <c r="C302" s="1410">
        <v>2040</v>
      </c>
      <c r="D302" s="1409">
        <v>1209000</v>
      </c>
      <c r="E302" s="1411">
        <v>1202000</v>
      </c>
      <c r="F302" s="1412">
        <v>1052000</v>
      </c>
      <c r="G302" s="1409">
        <v>18.032</v>
      </c>
      <c r="H302" s="1411">
        <v>0.16412599999999999</v>
      </c>
      <c r="I302" s="1411">
        <v>2.9167E-4</v>
      </c>
      <c r="J302" s="1412">
        <v>23.062000000000001</v>
      </c>
    </row>
    <row r="303" spans="2:10" x14ac:dyDescent="0.25">
      <c r="B303" s="1409" t="s">
        <v>910</v>
      </c>
      <c r="C303" s="1410">
        <v>2040</v>
      </c>
      <c r="D303" s="1409">
        <v>1586000</v>
      </c>
      <c r="E303" s="1411">
        <v>696600</v>
      </c>
      <c r="F303" s="1412">
        <v>286100</v>
      </c>
      <c r="G303" s="1409">
        <v>38.200000000000003</v>
      </c>
      <c r="H303" s="1411">
        <v>0.1118</v>
      </c>
      <c r="I303" s="1411">
        <v>2.5350000000000001E-2</v>
      </c>
      <c r="J303" s="1412">
        <v>45.3</v>
      </c>
    </row>
    <row r="304" spans="2:10" x14ac:dyDescent="0.25">
      <c r="B304" s="1409" t="s">
        <v>913</v>
      </c>
      <c r="C304" s="1410">
        <v>2040</v>
      </c>
      <c r="D304" s="1409">
        <v>1250000</v>
      </c>
      <c r="E304" s="1411">
        <v>1242000</v>
      </c>
      <c r="F304" s="1412">
        <v>1078000</v>
      </c>
      <c r="G304" s="1409">
        <v>23.914999999999999</v>
      </c>
      <c r="H304" s="1411">
        <v>0.16985499999999998</v>
      </c>
      <c r="I304" s="1411">
        <v>3.7957999999999997E-4</v>
      </c>
      <c r="J304" s="1412">
        <v>29.232999999999997</v>
      </c>
    </row>
    <row r="305" spans="2:10" x14ac:dyDescent="0.25">
      <c r="B305" s="1409" t="s">
        <v>1081</v>
      </c>
      <c r="C305" s="1410">
        <v>2040</v>
      </c>
      <c r="D305" s="1409">
        <v>1190000</v>
      </c>
      <c r="E305" s="1411">
        <v>51610</v>
      </c>
      <c r="F305" s="1412">
        <v>29220</v>
      </c>
      <c r="G305" s="1409">
        <v>3.7715999999999998</v>
      </c>
      <c r="H305" s="1411">
        <v>8.4332999999999995E-3</v>
      </c>
      <c r="I305" s="1411">
        <v>-3.8260220000000001E-3</v>
      </c>
      <c r="J305" s="1412">
        <v>3.02</v>
      </c>
    </row>
    <row r="306" spans="2:10" x14ac:dyDescent="0.25">
      <c r="B306" s="1409" t="s">
        <v>815</v>
      </c>
      <c r="C306" s="1410">
        <v>2040</v>
      </c>
      <c r="D306" s="1409">
        <v>1190000</v>
      </c>
      <c r="E306" s="1411">
        <v>51610</v>
      </c>
      <c r="F306" s="1412">
        <v>29220</v>
      </c>
      <c r="G306" s="1409">
        <v>3.7715999999999998</v>
      </c>
      <c r="H306" s="1411">
        <v>8.4332999999999995E-3</v>
      </c>
      <c r="I306" s="1411">
        <v>-3.8260220000000001E-3</v>
      </c>
      <c r="J306" s="1412">
        <v>3.02</v>
      </c>
    </row>
    <row r="307" spans="2:10" x14ac:dyDescent="0.25">
      <c r="B307" s="1409" t="s">
        <v>824</v>
      </c>
      <c r="C307" s="1410">
        <v>2040</v>
      </c>
      <c r="D307" s="1409">
        <v>1190000</v>
      </c>
      <c r="E307" s="1411">
        <v>51610</v>
      </c>
      <c r="F307" s="1412">
        <v>29220</v>
      </c>
      <c r="G307" s="1409">
        <v>3.7715999999999998</v>
      </c>
      <c r="H307" s="1411">
        <v>8.4332999999999995E-3</v>
      </c>
      <c r="I307" s="1411">
        <v>-3.8260220000000001E-3</v>
      </c>
      <c r="J307" s="1412">
        <v>3.02</v>
      </c>
    </row>
    <row r="308" spans="2:10" ht="13" thickBot="1" x14ac:dyDescent="0.3">
      <c r="B308" s="1413" t="s">
        <v>1088</v>
      </c>
      <c r="C308" s="1414">
        <v>2040</v>
      </c>
      <c r="D308" s="1413">
        <v>1384000</v>
      </c>
      <c r="E308" s="1415">
        <v>1383000</v>
      </c>
      <c r="F308" s="1416">
        <v>5034</v>
      </c>
      <c r="G308" s="1413">
        <v>78.571100000000001</v>
      </c>
      <c r="H308" s="1415">
        <v>0.27494000000000002</v>
      </c>
      <c r="I308" s="1415">
        <v>2.3304000000000003E-3</v>
      </c>
      <c r="J308" s="1416">
        <v>87.594300000000004</v>
      </c>
    </row>
    <row r="309" spans="2:10" x14ac:dyDescent="0.25">
      <c r="B309" s="1405" t="s">
        <v>1085</v>
      </c>
      <c r="C309" s="1406">
        <v>2045</v>
      </c>
      <c r="D309" s="1405">
        <v>1092000</v>
      </c>
      <c r="E309" s="1407">
        <v>1092000</v>
      </c>
      <c r="F309" s="1408">
        <v>3972</v>
      </c>
      <c r="G309" s="1405">
        <v>5.7410000000000005</v>
      </c>
      <c r="H309" s="1407">
        <v>0.18462200000000001</v>
      </c>
      <c r="I309" s="1407">
        <v>8.6110000000000006E-4</v>
      </c>
      <c r="J309" s="1408">
        <v>11.565900000000001</v>
      </c>
    </row>
    <row r="310" spans="2:10" x14ac:dyDescent="0.25">
      <c r="B310" s="1409" t="s">
        <v>283</v>
      </c>
      <c r="C310" s="1410">
        <v>2045</v>
      </c>
      <c r="D310" s="1409">
        <v>1092000</v>
      </c>
      <c r="E310" s="1411">
        <v>1092000</v>
      </c>
      <c r="F310" s="1412">
        <v>3972</v>
      </c>
      <c r="G310" s="1409">
        <v>5.7410000000000005</v>
      </c>
      <c r="H310" s="1411">
        <v>0.18462200000000001</v>
      </c>
      <c r="I310" s="1411">
        <v>8.6110000000000006E-4</v>
      </c>
      <c r="J310" s="1412">
        <v>11.565900000000001</v>
      </c>
    </row>
    <row r="311" spans="2:10" x14ac:dyDescent="0.25">
      <c r="B311" s="1409" t="s">
        <v>1086</v>
      </c>
      <c r="C311" s="1410">
        <v>2045</v>
      </c>
      <c r="D311" s="1409">
        <v>1092000</v>
      </c>
      <c r="E311" s="1411">
        <v>1092000</v>
      </c>
      <c r="F311" s="1412">
        <v>3972</v>
      </c>
      <c r="G311" s="1409">
        <v>5.7410000000000005</v>
      </c>
      <c r="H311" s="1411">
        <v>0.18462200000000001</v>
      </c>
      <c r="I311" s="1411">
        <v>8.6110000000000006E-4</v>
      </c>
      <c r="J311" s="1412">
        <v>11.565900000000001</v>
      </c>
    </row>
    <row r="312" spans="2:10" x14ac:dyDescent="0.25">
      <c r="B312" s="1409" t="s">
        <v>681</v>
      </c>
      <c r="C312" s="1410">
        <v>2045</v>
      </c>
      <c r="D312" s="1409">
        <v>1092000</v>
      </c>
      <c r="E312" s="1411">
        <v>1092000</v>
      </c>
      <c r="F312" s="1412">
        <v>3972</v>
      </c>
      <c r="G312" s="1409">
        <v>5.7410000000000005</v>
      </c>
      <c r="H312" s="1411">
        <v>0.18462200000000001</v>
      </c>
      <c r="I312" s="1411">
        <v>8.6110000000000006E-4</v>
      </c>
      <c r="J312" s="1412">
        <v>11.565900000000001</v>
      </c>
    </row>
    <row r="313" spans="2:10" x14ac:dyDescent="0.25">
      <c r="B313" s="1409" t="s">
        <v>682</v>
      </c>
      <c r="C313" s="1410">
        <v>2045</v>
      </c>
      <c r="D313" s="1409">
        <v>-1185000</v>
      </c>
      <c r="E313" s="1411">
        <v>0</v>
      </c>
      <c r="F313" s="1412">
        <v>0</v>
      </c>
      <c r="G313" s="1409">
        <v>-85.800000000000011</v>
      </c>
      <c r="H313" s="1411">
        <v>0.54700000000000004</v>
      </c>
      <c r="I313" s="1411">
        <v>-1.8286999999999999E-3</v>
      </c>
      <c r="J313" s="1412">
        <v>-70.08</v>
      </c>
    </row>
    <row r="314" spans="2:10" x14ac:dyDescent="0.25">
      <c r="B314" s="1409" t="s">
        <v>683</v>
      </c>
      <c r="C314" s="1410">
        <v>2045</v>
      </c>
      <c r="D314" s="1409">
        <v>1724000</v>
      </c>
      <c r="E314" s="1411">
        <v>1293000</v>
      </c>
      <c r="F314" s="1412">
        <v>15580</v>
      </c>
      <c r="G314" s="1409">
        <v>126.71000000000001</v>
      </c>
      <c r="H314" s="1411">
        <v>0.203795</v>
      </c>
      <c r="I314" s="1411">
        <v>1.8165E-3</v>
      </c>
      <c r="J314" s="1412">
        <v>131.63</v>
      </c>
    </row>
    <row r="315" spans="2:10" x14ac:dyDescent="0.25">
      <c r="B315" s="1409" t="s">
        <v>698</v>
      </c>
      <c r="C315" s="1410">
        <v>2045</v>
      </c>
      <c r="D315" s="1409">
        <v>1724000</v>
      </c>
      <c r="E315" s="1411">
        <v>1293000</v>
      </c>
      <c r="F315" s="1412">
        <v>15580</v>
      </c>
      <c r="G315" s="1409">
        <v>126.71000000000001</v>
      </c>
      <c r="H315" s="1411">
        <v>0.203795</v>
      </c>
      <c r="I315" s="1411">
        <v>1.8165E-3</v>
      </c>
      <c r="J315" s="1412">
        <v>131.63</v>
      </c>
    </row>
    <row r="316" spans="2:10" x14ac:dyDescent="0.25">
      <c r="B316" s="1409" t="s">
        <v>684</v>
      </c>
      <c r="C316" s="1410">
        <v>2045</v>
      </c>
      <c r="D316" s="1409">
        <v>1724000</v>
      </c>
      <c r="E316" s="1411">
        <v>1293000</v>
      </c>
      <c r="F316" s="1412">
        <v>15580</v>
      </c>
      <c r="G316" s="1409">
        <v>126.71000000000001</v>
      </c>
      <c r="H316" s="1411">
        <v>0.203795</v>
      </c>
      <c r="I316" s="1411">
        <v>1.8165E-3</v>
      </c>
      <c r="J316" s="1412">
        <v>131.63</v>
      </c>
    </row>
    <row r="317" spans="2:10" x14ac:dyDescent="0.25">
      <c r="B317" s="1409" t="s">
        <v>1087</v>
      </c>
      <c r="C317" s="1410">
        <v>2045</v>
      </c>
      <c r="D317" s="1409">
        <v>1022000</v>
      </c>
      <c r="E317" s="1411">
        <v>1021000</v>
      </c>
      <c r="F317" s="1412">
        <v>15510</v>
      </c>
      <c r="G317" s="1409">
        <v>1.6997</v>
      </c>
      <c r="H317" s="1411">
        <v>0.14096223999999999</v>
      </c>
      <c r="I317" s="1411">
        <v>3.2833999999999998E-5</v>
      </c>
      <c r="J317" s="1412">
        <v>5.9580000000000002</v>
      </c>
    </row>
    <row r="318" spans="2:10" x14ac:dyDescent="0.25">
      <c r="B318" s="1409" t="s">
        <v>716</v>
      </c>
      <c r="C318" s="1410">
        <v>2045</v>
      </c>
      <c r="D318" s="1409">
        <v>1022000</v>
      </c>
      <c r="E318" s="1411">
        <v>1021000</v>
      </c>
      <c r="F318" s="1412">
        <v>15510</v>
      </c>
      <c r="G318" s="1409">
        <v>1.6997</v>
      </c>
      <c r="H318" s="1411">
        <v>0.14096223999999999</v>
      </c>
      <c r="I318" s="1411">
        <v>3.2833999999999998E-5</v>
      </c>
      <c r="J318" s="1412">
        <v>5.9580000000000002</v>
      </c>
    </row>
    <row r="319" spans="2:10" x14ac:dyDescent="0.25">
      <c r="B319" s="1409" t="s">
        <v>717</v>
      </c>
      <c r="C319" s="1410">
        <v>2045</v>
      </c>
      <c r="D319" s="1409">
        <v>1022000</v>
      </c>
      <c r="E319" s="1411">
        <v>1021000</v>
      </c>
      <c r="F319" s="1412">
        <v>15510</v>
      </c>
      <c r="G319" s="1409">
        <v>1.6997</v>
      </c>
      <c r="H319" s="1411">
        <v>0.14096223999999999</v>
      </c>
      <c r="I319" s="1411">
        <v>3.2833999999999998E-5</v>
      </c>
      <c r="J319" s="1412">
        <v>5.9580000000000002</v>
      </c>
    </row>
    <row r="320" spans="2:10" x14ac:dyDescent="0.25">
      <c r="B320" s="1409" t="s">
        <v>912</v>
      </c>
      <c r="C320" s="1410">
        <v>2045</v>
      </c>
      <c r="D320" s="1409">
        <v>1209000</v>
      </c>
      <c r="E320" s="1411">
        <v>1202000</v>
      </c>
      <c r="F320" s="1412">
        <v>1052000</v>
      </c>
      <c r="G320" s="1409">
        <v>17.989000000000001</v>
      </c>
      <c r="H320" s="1411">
        <v>0.164127</v>
      </c>
      <c r="I320" s="1411">
        <v>2.9079000000000003E-4</v>
      </c>
      <c r="J320" s="1412">
        <v>23.018999999999998</v>
      </c>
    </row>
    <row r="321" spans="2:10" x14ac:dyDescent="0.25">
      <c r="B321" s="1409" t="s">
        <v>910</v>
      </c>
      <c r="C321" s="1410">
        <v>2045</v>
      </c>
      <c r="D321" s="1409">
        <v>1586000</v>
      </c>
      <c r="E321" s="1411">
        <v>696300</v>
      </c>
      <c r="F321" s="1412">
        <v>286000</v>
      </c>
      <c r="G321" s="1409">
        <v>38.110999999999997</v>
      </c>
      <c r="H321" s="1411">
        <v>0.1118</v>
      </c>
      <c r="I321" s="1411">
        <v>2.5350000000000001E-2</v>
      </c>
      <c r="J321" s="1412">
        <v>45.23</v>
      </c>
    </row>
    <row r="322" spans="2:10" x14ac:dyDescent="0.25">
      <c r="B322" s="1409" t="s">
        <v>913</v>
      </c>
      <c r="C322" s="1410">
        <v>2045</v>
      </c>
      <c r="D322" s="1409">
        <v>1249000</v>
      </c>
      <c r="E322" s="1411">
        <v>1242000</v>
      </c>
      <c r="F322" s="1412">
        <v>1078000</v>
      </c>
      <c r="G322" s="1409">
        <v>23.861000000000001</v>
      </c>
      <c r="H322" s="1411">
        <v>0.16985599999999998</v>
      </c>
      <c r="I322" s="1411">
        <v>3.7867E-4</v>
      </c>
      <c r="J322" s="1412">
        <v>29.189</v>
      </c>
    </row>
    <row r="323" spans="2:10" x14ac:dyDescent="0.25">
      <c r="B323" s="1409" t="s">
        <v>1081</v>
      </c>
      <c r="C323" s="1410">
        <v>2045</v>
      </c>
      <c r="D323" s="1409">
        <v>1190000</v>
      </c>
      <c r="E323" s="1411">
        <v>51590</v>
      </c>
      <c r="F323" s="1412">
        <v>29220</v>
      </c>
      <c r="G323" s="1409">
        <v>3.7631000000000001</v>
      </c>
      <c r="H323" s="1411">
        <v>8.4335E-3</v>
      </c>
      <c r="I323" s="1411">
        <v>-3.8260760000000003E-3</v>
      </c>
      <c r="J323" s="1412">
        <v>3.0114000000000001</v>
      </c>
    </row>
    <row r="324" spans="2:10" x14ac:dyDescent="0.25">
      <c r="B324" s="1409" t="s">
        <v>815</v>
      </c>
      <c r="C324" s="1410">
        <v>2045</v>
      </c>
      <c r="D324" s="1409">
        <v>1190000</v>
      </c>
      <c r="E324" s="1411">
        <v>51590</v>
      </c>
      <c r="F324" s="1412">
        <v>29220</v>
      </c>
      <c r="G324" s="1409">
        <v>3.7631000000000001</v>
      </c>
      <c r="H324" s="1411">
        <v>8.4335E-3</v>
      </c>
      <c r="I324" s="1411">
        <v>-3.8260760000000003E-3</v>
      </c>
      <c r="J324" s="1412">
        <v>3.0114000000000001</v>
      </c>
    </row>
    <row r="325" spans="2:10" x14ac:dyDescent="0.25">
      <c r="B325" s="1409" t="s">
        <v>824</v>
      </c>
      <c r="C325" s="1410">
        <v>2045</v>
      </c>
      <c r="D325" s="1409">
        <v>1190000</v>
      </c>
      <c r="E325" s="1411">
        <v>51590</v>
      </c>
      <c r="F325" s="1412">
        <v>29220</v>
      </c>
      <c r="G325" s="1409">
        <v>3.7631000000000001</v>
      </c>
      <c r="H325" s="1411">
        <v>8.4335E-3</v>
      </c>
      <c r="I325" s="1411">
        <v>-3.8260760000000003E-3</v>
      </c>
      <c r="J325" s="1412">
        <v>3.0114000000000001</v>
      </c>
    </row>
    <row r="326" spans="2:10" ht="13" thickBot="1" x14ac:dyDescent="0.3">
      <c r="B326" s="1413" t="s">
        <v>1088</v>
      </c>
      <c r="C326" s="1414">
        <v>2045</v>
      </c>
      <c r="D326" s="1413">
        <v>1384000</v>
      </c>
      <c r="E326" s="1415">
        <v>1383000</v>
      </c>
      <c r="F326" s="1416">
        <v>5034</v>
      </c>
      <c r="G326" s="1413">
        <v>78.571100000000001</v>
      </c>
      <c r="H326" s="1415">
        <v>0.27494000000000002</v>
      </c>
      <c r="I326" s="1415">
        <v>2.3304000000000003E-3</v>
      </c>
      <c r="J326" s="1416">
        <v>87.594300000000004</v>
      </c>
    </row>
    <row r="327" spans="2:10" x14ac:dyDescent="0.25">
      <c r="B327" s="1405" t="s">
        <v>1085</v>
      </c>
      <c r="C327" s="1406">
        <v>2050</v>
      </c>
      <c r="D327" s="1405">
        <v>1092000</v>
      </c>
      <c r="E327" s="1407">
        <v>1092000</v>
      </c>
      <c r="F327" s="1408">
        <v>3971</v>
      </c>
      <c r="G327" s="1405">
        <v>5.7390999999999996</v>
      </c>
      <c r="H327" s="1407">
        <v>0.18462200000000001</v>
      </c>
      <c r="I327" s="1407">
        <v>8.61E-4</v>
      </c>
      <c r="J327" s="1408">
        <v>11.5648</v>
      </c>
    </row>
    <row r="328" spans="2:10" x14ac:dyDescent="0.25">
      <c r="B328" s="1409" t="s">
        <v>283</v>
      </c>
      <c r="C328" s="1410">
        <v>2050</v>
      </c>
      <c r="D328" s="1409">
        <v>1092000</v>
      </c>
      <c r="E328" s="1411">
        <v>1092000</v>
      </c>
      <c r="F328" s="1412">
        <v>3971</v>
      </c>
      <c r="G328" s="1409">
        <v>5.7390999999999996</v>
      </c>
      <c r="H328" s="1411">
        <v>0.18462200000000001</v>
      </c>
      <c r="I328" s="1411">
        <v>8.61E-4</v>
      </c>
      <c r="J328" s="1412">
        <v>11.5648</v>
      </c>
    </row>
    <row r="329" spans="2:10" x14ac:dyDescent="0.25">
      <c r="B329" s="1409" t="s">
        <v>1086</v>
      </c>
      <c r="C329" s="1410">
        <v>2050</v>
      </c>
      <c r="D329" s="1409">
        <v>1092000</v>
      </c>
      <c r="E329" s="1411">
        <v>1092000</v>
      </c>
      <c r="F329" s="1412">
        <v>3971</v>
      </c>
      <c r="G329" s="1409">
        <v>5.7390999999999996</v>
      </c>
      <c r="H329" s="1411">
        <v>0.18462200000000001</v>
      </c>
      <c r="I329" s="1411">
        <v>8.61E-4</v>
      </c>
      <c r="J329" s="1412">
        <v>11.5648</v>
      </c>
    </row>
    <row r="330" spans="2:10" x14ac:dyDescent="0.25">
      <c r="B330" s="1409" t="s">
        <v>681</v>
      </c>
      <c r="C330" s="1410">
        <v>2050</v>
      </c>
      <c r="D330" s="1409">
        <v>1092000</v>
      </c>
      <c r="E330" s="1411">
        <v>1092000</v>
      </c>
      <c r="F330" s="1412">
        <v>3971</v>
      </c>
      <c r="G330" s="1409">
        <v>5.7390999999999996</v>
      </c>
      <c r="H330" s="1411">
        <v>0.18462200000000001</v>
      </c>
      <c r="I330" s="1411">
        <v>8.61E-4</v>
      </c>
      <c r="J330" s="1412">
        <v>11.5648</v>
      </c>
    </row>
    <row r="331" spans="2:10" x14ac:dyDescent="0.25">
      <c r="B331" s="1409" t="s">
        <v>682</v>
      </c>
      <c r="C331" s="1410">
        <v>2050</v>
      </c>
      <c r="D331" s="1409">
        <v>-1185000</v>
      </c>
      <c r="E331" s="1411">
        <v>0</v>
      </c>
      <c r="F331" s="1412">
        <v>0</v>
      </c>
      <c r="G331" s="1409">
        <v>-85.800000000000011</v>
      </c>
      <c r="H331" s="1411">
        <v>0.54700000000000004</v>
      </c>
      <c r="I331" s="1411">
        <v>-1.8286999999999999E-3</v>
      </c>
      <c r="J331" s="1412">
        <v>-70.08</v>
      </c>
    </row>
    <row r="332" spans="2:10" x14ac:dyDescent="0.25">
      <c r="B332" s="1409" t="s">
        <v>683</v>
      </c>
      <c r="C332" s="1410">
        <v>2050</v>
      </c>
      <c r="D332" s="1409">
        <v>1721000</v>
      </c>
      <c r="E332" s="1411">
        <v>1293000</v>
      </c>
      <c r="F332" s="1412">
        <v>15050</v>
      </c>
      <c r="G332" s="1409">
        <v>125.08</v>
      </c>
      <c r="H332" s="1411">
        <v>0.20477100000000001</v>
      </c>
      <c r="I332" s="1411">
        <v>1.7827000000000001E-3</v>
      </c>
      <c r="J332" s="1412">
        <v>129.82</v>
      </c>
    </row>
    <row r="333" spans="2:10" x14ac:dyDescent="0.25">
      <c r="B333" s="1409" t="s">
        <v>698</v>
      </c>
      <c r="C333" s="1410">
        <v>2050</v>
      </c>
      <c r="D333" s="1409">
        <v>1721000</v>
      </c>
      <c r="E333" s="1411">
        <v>1293000</v>
      </c>
      <c r="F333" s="1412">
        <v>15050</v>
      </c>
      <c r="G333" s="1409">
        <v>125.08</v>
      </c>
      <c r="H333" s="1411">
        <v>0.20477100000000001</v>
      </c>
      <c r="I333" s="1411">
        <v>1.7827000000000001E-3</v>
      </c>
      <c r="J333" s="1412">
        <v>129.82</v>
      </c>
    </row>
    <row r="334" spans="2:10" x14ac:dyDescent="0.25">
      <c r="B334" s="1409" t="s">
        <v>684</v>
      </c>
      <c r="C334" s="1410">
        <v>2050</v>
      </c>
      <c r="D334" s="1409">
        <v>1721000</v>
      </c>
      <c r="E334" s="1411">
        <v>1293000</v>
      </c>
      <c r="F334" s="1412">
        <v>15050</v>
      </c>
      <c r="G334" s="1409">
        <v>125.08</v>
      </c>
      <c r="H334" s="1411">
        <v>0.20477100000000001</v>
      </c>
      <c r="I334" s="1411">
        <v>1.7827000000000001E-3</v>
      </c>
      <c r="J334" s="1412">
        <v>129.82</v>
      </c>
    </row>
    <row r="335" spans="2:10" x14ac:dyDescent="0.25">
      <c r="B335" s="1409" t="s">
        <v>1087</v>
      </c>
      <c r="C335" s="1410">
        <v>2050</v>
      </c>
      <c r="D335" s="1409">
        <v>1022000</v>
      </c>
      <c r="E335" s="1411">
        <v>1021000</v>
      </c>
      <c r="F335" s="1412">
        <v>15510</v>
      </c>
      <c r="G335" s="1409">
        <v>1.6964999999999999</v>
      </c>
      <c r="H335" s="1411">
        <v>0.14096238999999999</v>
      </c>
      <c r="I335" s="1411">
        <v>3.2765999999999998E-5</v>
      </c>
      <c r="J335" s="1412">
        <v>5.9536999999999995</v>
      </c>
    </row>
    <row r="336" spans="2:10" x14ac:dyDescent="0.25">
      <c r="B336" s="1409" t="s">
        <v>716</v>
      </c>
      <c r="C336" s="1410">
        <v>2050</v>
      </c>
      <c r="D336" s="1409">
        <v>1022000</v>
      </c>
      <c r="E336" s="1411">
        <v>1021000</v>
      </c>
      <c r="F336" s="1412">
        <v>15510</v>
      </c>
      <c r="G336" s="1409">
        <v>1.6964999999999999</v>
      </c>
      <c r="H336" s="1411">
        <v>0.14096238999999999</v>
      </c>
      <c r="I336" s="1411">
        <v>3.2765999999999998E-5</v>
      </c>
      <c r="J336" s="1412">
        <v>5.9536999999999995</v>
      </c>
    </row>
    <row r="337" spans="2:10" x14ac:dyDescent="0.25">
      <c r="B337" s="1409" t="s">
        <v>717</v>
      </c>
      <c r="C337" s="1410">
        <v>2050</v>
      </c>
      <c r="D337" s="1409">
        <v>1022000</v>
      </c>
      <c r="E337" s="1411">
        <v>1021000</v>
      </c>
      <c r="F337" s="1412">
        <v>15510</v>
      </c>
      <c r="G337" s="1409">
        <v>1.6964999999999999</v>
      </c>
      <c r="H337" s="1411">
        <v>0.14096238999999999</v>
      </c>
      <c r="I337" s="1411">
        <v>3.2765999999999998E-5</v>
      </c>
      <c r="J337" s="1412">
        <v>5.9536999999999995</v>
      </c>
    </row>
    <row r="338" spans="2:10" x14ac:dyDescent="0.25">
      <c r="B338" s="1409" t="s">
        <v>912</v>
      </c>
      <c r="C338" s="1410">
        <v>2050</v>
      </c>
      <c r="D338" s="1409">
        <v>1209000</v>
      </c>
      <c r="E338" s="1411">
        <v>1202000</v>
      </c>
      <c r="F338" s="1412">
        <v>1052000</v>
      </c>
      <c r="G338" s="1409">
        <v>17.969000000000001</v>
      </c>
      <c r="H338" s="1411">
        <v>0.164128</v>
      </c>
      <c r="I338" s="1411">
        <v>2.9025999999999998E-4</v>
      </c>
      <c r="J338" s="1412">
        <v>22.988</v>
      </c>
    </row>
    <row r="339" spans="2:10" x14ac:dyDescent="0.25">
      <c r="B339" s="1409" t="s">
        <v>910</v>
      </c>
      <c r="C339" s="1410">
        <v>2050</v>
      </c>
      <c r="D339" s="1409">
        <v>1585000</v>
      </c>
      <c r="E339" s="1411">
        <v>696300</v>
      </c>
      <c r="F339" s="1412">
        <v>286000</v>
      </c>
      <c r="G339" s="1409">
        <v>38.049999999999997</v>
      </c>
      <c r="H339" s="1411">
        <v>0.1118</v>
      </c>
      <c r="I339" s="1411">
        <v>2.5350000000000001E-2</v>
      </c>
      <c r="J339" s="1412">
        <v>45.19</v>
      </c>
    </row>
    <row r="340" spans="2:10" x14ac:dyDescent="0.25">
      <c r="B340" s="1409" t="s">
        <v>913</v>
      </c>
      <c r="C340" s="1410">
        <v>2050</v>
      </c>
      <c r="D340" s="1409">
        <v>1249000</v>
      </c>
      <c r="E340" s="1411">
        <v>1242000</v>
      </c>
      <c r="F340" s="1412">
        <v>1078000</v>
      </c>
      <c r="G340" s="1409">
        <v>23.84</v>
      </c>
      <c r="H340" s="1411">
        <v>0.16985799999999998</v>
      </c>
      <c r="I340" s="1411">
        <v>3.7813000000000001E-4</v>
      </c>
      <c r="J340" s="1412">
        <v>29.157000000000004</v>
      </c>
    </row>
    <row r="341" spans="2:10" x14ac:dyDescent="0.25">
      <c r="B341" s="1409" t="s">
        <v>1081</v>
      </c>
      <c r="C341" s="1410">
        <v>2050</v>
      </c>
      <c r="D341" s="1409">
        <v>1190000</v>
      </c>
      <c r="E341" s="1411">
        <v>51590</v>
      </c>
      <c r="F341" s="1412">
        <v>29220</v>
      </c>
      <c r="G341" s="1409">
        <v>3.7582</v>
      </c>
      <c r="H341" s="1411">
        <v>8.4366999999999984E-3</v>
      </c>
      <c r="I341" s="1411">
        <v>-3.8261190000000002E-3</v>
      </c>
      <c r="J341" s="1412">
        <v>3.0054000000000003</v>
      </c>
    </row>
    <row r="342" spans="2:10" x14ac:dyDescent="0.25">
      <c r="B342" s="1409" t="s">
        <v>815</v>
      </c>
      <c r="C342" s="1410">
        <v>2050</v>
      </c>
      <c r="D342" s="1409">
        <v>1190000</v>
      </c>
      <c r="E342" s="1411">
        <v>51590</v>
      </c>
      <c r="F342" s="1412">
        <v>29220</v>
      </c>
      <c r="G342" s="1409">
        <v>3.7582</v>
      </c>
      <c r="H342" s="1411">
        <v>8.4366999999999984E-3</v>
      </c>
      <c r="I342" s="1411">
        <v>-3.8261190000000002E-3</v>
      </c>
      <c r="J342" s="1412">
        <v>3.0054000000000003</v>
      </c>
    </row>
    <row r="343" spans="2:10" x14ac:dyDescent="0.25">
      <c r="B343" s="1409" t="s">
        <v>824</v>
      </c>
      <c r="C343" s="1410">
        <v>2050</v>
      </c>
      <c r="D343" s="1409">
        <v>1190000</v>
      </c>
      <c r="E343" s="1411">
        <v>51590</v>
      </c>
      <c r="F343" s="1412">
        <v>29220</v>
      </c>
      <c r="G343" s="1409">
        <v>3.7582</v>
      </c>
      <c r="H343" s="1411">
        <v>8.4366999999999984E-3</v>
      </c>
      <c r="I343" s="1411">
        <v>-3.8261190000000002E-3</v>
      </c>
      <c r="J343" s="1412">
        <v>3.0054000000000003</v>
      </c>
    </row>
    <row r="344" spans="2:10" ht="13" thickBot="1" x14ac:dyDescent="0.3">
      <c r="B344" s="1413" t="s">
        <v>1088</v>
      </c>
      <c r="C344" s="1414">
        <v>2050</v>
      </c>
      <c r="D344" s="1413">
        <v>1384000</v>
      </c>
      <c r="E344" s="1415">
        <v>1383000</v>
      </c>
      <c r="F344" s="1416">
        <v>5034</v>
      </c>
      <c r="G344" s="1413">
        <v>78.571100000000001</v>
      </c>
      <c r="H344" s="1415">
        <v>0.27494000000000002</v>
      </c>
      <c r="I344" s="1415">
        <v>2.3304000000000003E-3</v>
      </c>
      <c r="J344" s="1416">
        <v>87.594300000000004</v>
      </c>
    </row>
    <row r="345" spans="2:10" x14ac:dyDescent="0.25">
      <c r="B345" s="1405" t="s">
        <v>1085</v>
      </c>
      <c r="C345" s="1406">
        <v>2055</v>
      </c>
      <c r="D345" s="1405">
        <v>1092000</v>
      </c>
      <c r="E345" s="1407">
        <v>1092000</v>
      </c>
      <c r="F345" s="1408">
        <v>3971</v>
      </c>
      <c r="G345" s="1405">
        <v>5.7390999999999996</v>
      </c>
      <c r="H345" s="1407">
        <v>0.18462200000000001</v>
      </c>
      <c r="I345" s="1407">
        <v>8.61E-4</v>
      </c>
      <c r="J345" s="1408">
        <v>11.5648</v>
      </c>
    </row>
    <row r="346" spans="2:10" x14ac:dyDescent="0.25">
      <c r="B346" s="1409" t="s">
        <v>283</v>
      </c>
      <c r="C346" s="1410">
        <v>2055</v>
      </c>
      <c r="D346" s="1409">
        <v>1092000</v>
      </c>
      <c r="E346" s="1411">
        <v>1092000</v>
      </c>
      <c r="F346" s="1412">
        <v>3971</v>
      </c>
      <c r="G346" s="1409">
        <v>5.7390999999999996</v>
      </c>
      <c r="H346" s="1411">
        <v>0.18462200000000001</v>
      </c>
      <c r="I346" s="1411">
        <v>8.61E-4</v>
      </c>
      <c r="J346" s="1412">
        <v>11.5648</v>
      </c>
    </row>
    <row r="347" spans="2:10" x14ac:dyDescent="0.25">
      <c r="B347" s="1409" t="s">
        <v>1086</v>
      </c>
      <c r="C347" s="1410">
        <v>2055</v>
      </c>
      <c r="D347" s="1409">
        <v>1092000</v>
      </c>
      <c r="E347" s="1411">
        <v>1092000</v>
      </c>
      <c r="F347" s="1412">
        <v>3971</v>
      </c>
      <c r="G347" s="1409">
        <v>5.7390999999999996</v>
      </c>
      <c r="H347" s="1411">
        <v>0.18462200000000001</v>
      </c>
      <c r="I347" s="1411">
        <v>8.61E-4</v>
      </c>
      <c r="J347" s="1412">
        <v>11.5648</v>
      </c>
    </row>
    <row r="348" spans="2:10" x14ac:dyDescent="0.25">
      <c r="B348" s="1409" t="s">
        <v>681</v>
      </c>
      <c r="C348" s="1410">
        <v>2055</v>
      </c>
      <c r="D348" s="1409">
        <v>1092000</v>
      </c>
      <c r="E348" s="1411">
        <v>1092000</v>
      </c>
      <c r="F348" s="1412">
        <v>3971</v>
      </c>
      <c r="G348" s="1409">
        <v>5.7390999999999996</v>
      </c>
      <c r="H348" s="1411">
        <v>0.18462200000000001</v>
      </c>
      <c r="I348" s="1411">
        <v>8.61E-4</v>
      </c>
      <c r="J348" s="1412">
        <v>11.5648</v>
      </c>
    </row>
    <row r="349" spans="2:10" x14ac:dyDescent="0.25">
      <c r="B349" s="1409" t="s">
        <v>682</v>
      </c>
      <c r="C349" s="1410">
        <v>2055</v>
      </c>
      <c r="D349" s="1409">
        <v>-1185000</v>
      </c>
      <c r="E349" s="1411">
        <v>0</v>
      </c>
      <c r="F349" s="1412">
        <v>0</v>
      </c>
      <c r="G349" s="1409">
        <v>-85.800000000000011</v>
      </c>
      <c r="H349" s="1411">
        <v>0.54700000000000004</v>
      </c>
      <c r="I349" s="1411">
        <v>-1.8286999999999999E-3</v>
      </c>
      <c r="J349" s="1412">
        <v>-70.08</v>
      </c>
    </row>
    <row r="350" spans="2:10" x14ac:dyDescent="0.25">
      <c r="B350" s="1409" t="s">
        <v>683</v>
      </c>
      <c r="C350" s="1410">
        <v>2055</v>
      </c>
      <c r="D350" s="1409">
        <v>1721000</v>
      </c>
      <c r="E350" s="1411">
        <v>1293000</v>
      </c>
      <c r="F350" s="1412">
        <v>15050</v>
      </c>
      <c r="G350" s="1409">
        <v>125.08</v>
      </c>
      <c r="H350" s="1411">
        <v>0.20477100000000001</v>
      </c>
      <c r="I350" s="1411">
        <v>1.7827000000000001E-3</v>
      </c>
      <c r="J350" s="1412">
        <v>129.82</v>
      </c>
    </row>
    <row r="351" spans="2:10" x14ac:dyDescent="0.25">
      <c r="B351" s="1409" t="s">
        <v>698</v>
      </c>
      <c r="C351" s="1410">
        <v>2055</v>
      </c>
      <c r="D351" s="1409">
        <v>1721000</v>
      </c>
      <c r="E351" s="1411">
        <v>1293000</v>
      </c>
      <c r="F351" s="1412">
        <v>15050</v>
      </c>
      <c r="G351" s="1409">
        <v>125.08</v>
      </c>
      <c r="H351" s="1411">
        <v>0.20477100000000001</v>
      </c>
      <c r="I351" s="1411">
        <v>1.7827000000000001E-3</v>
      </c>
      <c r="J351" s="1412">
        <v>129.82</v>
      </c>
    </row>
    <row r="352" spans="2:10" x14ac:dyDescent="0.25">
      <c r="B352" s="1409" t="s">
        <v>684</v>
      </c>
      <c r="C352" s="1410">
        <v>2055</v>
      </c>
      <c r="D352" s="1409">
        <v>1721000</v>
      </c>
      <c r="E352" s="1411">
        <v>1293000</v>
      </c>
      <c r="F352" s="1412">
        <v>15050</v>
      </c>
      <c r="G352" s="1409">
        <v>125.08</v>
      </c>
      <c r="H352" s="1411">
        <v>0.20477100000000001</v>
      </c>
      <c r="I352" s="1411">
        <v>1.7827000000000001E-3</v>
      </c>
      <c r="J352" s="1412">
        <v>129.82</v>
      </c>
    </row>
    <row r="353" spans="2:10" x14ac:dyDescent="0.25">
      <c r="B353" s="1409" t="s">
        <v>1087</v>
      </c>
      <c r="C353" s="1410">
        <v>2055</v>
      </c>
      <c r="D353" s="1409">
        <v>1022000</v>
      </c>
      <c r="E353" s="1411">
        <v>1021000</v>
      </c>
      <c r="F353" s="1412">
        <v>15510</v>
      </c>
      <c r="G353" s="1409">
        <v>1.6964999999999999</v>
      </c>
      <c r="H353" s="1411">
        <v>0.14096238999999999</v>
      </c>
      <c r="I353" s="1411">
        <v>3.2765999999999998E-5</v>
      </c>
      <c r="J353" s="1412">
        <v>5.9536999999999995</v>
      </c>
    </row>
    <row r="354" spans="2:10" x14ac:dyDescent="0.25">
      <c r="B354" s="1409" t="s">
        <v>716</v>
      </c>
      <c r="C354" s="1410">
        <v>2055</v>
      </c>
      <c r="D354" s="1409">
        <v>1022000</v>
      </c>
      <c r="E354" s="1411">
        <v>1021000</v>
      </c>
      <c r="F354" s="1412">
        <v>15510</v>
      </c>
      <c r="G354" s="1409">
        <v>1.6964999999999999</v>
      </c>
      <c r="H354" s="1411">
        <v>0.14096238999999999</v>
      </c>
      <c r="I354" s="1411">
        <v>3.2765999999999998E-5</v>
      </c>
      <c r="J354" s="1412">
        <v>5.9536999999999995</v>
      </c>
    </row>
    <row r="355" spans="2:10" x14ac:dyDescent="0.25">
      <c r="B355" s="1409" t="s">
        <v>717</v>
      </c>
      <c r="C355" s="1410">
        <v>2055</v>
      </c>
      <c r="D355" s="1409">
        <v>1022000</v>
      </c>
      <c r="E355" s="1411">
        <v>1021000</v>
      </c>
      <c r="F355" s="1412">
        <v>15510</v>
      </c>
      <c r="G355" s="1409">
        <v>1.6964999999999999</v>
      </c>
      <c r="H355" s="1411">
        <v>0.14096238999999999</v>
      </c>
      <c r="I355" s="1411">
        <v>3.2765999999999998E-5</v>
      </c>
      <c r="J355" s="1412">
        <v>5.9536999999999995</v>
      </c>
    </row>
    <row r="356" spans="2:10" x14ac:dyDescent="0.25">
      <c r="B356" s="1409" t="s">
        <v>912</v>
      </c>
      <c r="C356" s="1410">
        <v>2055</v>
      </c>
      <c r="D356" s="1409">
        <v>1209000</v>
      </c>
      <c r="E356" s="1411">
        <v>1202000</v>
      </c>
      <c r="F356" s="1412">
        <v>1052000</v>
      </c>
      <c r="G356" s="1409">
        <v>17.969000000000001</v>
      </c>
      <c r="H356" s="1411">
        <v>0.164128</v>
      </c>
      <c r="I356" s="1411">
        <v>2.9025999999999998E-4</v>
      </c>
      <c r="J356" s="1412">
        <v>22.988</v>
      </c>
    </row>
    <row r="357" spans="2:10" x14ac:dyDescent="0.25">
      <c r="B357" s="1409" t="s">
        <v>910</v>
      </c>
      <c r="C357" s="1410">
        <v>2055</v>
      </c>
      <c r="D357" s="1409">
        <v>1585000</v>
      </c>
      <c r="E357" s="1411">
        <v>696300</v>
      </c>
      <c r="F357" s="1412">
        <v>286000</v>
      </c>
      <c r="G357" s="1409">
        <v>38.049999999999997</v>
      </c>
      <c r="H357" s="1411">
        <v>0.1118</v>
      </c>
      <c r="I357" s="1411">
        <v>2.5350000000000001E-2</v>
      </c>
      <c r="J357" s="1412">
        <v>45.19</v>
      </c>
    </row>
    <row r="358" spans="2:10" x14ac:dyDescent="0.25">
      <c r="B358" s="1409" t="s">
        <v>913</v>
      </c>
      <c r="C358" s="1410">
        <v>2055</v>
      </c>
      <c r="D358" s="1409">
        <v>1249000</v>
      </c>
      <c r="E358" s="1411">
        <v>1242000</v>
      </c>
      <c r="F358" s="1412">
        <v>1078000</v>
      </c>
      <c r="G358" s="1409">
        <v>23.84</v>
      </c>
      <c r="H358" s="1411">
        <v>0.16985799999999998</v>
      </c>
      <c r="I358" s="1411">
        <v>3.7813000000000001E-4</v>
      </c>
      <c r="J358" s="1412">
        <v>29.157000000000004</v>
      </c>
    </row>
    <row r="359" spans="2:10" x14ac:dyDescent="0.25">
      <c r="B359" s="1409" t="s">
        <v>1081</v>
      </c>
      <c r="C359" s="1410">
        <v>2055</v>
      </c>
      <c r="D359" s="1409">
        <v>1190000</v>
      </c>
      <c r="E359" s="1411">
        <v>51590</v>
      </c>
      <c r="F359" s="1412">
        <v>29220</v>
      </c>
      <c r="G359" s="1409">
        <v>3.7582</v>
      </c>
      <c r="H359" s="1411">
        <v>8.4366999999999984E-3</v>
      </c>
      <c r="I359" s="1411">
        <v>-3.8261190000000002E-3</v>
      </c>
      <c r="J359" s="1412">
        <v>3.0054000000000003</v>
      </c>
    </row>
    <row r="360" spans="2:10" x14ac:dyDescent="0.25">
      <c r="B360" s="1409" t="s">
        <v>815</v>
      </c>
      <c r="C360" s="1410">
        <v>2055</v>
      </c>
      <c r="D360" s="1409">
        <v>1190000</v>
      </c>
      <c r="E360" s="1411">
        <v>51590</v>
      </c>
      <c r="F360" s="1412">
        <v>29220</v>
      </c>
      <c r="G360" s="1409">
        <v>3.7582</v>
      </c>
      <c r="H360" s="1411">
        <v>8.4366999999999984E-3</v>
      </c>
      <c r="I360" s="1411">
        <v>-3.8261190000000002E-3</v>
      </c>
      <c r="J360" s="1412">
        <v>3.0054000000000003</v>
      </c>
    </row>
    <row r="361" spans="2:10" x14ac:dyDescent="0.25">
      <c r="B361" s="1409" t="s">
        <v>824</v>
      </c>
      <c r="C361" s="1410">
        <v>2055</v>
      </c>
      <c r="D361" s="1409">
        <v>1190000</v>
      </c>
      <c r="E361" s="1411">
        <v>51590</v>
      </c>
      <c r="F361" s="1412">
        <v>29220</v>
      </c>
      <c r="G361" s="1409">
        <v>3.7582</v>
      </c>
      <c r="H361" s="1411">
        <v>8.4366999999999984E-3</v>
      </c>
      <c r="I361" s="1411">
        <v>-3.8261190000000002E-3</v>
      </c>
      <c r="J361" s="1412">
        <v>3.0054000000000003</v>
      </c>
    </row>
    <row r="362" spans="2:10" ht="13" thickBot="1" x14ac:dyDescent="0.3">
      <c r="B362" s="1413" t="s">
        <v>1088</v>
      </c>
      <c r="C362" s="1414">
        <v>2055</v>
      </c>
      <c r="D362" s="1413">
        <v>1384000</v>
      </c>
      <c r="E362" s="1415">
        <v>1383000</v>
      </c>
      <c r="F362" s="1416">
        <v>5034</v>
      </c>
      <c r="G362" s="1413">
        <v>78.571100000000001</v>
      </c>
      <c r="H362" s="1415">
        <v>0.27494000000000002</v>
      </c>
      <c r="I362" s="1415">
        <v>2.3304000000000003E-3</v>
      </c>
      <c r="J362" s="1416">
        <v>87.594300000000004</v>
      </c>
    </row>
    <row r="363" spans="2:10" x14ac:dyDescent="0.25">
      <c r="B363" s="1405" t="s">
        <v>1085</v>
      </c>
      <c r="C363" s="1406">
        <v>2060</v>
      </c>
      <c r="D363" s="1405">
        <v>1092000</v>
      </c>
      <c r="E363" s="1407">
        <v>1092000</v>
      </c>
      <c r="F363" s="1408">
        <v>3971</v>
      </c>
      <c r="G363" s="1405">
        <v>5.7390999999999996</v>
      </c>
      <c r="H363" s="1407">
        <v>0.18462200000000001</v>
      </c>
      <c r="I363" s="1407">
        <v>8.61E-4</v>
      </c>
      <c r="J363" s="1408">
        <v>11.5648</v>
      </c>
    </row>
    <row r="364" spans="2:10" x14ac:dyDescent="0.25">
      <c r="B364" s="1409" t="s">
        <v>283</v>
      </c>
      <c r="C364" s="1410">
        <v>2060</v>
      </c>
      <c r="D364" s="1409">
        <v>1092000</v>
      </c>
      <c r="E364" s="1411">
        <v>1092000</v>
      </c>
      <c r="F364" s="1412">
        <v>3971</v>
      </c>
      <c r="G364" s="1409">
        <v>5.7390999999999996</v>
      </c>
      <c r="H364" s="1411">
        <v>0.18462200000000001</v>
      </c>
      <c r="I364" s="1411">
        <v>8.61E-4</v>
      </c>
      <c r="J364" s="1412">
        <v>11.5648</v>
      </c>
    </row>
    <row r="365" spans="2:10" x14ac:dyDescent="0.25">
      <c r="B365" s="1409" t="s">
        <v>1086</v>
      </c>
      <c r="C365" s="1410">
        <v>2060</v>
      </c>
      <c r="D365" s="1409">
        <v>1092000</v>
      </c>
      <c r="E365" s="1411">
        <v>1092000</v>
      </c>
      <c r="F365" s="1412">
        <v>3971</v>
      </c>
      <c r="G365" s="1409">
        <v>5.7390999999999996</v>
      </c>
      <c r="H365" s="1411">
        <v>0.18462200000000001</v>
      </c>
      <c r="I365" s="1411">
        <v>8.61E-4</v>
      </c>
      <c r="J365" s="1412">
        <v>11.5648</v>
      </c>
    </row>
    <row r="366" spans="2:10" x14ac:dyDescent="0.25">
      <c r="B366" s="1409" t="s">
        <v>681</v>
      </c>
      <c r="C366" s="1410">
        <v>2060</v>
      </c>
      <c r="D366" s="1409">
        <v>1092000</v>
      </c>
      <c r="E366" s="1411">
        <v>1092000</v>
      </c>
      <c r="F366" s="1412">
        <v>3971</v>
      </c>
      <c r="G366" s="1409">
        <v>5.7390999999999996</v>
      </c>
      <c r="H366" s="1411">
        <v>0.18462200000000001</v>
      </c>
      <c r="I366" s="1411">
        <v>8.61E-4</v>
      </c>
      <c r="J366" s="1412">
        <v>11.5648</v>
      </c>
    </row>
    <row r="367" spans="2:10" x14ac:dyDescent="0.25">
      <c r="B367" s="1409" t="s">
        <v>682</v>
      </c>
      <c r="C367" s="1410">
        <v>2060</v>
      </c>
      <c r="D367" s="1409">
        <v>-1185000</v>
      </c>
      <c r="E367" s="1411">
        <v>0</v>
      </c>
      <c r="F367" s="1412">
        <v>0</v>
      </c>
      <c r="G367" s="1409">
        <v>-85.800000000000011</v>
      </c>
      <c r="H367" s="1411">
        <v>0.54700000000000004</v>
      </c>
      <c r="I367" s="1411">
        <v>-1.8286999999999999E-3</v>
      </c>
      <c r="J367" s="1412">
        <v>-70.08</v>
      </c>
    </row>
    <row r="368" spans="2:10" x14ac:dyDescent="0.25">
      <c r="B368" s="1409" t="s">
        <v>683</v>
      </c>
      <c r="C368" s="1410">
        <v>2060</v>
      </c>
      <c r="D368" s="1409">
        <v>1721000</v>
      </c>
      <c r="E368" s="1411">
        <v>1293000</v>
      </c>
      <c r="F368" s="1412">
        <v>15050</v>
      </c>
      <c r="G368" s="1409">
        <v>125.08</v>
      </c>
      <c r="H368" s="1411">
        <v>0.20477100000000001</v>
      </c>
      <c r="I368" s="1411">
        <v>1.7827000000000001E-3</v>
      </c>
      <c r="J368" s="1412">
        <v>129.82</v>
      </c>
    </row>
    <row r="369" spans="2:10" x14ac:dyDescent="0.25">
      <c r="B369" s="1409" t="s">
        <v>698</v>
      </c>
      <c r="C369" s="1410">
        <v>2060</v>
      </c>
      <c r="D369" s="1409">
        <v>1721000</v>
      </c>
      <c r="E369" s="1411">
        <v>1293000</v>
      </c>
      <c r="F369" s="1412">
        <v>15050</v>
      </c>
      <c r="G369" s="1409">
        <v>125.08</v>
      </c>
      <c r="H369" s="1411">
        <v>0.20477100000000001</v>
      </c>
      <c r="I369" s="1411">
        <v>1.7827000000000001E-3</v>
      </c>
      <c r="J369" s="1412">
        <v>129.82</v>
      </c>
    </row>
    <row r="370" spans="2:10" x14ac:dyDescent="0.25">
      <c r="B370" s="1409" t="s">
        <v>684</v>
      </c>
      <c r="C370" s="1410">
        <v>2060</v>
      </c>
      <c r="D370" s="1409">
        <v>1721000</v>
      </c>
      <c r="E370" s="1411">
        <v>1293000</v>
      </c>
      <c r="F370" s="1412">
        <v>15050</v>
      </c>
      <c r="G370" s="1409">
        <v>125.08</v>
      </c>
      <c r="H370" s="1411">
        <v>0.20477100000000001</v>
      </c>
      <c r="I370" s="1411">
        <v>1.7827000000000001E-3</v>
      </c>
      <c r="J370" s="1412">
        <v>129.82</v>
      </c>
    </row>
    <row r="371" spans="2:10" x14ac:dyDescent="0.25">
      <c r="B371" s="1409" t="s">
        <v>1087</v>
      </c>
      <c r="C371" s="1410">
        <v>2060</v>
      </c>
      <c r="D371" s="1409">
        <v>1022000</v>
      </c>
      <c r="E371" s="1411">
        <v>1021000</v>
      </c>
      <c r="F371" s="1412">
        <v>15510</v>
      </c>
      <c r="G371" s="1409">
        <v>1.6964999999999999</v>
      </c>
      <c r="H371" s="1411">
        <v>0.14096238999999999</v>
      </c>
      <c r="I371" s="1411">
        <v>3.2765999999999998E-5</v>
      </c>
      <c r="J371" s="1412">
        <v>5.9536999999999995</v>
      </c>
    </row>
    <row r="372" spans="2:10" x14ac:dyDescent="0.25">
      <c r="B372" s="1409" t="s">
        <v>716</v>
      </c>
      <c r="C372" s="1410">
        <v>2060</v>
      </c>
      <c r="D372" s="1409">
        <v>1022000</v>
      </c>
      <c r="E372" s="1411">
        <v>1021000</v>
      </c>
      <c r="F372" s="1412">
        <v>15510</v>
      </c>
      <c r="G372" s="1409">
        <v>1.6964999999999999</v>
      </c>
      <c r="H372" s="1411">
        <v>0.14096238999999999</v>
      </c>
      <c r="I372" s="1411">
        <v>3.2765999999999998E-5</v>
      </c>
      <c r="J372" s="1412">
        <v>5.9536999999999995</v>
      </c>
    </row>
    <row r="373" spans="2:10" x14ac:dyDescent="0.25">
      <c r="B373" s="1409" t="s">
        <v>717</v>
      </c>
      <c r="C373" s="1410">
        <v>2060</v>
      </c>
      <c r="D373" s="1409">
        <v>1022000</v>
      </c>
      <c r="E373" s="1411">
        <v>1021000</v>
      </c>
      <c r="F373" s="1412">
        <v>15510</v>
      </c>
      <c r="G373" s="1409">
        <v>1.6964999999999999</v>
      </c>
      <c r="H373" s="1411">
        <v>0.14096238999999999</v>
      </c>
      <c r="I373" s="1411">
        <v>3.2765999999999998E-5</v>
      </c>
      <c r="J373" s="1412">
        <v>5.9536999999999995</v>
      </c>
    </row>
    <row r="374" spans="2:10" x14ac:dyDescent="0.25">
      <c r="B374" s="1409" t="s">
        <v>912</v>
      </c>
      <c r="C374" s="1410">
        <v>2060</v>
      </c>
      <c r="D374" s="1409">
        <v>1209000</v>
      </c>
      <c r="E374" s="1411">
        <v>1202000</v>
      </c>
      <c r="F374" s="1412">
        <v>1052000</v>
      </c>
      <c r="G374" s="1409">
        <v>17.969000000000001</v>
      </c>
      <c r="H374" s="1411">
        <v>0.164128</v>
      </c>
      <c r="I374" s="1411">
        <v>2.9025999999999998E-4</v>
      </c>
      <c r="J374" s="1412">
        <v>22.988</v>
      </c>
    </row>
    <row r="375" spans="2:10" x14ac:dyDescent="0.25">
      <c r="B375" s="1409" t="s">
        <v>910</v>
      </c>
      <c r="C375" s="1410">
        <v>2060</v>
      </c>
      <c r="D375" s="1409">
        <v>1585000</v>
      </c>
      <c r="E375" s="1411">
        <v>696300</v>
      </c>
      <c r="F375" s="1412">
        <v>286000</v>
      </c>
      <c r="G375" s="1409">
        <v>38.049999999999997</v>
      </c>
      <c r="H375" s="1411">
        <v>0.1118</v>
      </c>
      <c r="I375" s="1411">
        <v>2.5350000000000001E-2</v>
      </c>
      <c r="J375" s="1412">
        <v>45.19</v>
      </c>
    </row>
    <row r="376" spans="2:10" x14ac:dyDescent="0.25">
      <c r="B376" s="1409" t="s">
        <v>913</v>
      </c>
      <c r="C376" s="1410">
        <v>2060</v>
      </c>
      <c r="D376" s="1409">
        <v>1249000</v>
      </c>
      <c r="E376" s="1411">
        <v>1242000</v>
      </c>
      <c r="F376" s="1412">
        <v>1078000</v>
      </c>
      <c r="G376" s="1409">
        <v>23.84</v>
      </c>
      <c r="H376" s="1411">
        <v>0.16985799999999998</v>
      </c>
      <c r="I376" s="1411">
        <v>3.7813000000000001E-4</v>
      </c>
      <c r="J376" s="1412">
        <v>29.157000000000004</v>
      </c>
    </row>
    <row r="377" spans="2:10" x14ac:dyDescent="0.25">
      <c r="B377" s="1409" t="s">
        <v>1081</v>
      </c>
      <c r="C377" s="1410">
        <v>2060</v>
      </c>
      <c r="D377" s="1409">
        <v>1190000</v>
      </c>
      <c r="E377" s="1411">
        <v>51590</v>
      </c>
      <c r="F377" s="1412">
        <v>29220</v>
      </c>
      <c r="G377" s="1409">
        <v>3.7582</v>
      </c>
      <c r="H377" s="1411">
        <v>8.4366999999999984E-3</v>
      </c>
      <c r="I377" s="1411">
        <v>-3.8261190000000002E-3</v>
      </c>
      <c r="J377" s="1412">
        <v>3.0054000000000003</v>
      </c>
    </row>
    <row r="378" spans="2:10" x14ac:dyDescent="0.25">
      <c r="B378" s="1409" t="s">
        <v>815</v>
      </c>
      <c r="C378" s="1410">
        <v>2060</v>
      </c>
      <c r="D378" s="1409">
        <v>1190000</v>
      </c>
      <c r="E378" s="1411">
        <v>51590</v>
      </c>
      <c r="F378" s="1412">
        <v>29220</v>
      </c>
      <c r="G378" s="1409">
        <v>3.7582</v>
      </c>
      <c r="H378" s="1411">
        <v>8.4366999999999984E-3</v>
      </c>
      <c r="I378" s="1411">
        <v>-3.8261190000000002E-3</v>
      </c>
      <c r="J378" s="1412">
        <v>3.0054000000000003</v>
      </c>
    </row>
    <row r="379" spans="2:10" x14ac:dyDescent="0.25">
      <c r="B379" s="1409" t="s">
        <v>824</v>
      </c>
      <c r="C379" s="1410">
        <v>2060</v>
      </c>
      <c r="D379" s="1409">
        <v>1190000</v>
      </c>
      <c r="E379" s="1411">
        <v>51590</v>
      </c>
      <c r="F379" s="1412">
        <v>29220</v>
      </c>
      <c r="G379" s="1409">
        <v>3.7582</v>
      </c>
      <c r="H379" s="1411">
        <v>8.4366999999999984E-3</v>
      </c>
      <c r="I379" s="1411">
        <v>-3.8261190000000002E-3</v>
      </c>
      <c r="J379" s="1412">
        <v>3.0054000000000003</v>
      </c>
    </row>
    <row r="380" spans="2:10" ht="13" thickBot="1" x14ac:dyDescent="0.3">
      <c r="B380" s="1413" t="s">
        <v>1088</v>
      </c>
      <c r="C380" s="1414">
        <v>2060</v>
      </c>
      <c r="D380" s="1413">
        <v>1384000</v>
      </c>
      <c r="E380" s="1415">
        <v>1383000</v>
      </c>
      <c r="F380" s="1416">
        <v>5034</v>
      </c>
      <c r="G380" s="1413">
        <v>78.571100000000001</v>
      </c>
      <c r="H380" s="1415">
        <v>0.27494000000000002</v>
      </c>
      <c r="I380" s="1415">
        <v>2.3304000000000003E-3</v>
      </c>
      <c r="J380" s="1416">
        <v>87.594300000000004</v>
      </c>
    </row>
    <row r="381" spans="2:10" x14ac:dyDescent="0.25">
      <c r="B381" s="1405" t="s">
        <v>1085</v>
      </c>
      <c r="C381" s="1406">
        <v>2065</v>
      </c>
      <c r="D381" s="1405">
        <v>1092000</v>
      </c>
      <c r="E381" s="1407">
        <v>1092000</v>
      </c>
      <c r="F381" s="1408">
        <v>3971</v>
      </c>
      <c r="G381" s="1405">
        <v>5.7390999999999996</v>
      </c>
      <c r="H381" s="1407">
        <v>0.18462200000000001</v>
      </c>
      <c r="I381" s="1407">
        <v>8.61E-4</v>
      </c>
      <c r="J381" s="1408">
        <v>11.5648</v>
      </c>
    </row>
    <row r="382" spans="2:10" x14ac:dyDescent="0.25">
      <c r="B382" s="1409" t="s">
        <v>283</v>
      </c>
      <c r="C382" s="1410">
        <v>2065</v>
      </c>
      <c r="D382" s="1409">
        <v>1092000</v>
      </c>
      <c r="E382" s="1411">
        <v>1092000</v>
      </c>
      <c r="F382" s="1412">
        <v>3971</v>
      </c>
      <c r="G382" s="1409">
        <v>5.7390999999999996</v>
      </c>
      <c r="H382" s="1411">
        <v>0.18462200000000001</v>
      </c>
      <c r="I382" s="1411">
        <v>8.61E-4</v>
      </c>
      <c r="J382" s="1412">
        <v>11.5648</v>
      </c>
    </row>
    <row r="383" spans="2:10" x14ac:dyDescent="0.25">
      <c r="B383" s="1409" t="s">
        <v>1086</v>
      </c>
      <c r="C383" s="1410">
        <v>2065</v>
      </c>
      <c r="D383" s="1409">
        <v>1092000</v>
      </c>
      <c r="E383" s="1411">
        <v>1092000</v>
      </c>
      <c r="F383" s="1412">
        <v>3971</v>
      </c>
      <c r="G383" s="1409">
        <v>5.7390999999999996</v>
      </c>
      <c r="H383" s="1411">
        <v>0.18462200000000001</v>
      </c>
      <c r="I383" s="1411">
        <v>8.61E-4</v>
      </c>
      <c r="J383" s="1412">
        <v>11.5648</v>
      </c>
    </row>
    <row r="384" spans="2:10" x14ac:dyDescent="0.25">
      <c r="B384" s="1409" t="s">
        <v>681</v>
      </c>
      <c r="C384" s="1410">
        <v>2065</v>
      </c>
      <c r="D384" s="1409">
        <v>1092000</v>
      </c>
      <c r="E384" s="1411">
        <v>1092000</v>
      </c>
      <c r="F384" s="1412">
        <v>3971</v>
      </c>
      <c r="G384" s="1409">
        <v>5.7390999999999996</v>
      </c>
      <c r="H384" s="1411">
        <v>0.18462200000000001</v>
      </c>
      <c r="I384" s="1411">
        <v>8.61E-4</v>
      </c>
      <c r="J384" s="1412">
        <v>11.5648</v>
      </c>
    </row>
    <row r="385" spans="2:10" x14ac:dyDescent="0.25">
      <c r="B385" s="1409" t="s">
        <v>682</v>
      </c>
      <c r="C385" s="1410">
        <v>2065</v>
      </c>
      <c r="D385" s="1409">
        <v>-1185000</v>
      </c>
      <c r="E385" s="1411">
        <v>0</v>
      </c>
      <c r="F385" s="1412">
        <v>0</v>
      </c>
      <c r="G385" s="1409">
        <v>-85.800000000000011</v>
      </c>
      <c r="H385" s="1411">
        <v>0.54700000000000004</v>
      </c>
      <c r="I385" s="1411">
        <v>-1.8286999999999999E-3</v>
      </c>
      <c r="J385" s="1412">
        <v>-70.08</v>
      </c>
    </row>
    <row r="386" spans="2:10" x14ac:dyDescent="0.25">
      <c r="B386" s="1409" t="s">
        <v>683</v>
      </c>
      <c r="C386" s="1410">
        <v>2065</v>
      </c>
      <c r="D386" s="1409">
        <v>1721000</v>
      </c>
      <c r="E386" s="1411">
        <v>1293000</v>
      </c>
      <c r="F386" s="1412">
        <v>15050</v>
      </c>
      <c r="G386" s="1409">
        <v>125.08</v>
      </c>
      <c r="H386" s="1411">
        <v>0.20477100000000001</v>
      </c>
      <c r="I386" s="1411">
        <v>1.7827000000000001E-3</v>
      </c>
      <c r="J386" s="1412">
        <v>129.82</v>
      </c>
    </row>
    <row r="387" spans="2:10" x14ac:dyDescent="0.25">
      <c r="B387" s="1409" t="s">
        <v>698</v>
      </c>
      <c r="C387" s="1410">
        <v>2065</v>
      </c>
      <c r="D387" s="1409">
        <v>1721000</v>
      </c>
      <c r="E387" s="1411">
        <v>1293000</v>
      </c>
      <c r="F387" s="1412">
        <v>15050</v>
      </c>
      <c r="G387" s="1409">
        <v>125.08</v>
      </c>
      <c r="H387" s="1411">
        <v>0.20477100000000001</v>
      </c>
      <c r="I387" s="1411">
        <v>1.7827000000000001E-3</v>
      </c>
      <c r="J387" s="1412">
        <v>129.82</v>
      </c>
    </row>
    <row r="388" spans="2:10" x14ac:dyDescent="0.25">
      <c r="B388" s="1409" t="s">
        <v>684</v>
      </c>
      <c r="C388" s="1410">
        <v>2065</v>
      </c>
      <c r="D388" s="1409">
        <v>1721000</v>
      </c>
      <c r="E388" s="1411">
        <v>1293000</v>
      </c>
      <c r="F388" s="1412">
        <v>15050</v>
      </c>
      <c r="G388" s="1409">
        <v>125.08</v>
      </c>
      <c r="H388" s="1411">
        <v>0.20477100000000001</v>
      </c>
      <c r="I388" s="1411">
        <v>1.7827000000000001E-3</v>
      </c>
      <c r="J388" s="1412">
        <v>129.82</v>
      </c>
    </row>
    <row r="389" spans="2:10" x14ac:dyDescent="0.25">
      <c r="B389" s="1409" t="s">
        <v>1087</v>
      </c>
      <c r="C389" s="1410">
        <v>2065</v>
      </c>
      <c r="D389" s="1409">
        <v>1022000</v>
      </c>
      <c r="E389" s="1411">
        <v>1021000</v>
      </c>
      <c r="F389" s="1412">
        <v>15510</v>
      </c>
      <c r="G389" s="1409">
        <v>1.6964999999999999</v>
      </c>
      <c r="H389" s="1411">
        <v>0.14096238999999999</v>
      </c>
      <c r="I389" s="1411">
        <v>3.2765999999999998E-5</v>
      </c>
      <c r="J389" s="1412">
        <v>5.9536999999999995</v>
      </c>
    </row>
    <row r="390" spans="2:10" x14ac:dyDescent="0.25">
      <c r="B390" s="1409" t="s">
        <v>716</v>
      </c>
      <c r="C390" s="1410">
        <v>2065</v>
      </c>
      <c r="D390" s="1409">
        <v>1022000</v>
      </c>
      <c r="E390" s="1411">
        <v>1021000</v>
      </c>
      <c r="F390" s="1412">
        <v>15510</v>
      </c>
      <c r="G390" s="1409">
        <v>1.6964999999999999</v>
      </c>
      <c r="H390" s="1411">
        <v>0.14096238999999999</v>
      </c>
      <c r="I390" s="1411">
        <v>3.2765999999999998E-5</v>
      </c>
      <c r="J390" s="1412">
        <v>5.9536999999999995</v>
      </c>
    </row>
    <row r="391" spans="2:10" x14ac:dyDescent="0.25">
      <c r="B391" s="1409" t="s">
        <v>717</v>
      </c>
      <c r="C391" s="1410">
        <v>2065</v>
      </c>
      <c r="D391" s="1409">
        <v>1022000</v>
      </c>
      <c r="E391" s="1411">
        <v>1021000</v>
      </c>
      <c r="F391" s="1412">
        <v>15510</v>
      </c>
      <c r="G391" s="1409">
        <v>1.6964999999999999</v>
      </c>
      <c r="H391" s="1411">
        <v>0.14096238999999999</v>
      </c>
      <c r="I391" s="1411">
        <v>3.2765999999999998E-5</v>
      </c>
      <c r="J391" s="1412">
        <v>5.9536999999999995</v>
      </c>
    </row>
    <row r="392" spans="2:10" x14ac:dyDescent="0.25">
      <c r="B392" s="1409" t="s">
        <v>912</v>
      </c>
      <c r="C392" s="1410">
        <v>2065</v>
      </c>
      <c r="D392" s="1409">
        <v>1209000</v>
      </c>
      <c r="E392" s="1411">
        <v>1202000</v>
      </c>
      <c r="F392" s="1412">
        <v>1052000</v>
      </c>
      <c r="G392" s="1409">
        <v>17.969000000000001</v>
      </c>
      <c r="H392" s="1411">
        <v>0.164128</v>
      </c>
      <c r="I392" s="1411">
        <v>2.9025999999999998E-4</v>
      </c>
      <c r="J392" s="1412">
        <v>22.988</v>
      </c>
    </row>
    <row r="393" spans="2:10" x14ac:dyDescent="0.25">
      <c r="B393" s="1409" t="s">
        <v>910</v>
      </c>
      <c r="C393" s="1410">
        <v>2065</v>
      </c>
      <c r="D393" s="1409">
        <v>1585000</v>
      </c>
      <c r="E393" s="1411">
        <v>696300</v>
      </c>
      <c r="F393" s="1412">
        <v>286000</v>
      </c>
      <c r="G393" s="1409">
        <v>38.049999999999997</v>
      </c>
      <c r="H393" s="1411">
        <v>0.1118</v>
      </c>
      <c r="I393" s="1411">
        <v>2.5350000000000001E-2</v>
      </c>
      <c r="J393" s="1412">
        <v>45.19</v>
      </c>
    </row>
    <row r="394" spans="2:10" x14ac:dyDescent="0.25">
      <c r="B394" s="1409" t="s">
        <v>913</v>
      </c>
      <c r="C394" s="1410">
        <v>2065</v>
      </c>
      <c r="D394" s="1409">
        <v>1249000</v>
      </c>
      <c r="E394" s="1411">
        <v>1242000</v>
      </c>
      <c r="F394" s="1412">
        <v>1078000</v>
      </c>
      <c r="G394" s="1409">
        <v>23.84</v>
      </c>
      <c r="H394" s="1411">
        <v>0.16985799999999998</v>
      </c>
      <c r="I394" s="1411">
        <v>3.7813000000000001E-4</v>
      </c>
      <c r="J394" s="1412">
        <v>29.157000000000004</v>
      </c>
    </row>
    <row r="395" spans="2:10" x14ac:dyDescent="0.25">
      <c r="B395" s="1409" t="s">
        <v>1081</v>
      </c>
      <c r="C395" s="1410">
        <v>2065</v>
      </c>
      <c r="D395" s="1409">
        <v>1190000</v>
      </c>
      <c r="E395" s="1411">
        <v>51590</v>
      </c>
      <c r="F395" s="1412">
        <v>29220</v>
      </c>
      <c r="G395" s="1409">
        <v>3.7582</v>
      </c>
      <c r="H395" s="1411">
        <v>8.4366999999999984E-3</v>
      </c>
      <c r="I395" s="1411">
        <v>-3.8261190000000002E-3</v>
      </c>
      <c r="J395" s="1412">
        <v>3.0054000000000003</v>
      </c>
    </row>
    <row r="396" spans="2:10" x14ac:dyDescent="0.25">
      <c r="B396" s="1409" t="s">
        <v>815</v>
      </c>
      <c r="C396" s="1410">
        <v>2065</v>
      </c>
      <c r="D396" s="1409">
        <v>1190000</v>
      </c>
      <c r="E396" s="1411">
        <v>51590</v>
      </c>
      <c r="F396" s="1412">
        <v>29220</v>
      </c>
      <c r="G396" s="1409">
        <v>3.7582</v>
      </c>
      <c r="H396" s="1411">
        <v>8.4366999999999984E-3</v>
      </c>
      <c r="I396" s="1411">
        <v>-3.8261190000000002E-3</v>
      </c>
      <c r="J396" s="1412">
        <v>3.0054000000000003</v>
      </c>
    </row>
    <row r="397" spans="2:10" x14ac:dyDescent="0.25">
      <c r="B397" s="1409" t="s">
        <v>824</v>
      </c>
      <c r="C397" s="1410">
        <v>2065</v>
      </c>
      <c r="D397" s="1409">
        <v>1190000</v>
      </c>
      <c r="E397" s="1411">
        <v>51590</v>
      </c>
      <c r="F397" s="1412">
        <v>29220</v>
      </c>
      <c r="G397" s="1409">
        <v>3.7582</v>
      </c>
      <c r="H397" s="1411">
        <v>8.4366999999999984E-3</v>
      </c>
      <c r="I397" s="1411">
        <v>-3.8261190000000002E-3</v>
      </c>
      <c r="J397" s="1412">
        <v>3.0054000000000003</v>
      </c>
    </row>
    <row r="398" spans="2:10" ht="13" thickBot="1" x14ac:dyDescent="0.3">
      <c r="B398" s="1413" t="s">
        <v>1088</v>
      </c>
      <c r="C398" s="1414">
        <v>2065</v>
      </c>
      <c r="D398" s="1413">
        <v>1384000</v>
      </c>
      <c r="E398" s="1415">
        <v>1383000</v>
      </c>
      <c r="F398" s="1416">
        <v>5034</v>
      </c>
      <c r="G398" s="1413">
        <v>78.571100000000001</v>
      </c>
      <c r="H398" s="1415">
        <v>0.27494000000000002</v>
      </c>
      <c r="I398" s="1415">
        <v>2.3304000000000003E-3</v>
      </c>
      <c r="J398" s="1416">
        <v>87.594300000000004</v>
      </c>
    </row>
    <row r="399" spans="2:10" x14ac:dyDescent="0.25">
      <c r="B399" s="1405" t="s">
        <v>1085</v>
      </c>
      <c r="C399" s="1406">
        <v>2070</v>
      </c>
      <c r="D399" s="1405">
        <v>1092000</v>
      </c>
      <c r="E399" s="1407">
        <v>1092000</v>
      </c>
      <c r="F399" s="1408">
        <v>3971</v>
      </c>
      <c r="G399" s="1405">
        <v>5.7390999999999996</v>
      </c>
      <c r="H399" s="1407">
        <v>0.18462200000000001</v>
      </c>
      <c r="I399" s="1407">
        <v>8.61E-4</v>
      </c>
      <c r="J399" s="1408">
        <v>11.5648</v>
      </c>
    </row>
    <row r="400" spans="2:10" x14ac:dyDescent="0.25">
      <c r="B400" s="1409" t="s">
        <v>283</v>
      </c>
      <c r="C400" s="1410">
        <v>2070</v>
      </c>
      <c r="D400" s="1409">
        <v>1092000</v>
      </c>
      <c r="E400" s="1411">
        <v>1092000</v>
      </c>
      <c r="F400" s="1412">
        <v>3971</v>
      </c>
      <c r="G400" s="1409">
        <v>5.7390999999999996</v>
      </c>
      <c r="H400" s="1411">
        <v>0.18462200000000001</v>
      </c>
      <c r="I400" s="1411">
        <v>8.61E-4</v>
      </c>
      <c r="J400" s="1412">
        <v>11.5648</v>
      </c>
    </row>
    <row r="401" spans="2:10" x14ac:dyDescent="0.25">
      <c r="B401" s="1409" t="s">
        <v>1086</v>
      </c>
      <c r="C401" s="1410">
        <v>2070</v>
      </c>
      <c r="D401" s="1409">
        <v>1092000</v>
      </c>
      <c r="E401" s="1411">
        <v>1092000</v>
      </c>
      <c r="F401" s="1412">
        <v>3971</v>
      </c>
      <c r="G401" s="1409">
        <v>5.7390999999999996</v>
      </c>
      <c r="H401" s="1411">
        <v>0.18462200000000001</v>
      </c>
      <c r="I401" s="1411">
        <v>8.61E-4</v>
      </c>
      <c r="J401" s="1412">
        <v>11.5648</v>
      </c>
    </row>
    <row r="402" spans="2:10" x14ac:dyDescent="0.25">
      <c r="B402" s="1409" t="s">
        <v>681</v>
      </c>
      <c r="C402" s="1410">
        <v>2070</v>
      </c>
      <c r="D402" s="1409">
        <v>1092000</v>
      </c>
      <c r="E402" s="1411">
        <v>1092000</v>
      </c>
      <c r="F402" s="1412">
        <v>3971</v>
      </c>
      <c r="G402" s="1409">
        <v>5.7390999999999996</v>
      </c>
      <c r="H402" s="1411">
        <v>0.18462200000000001</v>
      </c>
      <c r="I402" s="1411">
        <v>8.61E-4</v>
      </c>
      <c r="J402" s="1412">
        <v>11.5648</v>
      </c>
    </row>
    <row r="403" spans="2:10" x14ac:dyDescent="0.25">
      <c r="B403" s="1409" t="s">
        <v>682</v>
      </c>
      <c r="C403" s="1410">
        <v>2070</v>
      </c>
      <c r="D403" s="1409">
        <v>-1185000</v>
      </c>
      <c r="E403" s="1411">
        <v>0</v>
      </c>
      <c r="F403" s="1412">
        <v>0</v>
      </c>
      <c r="G403" s="1409">
        <v>-85.800000000000011</v>
      </c>
      <c r="H403" s="1411">
        <v>0.54700000000000004</v>
      </c>
      <c r="I403" s="1411">
        <v>-1.8286999999999999E-3</v>
      </c>
      <c r="J403" s="1412">
        <v>-70.08</v>
      </c>
    </row>
    <row r="404" spans="2:10" x14ac:dyDescent="0.25">
      <c r="B404" s="1409" t="s">
        <v>683</v>
      </c>
      <c r="C404" s="1410">
        <v>2070</v>
      </c>
      <c r="D404" s="1409">
        <v>1721000</v>
      </c>
      <c r="E404" s="1411">
        <v>1293000</v>
      </c>
      <c r="F404" s="1412">
        <v>15050</v>
      </c>
      <c r="G404" s="1409">
        <v>125.08</v>
      </c>
      <c r="H404" s="1411">
        <v>0.20477100000000001</v>
      </c>
      <c r="I404" s="1411">
        <v>1.7827000000000001E-3</v>
      </c>
      <c r="J404" s="1412">
        <v>129.82</v>
      </c>
    </row>
    <row r="405" spans="2:10" x14ac:dyDescent="0.25">
      <c r="B405" s="1409" t="s">
        <v>698</v>
      </c>
      <c r="C405" s="1410">
        <v>2070</v>
      </c>
      <c r="D405" s="1409">
        <v>1721000</v>
      </c>
      <c r="E405" s="1411">
        <v>1293000</v>
      </c>
      <c r="F405" s="1412">
        <v>15050</v>
      </c>
      <c r="G405" s="1409">
        <v>125.08</v>
      </c>
      <c r="H405" s="1411">
        <v>0.20477100000000001</v>
      </c>
      <c r="I405" s="1411">
        <v>1.7827000000000001E-3</v>
      </c>
      <c r="J405" s="1412">
        <v>129.82</v>
      </c>
    </row>
    <row r="406" spans="2:10" x14ac:dyDescent="0.25">
      <c r="B406" s="1409" t="s">
        <v>684</v>
      </c>
      <c r="C406" s="1410">
        <v>2070</v>
      </c>
      <c r="D406" s="1409">
        <v>1721000</v>
      </c>
      <c r="E406" s="1411">
        <v>1293000</v>
      </c>
      <c r="F406" s="1412">
        <v>15050</v>
      </c>
      <c r="G406" s="1409">
        <v>125.08</v>
      </c>
      <c r="H406" s="1411">
        <v>0.20477100000000001</v>
      </c>
      <c r="I406" s="1411">
        <v>1.7827000000000001E-3</v>
      </c>
      <c r="J406" s="1412">
        <v>129.82</v>
      </c>
    </row>
    <row r="407" spans="2:10" x14ac:dyDescent="0.25">
      <c r="B407" s="1409" t="s">
        <v>1087</v>
      </c>
      <c r="C407" s="1410">
        <v>2070</v>
      </c>
      <c r="D407" s="1409">
        <v>1022000</v>
      </c>
      <c r="E407" s="1411">
        <v>1021000</v>
      </c>
      <c r="F407" s="1412">
        <v>15510</v>
      </c>
      <c r="G407" s="1409">
        <v>1.6964999999999999</v>
      </c>
      <c r="H407" s="1411">
        <v>0.14096238999999999</v>
      </c>
      <c r="I407" s="1411">
        <v>3.2765999999999998E-5</v>
      </c>
      <c r="J407" s="1412">
        <v>5.9536999999999995</v>
      </c>
    </row>
    <row r="408" spans="2:10" x14ac:dyDescent="0.25">
      <c r="B408" s="1409" t="s">
        <v>716</v>
      </c>
      <c r="C408" s="1410">
        <v>2070</v>
      </c>
      <c r="D408" s="1409">
        <v>1022000</v>
      </c>
      <c r="E408" s="1411">
        <v>1021000</v>
      </c>
      <c r="F408" s="1412">
        <v>15510</v>
      </c>
      <c r="G408" s="1409">
        <v>1.6964999999999999</v>
      </c>
      <c r="H408" s="1411">
        <v>0.14096238999999999</v>
      </c>
      <c r="I408" s="1411">
        <v>3.2765999999999998E-5</v>
      </c>
      <c r="J408" s="1412">
        <v>5.9536999999999995</v>
      </c>
    </row>
    <row r="409" spans="2:10" x14ac:dyDescent="0.25">
      <c r="B409" s="1409" t="s">
        <v>717</v>
      </c>
      <c r="C409" s="1410">
        <v>2070</v>
      </c>
      <c r="D409" s="1409">
        <v>1022000</v>
      </c>
      <c r="E409" s="1411">
        <v>1021000</v>
      </c>
      <c r="F409" s="1412">
        <v>15510</v>
      </c>
      <c r="G409" s="1409">
        <v>1.6964999999999999</v>
      </c>
      <c r="H409" s="1411">
        <v>0.14096238999999999</v>
      </c>
      <c r="I409" s="1411">
        <v>3.2765999999999998E-5</v>
      </c>
      <c r="J409" s="1412">
        <v>5.9536999999999995</v>
      </c>
    </row>
    <row r="410" spans="2:10" x14ac:dyDescent="0.25">
      <c r="B410" s="1409" t="s">
        <v>912</v>
      </c>
      <c r="C410" s="1410">
        <v>2070</v>
      </c>
      <c r="D410" s="1409">
        <v>1209000</v>
      </c>
      <c r="E410" s="1411">
        <v>1202000</v>
      </c>
      <c r="F410" s="1412">
        <v>1052000</v>
      </c>
      <c r="G410" s="1409">
        <v>17.969000000000001</v>
      </c>
      <c r="H410" s="1411">
        <v>0.164128</v>
      </c>
      <c r="I410" s="1411">
        <v>2.9025999999999998E-4</v>
      </c>
      <c r="J410" s="1412">
        <v>22.988</v>
      </c>
    </row>
    <row r="411" spans="2:10" x14ac:dyDescent="0.25">
      <c r="B411" s="1409" t="s">
        <v>910</v>
      </c>
      <c r="C411" s="1410">
        <v>2070</v>
      </c>
      <c r="D411" s="1409">
        <v>1585000</v>
      </c>
      <c r="E411" s="1411">
        <v>696300</v>
      </c>
      <c r="F411" s="1412">
        <v>286000</v>
      </c>
      <c r="G411" s="1409">
        <v>38.049999999999997</v>
      </c>
      <c r="H411" s="1411">
        <v>0.1118</v>
      </c>
      <c r="I411" s="1411">
        <v>2.5350000000000001E-2</v>
      </c>
      <c r="J411" s="1412">
        <v>45.19</v>
      </c>
    </row>
    <row r="412" spans="2:10" x14ac:dyDescent="0.25">
      <c r="B412" s="1409" t="s">
        <v>913</v>
      </c>
      <c r="C412" s="1410">
        <v>2070</v>
      </c>
      <c r="D412" s="1409">
        <v>1249000</v>
      </c>
      <c r="E412" s="1411">
        <v>1242000</v>
      </c>
      <c r="F412" s="1412">
        <v>1078000</v>
      </c>
      <c r="G412" s="1409">
        <v>23.84</v>
      </c>
      <c r="H412" s="1411">
        <v>0.16985799999999998</v>
      </c>
      <c r="I412" s="1411">
        <v>3.7813000000000001E-4</v>
      </c>
      <c r="J412" s="1412">
        <v>29.157000000000004</v>
      </c>
    </row>
    <row r="413" spans="2:10" x14ac:dyDescent="0.25">
      <c r="B413" s="1409" t="s">
        <v>1081</v>
      </c>
      <c r="C413" s="1410">
        <v>2070</v>
      </c>
      <c r="D413" s="1409">
        <v>1190000</v>
      </c>
      <c r="E413" s="1411">
        <v>51590</v>
      </c>
      <c r="F413" s="1412">
        <v>29220</v>
      </c>
      <c r="G413" s="1409">
        <v>3.7582</v>
      </c>
      <c r="H413" s="1411">
        <v>8.4366999999999984E-3</v>
      </c>
      <c r="I413" s="1411">
        <v>-3.8261190000000002E-3</v>
      </c>
      <c r="J413" s="1412">
        <v>3.0054000000000003</v>
      </c>
    </row>
    <row r="414" spans="2:10" x14ac:dyDescent="0.25">
      <c r="B414" s="1409" t="s">
        <v>815</v>
      </c>
      <c r="C414" s="1410">
        <v>2070</v>
      </c>
      <c r="D414" s="1409">
        <v>1190000</v>
      </c>
      <c r="E414" s="1411">
        <v>51590</v>
      </c>
      <c r="F414" s="1412">
        <v>29220</v>
      </c>
      <c r="G414" s="1409">
        <v>3.7582</v>
      </c>
      <c r="H414" s="1411">
        <v>8.4366999999999984E-3</v>
      </c>
      <c r="I414" s="1411">
        <v>-3.8261190000000002E-3</v>
      </c>
      <c r="J414" s="1412">
        <v>3.0054000000000003</v>
      </c>
    </row>
    <row r="415" spans="2:10" x14ac:dyDescent="0.25">
      <c r="B415" s="1409" t="s">
        <v>824</v>
      </c>
      <c r="C415" s="1410">
        <v>2070</v>
      </c>
      <c r="D415" s="1409">
        <v>1190000</v>
      </c>
      <c r="E415" s="1411">
        <v>51590</v>
      </c>
      <c r="F415" s="1412">
        <v>29220</v>
      </c>
      <c r="G415" s="1409">
        <v>3.7582</v>
      </c>
      <c r="H415" s="1411">
        <v>8.4366999999999984E-3</v>
      </c>
      <c r="I415" s="1411">
        <v>-3.8261190000000002E-3</v>
      </c>
      <c r="J415" s="1412">
        <v>3.0054000000000003</v>
      </c>
    </row>
    <row r="416" spans="2:10" ht="13" thickBot="1" x14ac:dyDescent="0.3">
      <c r="B416" s="1413" t="s">
        <v>1088</v>
      </c>
      <c r="C416" s="1414">
        <v>2070</v>
      </c>
      <c r="D416" s="1413">
        <v>1384000</v>
      </c>
      <c r="E416" s="1415">
        <v>1383000</v>
      </c>
      <c r="F416" s="1416">
        <v>5034</v>
      </c>
      <c r="G416" s="1413">
        <v>78.571100000000001</v>
      </c>
      <c r="H416" s="1415">
        <v>0.27494000000000002</v>
      </c>
      <c r="I416" s="1415">
        <v>2.3304000000000003E-3</v>
      </c>
      <c r="J416" s="1416">
        <v>87.594300000000004</v>
      </c>
    </row>
    <row r="417" spans="2:10" x14ac:dyDescent="0.25">
      <c r="B417" s="1405" t="s">
        <v>1085</v>
      </c>
      <c r="C417" s="1406">
        <v>2075</v>
      </c>
      <c r="D417" s="1405">
        <v>1092000</v>
      </c>
      <c r="E417" s="1407">
        <v>1092000</v>
      </c>
      <c r="F417" s="1408">
        <v>3971</v>
      </c>
      <c r="G417" s="1405">
        <v>5.7390999999999996</v>
      </c>
      <c r="H417" s="1407">
        <v>0.18462200000000001</v>
      </c>
      <c r="I417" s="1407">
        <v>8.61E-4</v>
      </c>
      <c r="J417" s="1408">
        <v>11.5648</v>
      </c>
    </row>
    <row r="418" spans="2:10" x14ac:dyDescent="0.25">
      <c r="B418" s="1409" t="s">
        <v>283</v>
      </c>
      <c r="C418" s="1410">
        <v>2075</v>
      </c>
      <c r="D418" s="1409">
        <v>1092000</v>
      </c>
      <c r="E418" s="1411">
        <v>1092000</v>
      </c>
      <c r="F418" s="1412">
        <v>3971</v>
      </c>
      <c r="G418" s="1409">
        <v>5.7390999999999996</v>
      </c>
      <c r="H418" s="1411">
        <v>0.18462200000000001</v>
      </c>
      <c r="I418" s="1411">
        <v>8.61E-4</v>
      </c>
      <c r="J418" s="1412">
        <v>11.5648</v>
      </c>
    </row>
    <row r="419" spans="2:10" x14ac:dyDescent="0.25">
      <c r="B419" s="1409" t="s">
        <v>1086</v>
      </c>
      <c r="C419" s="1410">
        <v>2075</v>
      </c>
      <c r="D419" s="1409">
        <v>1092000</v>
      </c>
      <c r="E419" s="1411">
        <v>1092000</v>
      </c>
      <c r="F419" s="1412">
        <v>3971</v>
      </c>
      <c r="G419" s="1409">
        <v>5.7390999999999996</v>
      </c>
      <c r="H419" s="1411">
        <v>0.18462200000000001</v>
      </c>
      <c r="I419" s="1411">
        <v>8.61E-4</v>
      </c>
      <c r="J419" s="1412">
        <v>11.5648</v>
      </c>
    </row>
    <row r="420" spans="2:10" x14ac:dyDescent="0.25">
      <c r="B420" s="1409" t="s">
        <v>681</v>
      </c>
      <c r="C420" s="1410">
        <v>2075</v>
      </c>
      <c r="D420" s="1409">
        <v>1092000</v>
      </c>
      <c r="E420" s="1411">
        <v>1092000</v>
      </c>
      <c r="F420" s="1412">
        <v>3971</v>
      </c>
      <c r="G420" s="1409">
        <v>5.7390999999999996</v>
      </c>
      <c r="H420" s="1411">
        <v>0.18462200000000001</v>
      </c>
      <c r="I420" s="1411">
        <v>8.61E-4</v>
      </c>
      <c r="J420" s="1412">
        <v>11.5648</v>
      </c>
    </row>
    <row r="421" spans="2:10" x14ac:dyDescent="0.25">
      <c r="B421" s="1409" t="s">
        <v>682</v>
      </c>
      <c r="C421" s="1410">
        <v>2075</v>
      </c>
      <c r="D421" s="1409">
        <v>-1185000</v>
      </c>
      <c r="E421" s="1411">
        <v>0</v>
      </c>
      <c r="F421" s="1412">
        <v>0</v>
      </c>
      <c r="G421" s="1409">
        <v>-85.800000000000011</v>
      </c>
      <c r="H421" s="1411">
        <v>0.54700000000000004</v>
      </c>
      <c r="I421" s="1411">
        <v>-1.8286999999999999E-3</v>
      </c>
      <c r="J421" s="1412">
        <v>-70.08</v>
      </c>
    </row>
    <row r="422" spans="2:10" x14ac:dyDescent="0.25">
      <c r="B422" s="1409" t="s">
        <v>683</v>
      </c>
      <c r="C422" s="1410">
        <v>2075</v>
      </c>
      <c r="D422" s="1409">
        <v>1721000</v>
      </c>
      <c r="E422" s="1411">
        <v>1293000</v>
      </c>
      <c r="F422" s="1412">
        <v>15050</v>
      </c>
      <c r="G422" s="1409">
        <v>125.08</v>
      </c>
      <c r="H422" s="1411">
        <v>0.20477100000000001</v>
      </c>
      <c r="I422" s="1411">
        <v>1.7827000000000001E-3</v>
      </c>
      <c r="J422" s="1412">
        <v>129.82</v>
      </c>
    </row>
    <row r="423" spans="2:10" x14ac:dyDescent="0.25">
      <c r="B423" s="1409" t="s">
        <v>698</v>
      </c>
      <c r="C423" s="1410">
        <v>2075</v>
      </c>
      <c r="D423" s="1409">
        <v>1721000</v>
      </c>
      <c r="E423" s="1411">
        <v>1293000</v>
      </c>
      <c r="F423" s="1412">
        <v>15050</v>
      </c>
      <c r="G423" s="1409">
        <v>125.08</v>
      </c>
      <c r="H423" s="1411">
        <v>0.20477100000000001</v>
      </c>
      <c r="I423" s="1411">
        <v>1.7827000000000001E-3</v>
      </c>
      <c r="J423" s="1412">
        <v>129.82</v>
      </c>
    </row>
    <row r="424" spans="2:10" x14ac:dyDescent="0.25">
      <c r="B424" s="1409" t="s">
        <v>684</v>
      </c>
      <c r="C424" s="1410">
        <v>2075</v>
      </c>
      <c r="D424" s="1409">
        <v>1721000</v>
      </c>
      <c r="E424" s="1411">
        <v>1293000</v>
      </c>
      <c r="F424" s="1412">
        <v>15050</v>
      </c>
      <c r="G424" s="1409">
        <v>125.08</v>
      </c>
      <c r="H424" s="1411">
        <v>0.20477100000000001</v>
      </c>
      <c r="I424" s="1411">
        <v>1.7827000000000001E-3</v>
      </c>
      <c r="J424" s="1412">
        <v>129.82</v>
      </c>
    </row>
    <row r="425" spans="2:10" x14ac:dyDescent="0.25">
      <c r="B425" s="1409" t="s">
        <v>1087</v>
      </c>
      <c r="C425" s="1410">
        <v>2075</v>
      </c>
      <c r="D425" s="1409">
        <v>1022000</v>
      </c>
      <c r="E425" s="1411">
        <v>1021000</v>
      </c>
      <c r="F425" s="1412">
        <v>15510</v>
      </c>
      <c r="G425" s="1409">
        <v>1.6964999999999999</v>
      </c>
      <c r="H425" s="1411">
        <v>0.14096238999999999</v>
      </c>
      <c r="I425" s="1411">
        <v>3.2765999999999998E-5</v>
      </c>
      <c r="J425" s="1412">
        <v>5.9536999999999995</v>
      </c>
    </row>
    <row r="426" spans="2:10" x14ac:dyDescent="0.25">
      <c r="B426" s="1409" t="s">
        <v>716</v>
      </c>
      <c r="C426" s="1410">
        <v>2075</v>
      </c>
      <c r="D426" s="1409">
        <v>1022000</v>
      </c>
      <c r="E426" s="1411">
        <v>1021000</v>
      </c>
      <c r="F426" s="1412">
        <v>15510</v>
      </c>
      <c r="G426" s="1409">
        <v>1.6964999999999999</v>
      </c>
      <c r="H426" s="1411">
        <v>0.14096238999999999</v>
      </c>
      <c r="I426" s="1411">
        <v>3.2765999999999998E-5</v>
      </c>
      <c r="J426" s="1412">
        <v>5.9536999999999995</v>
      </c>
    </row>
    <row r="427" spans="2:10" x14ac:dyDescent="0.25">
      <c r="B427" s="1409" t="s">
        <v>717</v>
      </c>
      <c r="C427" s="1410">
        <v>2075</v>
      </c>
      <c r="D427" s="1409">
        <v>1022000</v>
      </c>
      <c r="E427" s="1411">
        <v>1021000</v>
      </c>
      <c r="F427" s="1412">
        <v>15510</v>
      </c>
      <c r="G427" s="1409">
        <v>1.6964999999999999</v>
      </c>
      <c r="H427" s="1411">
        <v>0.14096238999999999</v>
      </c>
      <c r="I427" s="1411">
        <v>3.2765999999999998E-5</v>
      </c>
      <c r="J427" s="1412">
        <v>5.9536999999999995</v>
      </c>
    </row>
    <row r="428" spans="2:10" x14ac:dyDescent="0.25">
      <c r="B428" s="1409" t="s">
        <v>912</v>
      </c>
      <c r="C428" s="1410">
        <v>2075</v>
      </c>
      <c r="D428" s="1409">
        <v>1209000</v>
      </c>
      <c r="E428" s="1411">
        <v>1202000</v>
      </c>
      <c r="F428" s="1412">
        <v>1052000</v>
      </c>
      <c r="G428" s="1409">
        <v>17.969000000000001</v>
      </c>
      <c r="H428" s="1411">
        <v>0.164128</v>
      </c>
      <c r="I428" s="1411">
        <v>2.9025999999999998E-4</v>
      </c>
      <c r="J428" s="1412">
        <v>22.988</v>
      </c>
    </row>
    <row r="429" spans="2:10" x14ac:dyDescent="0.25">
      <c r="B429" s="1409" t="s">
        <v>910</v>
      </c>
      <c r="C429" s="1410">
        <v>2075</v>
      </c>
      <c r="D429" s="1409">
        <v>1585000</v>
      </c>
      <c r="E429" s="1411">
        <v>696300</v>
      </c>
      <c r="F429" s="1412">
        <v>286000</v>
      </c>
      <c r="G429" s="1409">
        <v>38.049999999999997</v>
      </c>
      <c r="H429" s="1411">
        <v>0.1118</v>
      </c>
      <c r="I429" s="1411">
        <v>2.5350000000000001E-2</v>
      </c>
      <c r="J429" s="1412">
        <v>45.19</v>
      </c>
    </row>
    <row r="430" spans="2:10" x14ac:dyDescent="0.25">
      <c r="B430" s="1409" t="s">
        <v>913</v>
      </c>
      <c r="C430" s="1410">
        <v>2075</v>
      </c>
      <c r="D430" s="1409">
        <v>1249000</v>
      </c>
      <c r="E430" s="1411">
        <v>1242000</v>
      </c>
      <c r="F430" s="1412">
        <v>1078000</v>
      </c>
      <c r="G430" s="1409">
        <v>23.84</v>
      </c>
      <c r="H430" s="1411">
        <v>0.16985799999999998</v>
      </c>
      <c r="I430" s="1411">
        <v>3.7813000000000001E-4</v>
      </c>
      <c r="J430" s="1412">
        <v>29.157000000000004</v>
      </c>
    </row>
    <row r="431" spans="2:10" x14ac:dyDescent="0.25">
      <c r="B431" s="1409" t="s">
        <v>1081</v>
      </c>
      <c r="C431" s="1410">
        <v>2075</v>
      </c>
      <c r="D431" s="1409">
        <v>1190000</v>
      </c>
      <c r="E431" s="1411">
        <v>51590</v>
      </c>
      <c r="F431" s="1412">
        <v>29220</v>
      </c>
      <c r="G431" s="1409">
        <v>3.7582</v>
      </c>
      <c r="H431" s="1411">
        <v>8.4366999999999984E-3</v>
      </c>
      <c r="I431" s="1411">
        <v>-3.8261190000000002E-3</v>
      </c>
      <c r="J431" s="1412">
        <v>3.0054000000000003</v>
      </c>
    </row>
    <row r="432" spans="2:10" x14ac:dyDescent="0.25">
      <c r="B432" s="1409" t="s">
        <v>815</v>
      </c>
      <c r="C432" s="1410">
        <v>2075</v>
      </c>
      <c r="D432" s="1409">
        <v>1190000</v>
      </c>
      <c r="E432" s="1411">
        <v>51590</v>
      </c>
      <c r="F432" s="1412">
        <v>29220</v>
      </c>
      <c r="G432" s="1409">
        <v>3.7582</v>
      </c>
      <c r="H432" s="1411">
        <v>8.4366999999999984E-3</v>
      </c>
      <c r="I432" s="1411">
        <v>-3.8261190000000002E-3</v>
      </c>
      <c r="J432" s="1412">
        <v>3.0054000000000003</v>
      </c>
    </row>
    <row r="433" spans="2:10" x14ac:dyDescent="0.25">
      <c r="B433" s="1409" t="s">
        <v>824</v>
      </c>
      <c r="C433" s="1410">
        <v>2075</v>
      </c>
      <c r="D433" s="1409">
        <v>1190000</v>
      </c>
      <c r="E433" s="1411">
        <v>51590</v>
      </c>
      <c r="F433" s="1412">
        <v>29220</v>
      </c>
      <c r="G433" s="1409">
        <v>3.7582</v>
      </c>
      <c r="H433" s="1411">
        <v>8.4366999999999984E-3</v>
      </c>
      <c r="I433" s="1411">
        <v>-3.8261190000000002E-3</v>
      </c>
      <c r="J433" s="1412">
        <v>3.0054000000000003</v>
      </c>
    </row>
    <row r="434" spans="2:10" ht="13" thickBot="1" x14ac:dyDescent="0.3">
      <c r="B434" s="1413" t="s">
        <v>1088</v>
      </c>
      <c r="C434" s="1414">
        <v>2075</v>
      </c>
      <c r="D434" s="1413">
        <v>1384000</v>
      </c>
      <c r="E434" s="1415">
        <v>1383000</v>
      </c>
      <c r="F434" s="1416">
        <v>5034</v>
      </c>
      <c r="G434" s="1413">
        <v>78.571100000000001</v>
      </c>
      <c r="H434" s="1415">
        <v>0.27494000000000002</v>
      </c>
      <c r="I434" s="1415">
        <v>2.3304000000000003E-3</v>
      </c>
      <c r="J434" s="1416">
        <v>87.594300000000004</v>
      </c>
    </row>
    <row r="435" spans="2:10" x14ac:dyDescent="0.25">
      <c r="B435" s="1405" t="s">
        <v>1085</v>
      </c>
      <c r="C435" s="1406">
        <v>2080</v>
      </c>
      <c r="D435" s="1405">
        <v>1092000</v>
      </c>
      <c r="E435" s="1407">
        <v>1092000</v>
      </c>
      <c r="F435" s="1408">
        <v>3971</v>
      </c>
      <c r="G435" s="1405">
        <v>5.7390999999999996</v>
      </c>
      <c r="H435" s="1407">
        <v>0.18462200000000001</v>
      </c>
      <c r="I435" s="1407">
        <v>8.61E-4</v>
      </c>
      <c r="J435" s="1408">
        <v>11.5648</v>
      </c>
    </row>
    <row r="436" spans="2:10" x14ac:dyDescent="0.25">
      <c r="B436" s="1409" t="s">
        <v>283</v>
      </c>
      <c r="C436" s="1410">
        <v>2080</v>
      </c>
      <c r="D436" s="1409">
        <v>1092000</v>
      </c>
      <c r="E436" s="1411">
        <v>1092000</v>
      </c>
      <c r="F436" s="1412">
        <v>3971</v>
      </c>
      <c r="G436" s="1409">
        <v>5.7390999999999996</v>
      </c>
      <c r="H436" s="1411">
        <v>0.18462200000000001</v>
      </c>
      <c r="I436" s="1411">
        <v>8.61E-4</v>
      </c>
      <c r="J436" s="1412">
        <v>11.5648</v>
      </c>
    </row>
    <row r="437" spans="2:10" x14ac:dyDescent="0.25">
      <c r="B437" s="1409" t="s">
        <v>1086</v>
      </c>
      <c r="C437" s="1410">
        <v>2080</v>
      </c>
      <c r="D437" s="1409">
        <v>1092000</v>
      </c>
      <c r="E437" s="1411">
        <v>1092000</v>
      </c>
      <c r="F437" s="1412">
        <v>3971</v>
      </c>
      <c r="G437" s="1409">
        <v>5.7390999999999996</v>
      </c>
      <c r="H437" s="1411">
        <v>0.18462200000000001</v>
      </c>
      <c r="I437" s="1411">
        <v>8.61E-4</v>
      </c>
      <c r="J437" s="1412">
        <v>11.5648</v>
      </c>
    </row>
    <row r="438" spans="2:10" x14ac:dyDescent="0.25">
      <c r="B438" s="1409" t="s">
        <v>681</v>
      </c>
      <c r="C438" s="1410">
        <v>2080</v>
      </c>
      <c r="D438" s="1409">
        <v>1092000</v>
      </c>
      <c r="E438" s="1411">
        <v>1092000</v>
      </c>
      <c r="F438" s="1412">
        <v>3971</v>
      </c>
      <c r="G438" s="1409">
        <v>5.7390999999999996</v>
      </c>
      <c r="H438" s="1411">
        <v>0.18462200000000001</v>
      </c>
      <c r="I438" s="1411">
        <v>8.61E-4</v>
      </c>
      <c r="J438" s="1412">
        <v>11.5648</v>
      </c>
    </row>
    <row r="439" spans="2:10" x14ac:dyDescent="0.25">
      <c r="B439" s="1409" t="s">
        <v>682</v>
      </c>
      <c r="C439" s="1410">
        <v>2080</v>
      </c>
      <c r="D439" s="1409">
        <v>-1185000</v>
      </c>
      <c r="E439" s="1411">
        <v>0</v>
      </c>
      <c r="F439" s="1412">
        <v>0</v>
      </c>
      <c r="G439" s="1409">
        <v>-85.800000000000011</v>
      </c>
      <c r="H439" s="1411">
        <v>0.54700000000000004</v>
      </c>
      <c r="I439" s="1411">
        <v>-1.8286999999999999E-3</v>
      </c>
      <c r="J439" s="1412">
        <v>-70.08</v>
      </c>
    </row>
    <row r="440" spans="2:10" x14ac:dyDescent="0.25">
      <c r="B440" s="1409" t="s">
        <v>683</v>
      </c>
      <c r="C440" s="1410">
        <v>2080</v>
      </c>
      <c r="D440" s="1409">
        <v>1721000</v>
      </c>
      <c r="E440" s="1411">
        <v>1293000</v>
      </c>
      <c r="F440" s="1412">
        <v>15050</v>
      </c>
      <c r="G440" s="1409">
        <v>125.08</v>
      </c>
      <c r="H440" s="1411">
        <v>0.20477100000000001</v>
      </c>
      <c r="I440" s="1411">
        <v>1.7827000000000001E-3</v>
      </c>
      <c r="J440" s="1412">
        <v>129.82</v>
      </c>
    </row>
    <row r="441" spans="2:10" x14ac:dyDescent="0.25">
      <c r="B441" s="1409" t="s">
        <v>698</v>
      </c>
      <c r="C441" s="1410">
        <v>2080</v>
      </c>
      <c r="D441" s="1409">
        <v>1721000</v>
      </c>
      <c r="E441" s="1411">
        <v>1293000</v>
      </c>
      <c r="F441" s="1412">
        <v>15050</v>
      </c>
      <c r="G441" s="1409">
        <v>125.08</v>
      </c>
      <c r="H441" s="1411">
        <v>0.20477100000000001</v>
      </c>
      <c r="I441" s="1411">
        <v>1.7827000000000001E-3</v>
      </c>
      <c r="J441" s="1412">
        <v>129.82</v>
      </c>
    </row>
    <row r="442" spans="2:10" x14ac:dyDescent="0.25">
      <c r="B442" s="1409" t="s">
        <v>684</v>
      </c>
      <c r="C442" s="1410">
        <v>2080</v>
      </c>
      <c r="D442" s="1409">
        <v>1721000</v>
      </c>
      <c r="E442" s="1411">
        <v>1293000</v>
      </c>
      <c r="F442" s="1412">
        <v>15050</v>
      </c>
      <c r="G442" s="1409">
        <v>125.08</v>
      </c>
      <c r="H442" s="1411">
        <v>0.20477100000000001</v>
      </c>
      <c r="I442" s="1411">
        <v>1.7827000000000001E-3</v>
      </c>
      <c r="J442" s="1412">
        <v>129.82</v>
      </c>
    </row>
    <row r="443" spans="2:10" x14ac:dyDescent="0.25">
      <c r="B443" s="1409" t="s">
        <v>1087</v>
      </c>
      <c r="C443" s="1410">
        <v>2080</v>
      </c>
      <c r="D443" s="1409">
        <v>1022000</v>
      </c>
      <c r="E443" s="1411">
        <v>1021000</v>
      </c>
      <c r="F443" s="1412">
        <v>15510</v>
      </c>
      <c r="G443" s="1409">
        <v>1.6964999999999999</v>
      </c>
      <c r="H443" s="1411">
        <v>0.14096238999999999</v>
      </c>
      <c r="I443" s="1411">
        <v>3.2765999999999998E-5</v>
      </c>
      <c r="J443" s="1412">
        <v>5.9536999999999995</v>
      </c>
    </row>
    <row r="444" spans="2:10" x14ac:dyDescent="0.25">
      <c r="B444" s="1409" t="s">
        <v>716</v>
      </c>
      <c r="C444" s="1410">
        <v>2080</v>
      </c>
      <c r="D444" s="1409">
        <v>1022000</v>
      </c>
      <c r="E444" s="1411">
        <v>1021000</v>
      </c>
      <c r="F444" s="1412">
        <v>15510</v>
      </c>
      <c r="G444" s="1409">
        <v>1.6964999999999999</v>
      </c>
      <c r="H444" s="1411">
        <v>0.14096238999999999</v>
      </c>
      <c r="I444" s="1411">
        <v>3.2765999999999998E-5</v>
      </c>
      <c r="J444" s="1412">
        <v>5.9536999999999995</v>
      </c>
    </row>
    <row r="445" spans="2:10" x14ac:dyDescent="0.25">
      <c r="B445" s="1409" t="s">
        <v>717</v>
      </c>
      <c r="C445" s="1410">
        <v>2080</v>
      </c>
      <c r="D445" s="1409">
        <v>1022000</v>
      </c>
      <c r="E445" s="1411">
        <v>1021000</v>
      </c>
      <c r="F445" s="1412">
        <v>15510</v>
      </c>
      <c r="G445" s="1409">
        <v>1.6964999999999999</v>
      </c>
      <c r="H445" s="1411">
        <v>0.14096238999999999</v>
      </c>
      <c r="I445" s="1411">
        <v>3.2765999999999998E-5</v>
      </c>
      <c r="J445" s="1412">
        <v>5.9536999999999995</v>
      </c>
    </row>
    <row r="446" spans="2:10" x14ac:dyDescent="0.25">
      <c r="B446" s="1409" t="s">
        <v>912</v>
      </c>
      <c r="C446" s="1410">
        <v>2080</v>
      </c>
      <c r="D446" s="1409">
        <v>1209000</v>
      </c>
      <c r="E446" s="1411">
        <v>1202000</v>
      </c>
      <c r="F446" s="1412">
        <v>1052000</v>
      </c>
      <c r="G446" s="1409">
        <v>17.969000000000001</v>
      </c>
      <c r="H446" s="1411">
        <v>0.164128</v>
      </c>
      <c r="I446" s="1411">
        <v>2.9025999999999998E-4</v>
      </c>
      <c r="J446" s="1412">
        <v>22.988</v>
      </c>
    </row>
    <row r="447" spans="2:10" x14ac:dyDescent="0.25">
      <c r="B447" s="1409" t="s">
        <v>910</v>
      </c>
      <c r="C447" s="1410">
        <v>2080</v>
      </c>
      <c r="D447" s="1409">
        <v>1585000</v>
      </c>
      <c r="E447" s="1411">
        <v>696300</v>
      </c>
      <c r="F447" s="1412">
        <v>286000</v>
      </c>
      <c r="G447" s="1409">
        <v>38.049999999999997</v>
      </c>
      <c r="H447" s="1411">
        <v>0.1118</v>
      </c>
      <c r="I447" s="1411">
        <v>2.5350000000000001E-2</v>
      </c>
      <c r="J447" s="1412">
        <v>45.19</v>
      </c>
    </row>
    <row r="448" spans="2:10" x14ac:dyDescent="0.25">
      <c r="B448" s="1409" t="s">
        <v>913</v>
      </c>
      <c r="C448" s="1410">
        <v>2080</v>
      </c>
      <c r="D448" s="1409">
        <v>1249000</v>
      </c>
      <c r="E448" s="1411">
        <v>1242000</v>
      </c>
      <c r="F448" s="1412">
        <v>1078000</v>
      </c>
      <c r="G448" s="1409">
        <v>23.84</v>
      </c>
      <c r="H448" s="1411">
        <v>0.16985799999999998</v>
      </c>
      <c r="I448" s="1411">
        <v>3.7813000000000001E-4</v>
      </c>
      <c r="J448" s="1412">
        <v>29.157000000000004</v>
      </c>
    </row>
    <row r="449" spans="2:10" x14ac:dyDescent="0.25">
      <c r="B449" s="1409" t="s">
        <v>1081</v>
      </c>
      <c r="C449" s="1410">
        <v>2080</v>
      </c>
      <c r="D449" s="1409">
        <v>1190000</v>
      </c>
      <c r="E449" s="1411">
        <v>51590</v>
      </c>
      <c r="F449" s="1412">
        <v>29220</v>
      </c>
      <c r="G449" s="1409">
        <v>3.7582</v>
      </c>
      <c r="H449" s="1411">
        <v>8.4366999999999984E-3</v>
      </c>
      <c r="I449" s="1411">
        <v>-3.8261190000000002E-3</v>
      </c>
      <c r="J449" s="1412">
        <v>3.0054000000000003</v>
      </c>
    </row>
    <row r="450" spans="2:10" x14ac:dyDescent="0.25">
      <c r="B450" s="1409" t="s">
        <v>815</v>
      </c>
      <c r="C450" s="1410">
        <v>2080</v>
      </c>
      <c r="D450" s="1409">
        <v>1190000</v>
      </c>
      <c r="E450" s="1411">
        <v>51590</v>
      </c>
      <c r="F450" s="1412">
        <v>29220</v>
      </c>
      <c r="G450" s="1409">
        <v>3.7582</v>
      </c>
      <c r="H450" s="1411">
        <v>8.4366999999999984E-3</v>
      </c>
      <c r="I450" s="1411">
        <v>-3.8261190000000002E-3</v>
      </c>
      <c r="J450" s="1412">
        <v>3.0054000000000003</v>
      </c>
    </row>
    <row r="451" spans="2:10" x14ac:dyDescent="0.25">
      <c r="B451" s="1409" t="s">
        <v>824</v>
      </c>
      <c r="C451" s="1410">
        <v>2080</v>
      </c>
      <c r="D451" s="1409">
        <v>1190000</v>
      </c>
      <c r="E451" s="1411">
        <v>51590</v>
      </c>
      <c r="F451" s="1412">
        <v>29220</v>
      </c>
      <c r="G451" s="1409">
        <v>3.7582</v>
      </c>
      <c r="H451" s="1411">
        <v>8.4366999999999984E-3</v>
      </c>
      <c r="I451" s="1411">
        <v>-3.8261190000000002E-3</v>
      </c>
      <c r="J451" s="1412">
        <v>3.0054000000000003</v>
      </c>
    </row>
    <row r="452" spans="2:10" ht="13" thickBot="1" x14ac:dyDescent="0.3">
      <c r="B452" s="1413" t="s">
        <v>1088</v>
      </c>
      <c r="C452" s="1414">
        <v>2080</v>
      </c>
      <c r="D452" s="1413">
        <v>1384000</v>
      </c>
      <c r="E452" s="1415">
        <v>1383000</v>
      </c>
      <c r="F452" s="1416">
        <v>5034</v>
      </c>
      <c r="G452" s="1413">
        <v>78.571100000000001</v>
      </c>
      <c r="H452" s="1415">
        <v>0.27494000000000002</v>
      </c>
      <c r="I452" s="1415">
        <v>2.3304000000000003E-3</v>
      </c>
      <c r="J452" s="1416">
        <v>87.594300000000004</v>
      </c>
    </row>
    <row r="453" spans="2:10" x14ac:dyDescent="0.25">
      <c r="B453" s="1405" t="s">
        <v>1085</v>
      </c>
      <c r="C453" s="1406">
        <v>2085</v>
      </c>
      <c r="D453" s="1405">
        <v>1092000</v>
      </c>
      <c r="E453" s="1407">
        <v>1092000</v>
      </c>
      <c r="F453" s="1408">
        <v>3971</v>
      </c>
      <c r="G453" s="1405">
        <v>5.7390999999999996</v>
      </c>
      <c r="H453" s="1407">
        <v>0.18462200000000001</v>
      </c>
      <c r="I453" s="1407">
        <v>8.61E-4</v>
      </c>
      <c r="J453" s="1408">
        <v>11.5648</v>
      </c>
    </row>
    <row r="454" spans="2:10" x14ac:dyDescent="0.25">
      <c r="B454" s="1409" t="s">
        <v>283</v>
      </c>
      <c r="C454" s="1410">
        <v>2085</v>
      </c>
      <c r="D454" s="1409">
        <v>1092000</v>
      </c>
      <c r="E454" s="1411">
        <v>1092000</v>
      </c>
      <c r="F454" s="1412">
        <v>3971</v>
      </c>
      <c r="G454" s="1409">
        <v>5.7390999999999996</v>
      </c>
      <c r="H454" s="1411">
        <v>0.18462200000000001</v>
      </c>
      <c r="I454" s="1411">
        <v>8.61E-4</v>
      </c>
      <c r="J454" s="1412">
        <v>11.5648</v>
      </c>
    </row>
    <row r="455" spans="2:10" x14ac:dyDescent="0.25">
      <c r="B455" s="1409" t="s">
        <v>1086</v>
      </c>
      <c r="C455" s="1410">
        <v>2085</v>
      </c>
      <c r="D455" s="1409">
        <v>1092000</v>
      </c>
      <c r="E455" s="1411">
        <v>1092000</v>
      </c>
      <c r="F455" s="1412">
        <v>3971</v>
      </c>
      <c r="G455" s="1409">
        <v>5.7390999999999996</v>
      </c>
      <c r="H455" s="1411">
        <v>0.18462200000000001</v>
      </c>
      <c r="I455" s="1411">
        <v>8.61E-4</v>
      </c>
      <c r="J455" s="1412">
        <v>11.5648</v>
      </c>
    </row>
    <row r="456" spans="2:10" x14ac:dyDescent="0.25">
      <c r="B456" s="1409" t="s">
        <v>681</v>
      </c>
      <c r="C456" s="1410">
        <v>2085</v>
      </c>
      <c r="D456" s="1409">
        <v>1092000</v>
      </c>
      <c r="E456" s="1411">
        <v>1092000</v>
      </c>
      <c r="F456" s="1412">
        <v>3971</v>
      </c>
      <c r="G456" s="1409">
        <v>5.7390999999999996</v>
      </c>
      <c r="H456" s="1411">
        <v>0.18462200000000001</v>
      </c>
      <c r="I456" s="1411">
        <v>8.61E-4</v>
      </c>
      <c r="J456" s="1412">
        <v>11.5648</v>
      </c>
    </row>
    <row r="457" spans="2:10" x14ac:dyDescent="0.25">
      <c r="B457" s="1409" t="s">
        <v>682</v>
      </c>
      <c r="C457" s="1410">
        <v>2085</v>
      </c>
      <c r="D457" s="1409">
        <v>-1185000</v>
      </c>
      <c r="E457" s="1411">
        <v>0</v>
      </c>
      <c r="F457" s="1412">
        <v>0</v>
      </c>
      <c r="G457" s="1409">
        <v>-85.800000000000011</v>
      </c>
      <c r="H457" s="1411">
        <v>0.54700000000000004</v>
      </c>
      <c r="I457" s="1411">
        <v>-1.8286999999999999E-3</v>
      </c>
      <c r="J457" s="1412">
        <v>-70.08</v>
      </c>
    </row>
    <row r="458" spans="2:10" x14ac:dyDescent="0.25">
      <c r="B458" s="1409" t="s">
        <v>683</v>
      </c>
      <c r="C458" s="1410">
        <v>2085</v>
      </c>
      <c r="D458" s="1409">
        <v>1721000</v>
      </c>
      <c r="E458" s="1411">
        <v>1293000</v>
      </c>
      <c r="F458" s="1412">
        <v>15050</v>
      </c>
      <c r="G458" s="1409">
        <v>125.08</v>
      </c>
      <c r="H458" s="1411">
        <v>0.20477100000000001</v>
      </c>
      <c r="I458" s="1411">
        <v>1.7827000000000001E-3</v>
      </c>
      <c r="J458" s="1412">
        <v>129.82</v>
      </c>
    </row>
    <row r="459" spans="2:10" x14ac:dyDescent="0.25">
      <c r="B459" s="1409" t="s">
        <v>698</v>
      </c>
      <c r="C459" s="1410">
        <v>2085</v>
      </c>
      <c r="D459" s="1409">
        <v>1721000</v>
      </c>
      <c r="E459" s="1411">
        <v>1293000</v>
      </c>
      <c r="F459" s="1412">
        <v>15050</v>
      </c>
      <c r="G459" s="1409">
        <v>125.08</v>
      </c>
      <c r="H459" s="1411">
        <v>0.20477100000000001</v>
      </c>
      <c r="I459" s="1411">
        <v>1.7827000000000001E-3</v>
      </c>
      <c r="J459" s="1412">
        <v>129.82</v>
      </c>
    </row>
    <row r="460" spans="2:10" x14ac:dyDescent="0.25">
      <c r="B460" s="1409" t="s">
        <v>684</v>
      </c>
      <c r="C460" s="1410">
        <v>2085</v>
      </c>
      <c r="D460" s="1409">
        <v>1721000</v>
      </c>
      <c r="E460" s="1411">
        <v>1293000</v>
      </c>
      <c r="F460" s="1412">
        <v>15050</v>
      </c>
      <c r="G460" s="1409">
        <v>125.08</v>
      </c>
      <c r="H460" s="1411">
        <v>0.20477100000000001</v>
      </c>
      <c r="I460" s="1411">
        <v>1.7827000000000001E-3</v>
      </c>
      <c r="J460" s="1412">
        <v>129.82</v>
      </c>
    </row>
    <row r="461" spans="2:10" x14ac:dyDescent="0.25">
      <c r="B461" s="1409" t="s">
        <v>1087</v>
      </c>
      <c r="C461" s="1410">
        <v>2085</v>
      </c>
      <c r="D461" s="1409">
        <v>1022000</v>
      </c>
      <c r="E461" s="1411">
        <v>1021000</v>
      </c>
      <c r="F461" s="1412">
        <v>15510</v>
      </c>
      <c r="G461" s="1409">
        <v>1.6964999999999999</v>
      </c>
      <c r="H461" s="1411">
        <v>0.14096238999999999</v>
      </c>
      <c r="I461" s="1411">
        <v>3.2765999999999998E-5</v>
      </c>
      <c r="J461" s="1412">
        <v>5.9536999999999995</v>
      </c>
    </row>
    <row r="462" spans="2:10" x14ac:dyDescent="0.25">
      <c r="B462" s="1409" t="s">
        <v>716</v>
      </c>
      <c r="C462" s="1410">
        <v>2085</v>
      </c>
      <c r="D462" s="1409">
        <v>1022000</v>
      </c>
      <c r="E462" s="1411">
        <v>1021000</v>
      </c>
      <c r="F462" s="1412">
        <v>15510</v>
      </c>
      <c r="G462" s="1409">
        <v>1.6964999999999999</v>
      </c>
      <c r="H462" s="1411">
        <v>0.14096238999999999</v>
      </c>
      <c r="I462" s="1411">
        <v>3.2765999999999998E-5</v>
      </c>
      <c r="J462" s="1412">
        <v>5.9536999999999995</v>
      </c>
    </row>
    <row r="463" spans="2:10" x14ac:dyDescent="0.25">
      <c r="B463" s="1409" t="s">
        <v>717</v>
      </c>
      <c r="C463" s="1410">
        <v>2085</v>
      </c>
      <c r="D463" s="1409">
        <v>1022000</v>
      </c>
      <c r="E463" s="1411">
        <v>1021000</v>
      </c>
      <c r="F463" s="1412">
        <v>15510</v>
      </c>
      <c r="G463" s="1409">
        <v>1.6964999999999999</v>
      </c>
      <c r="H463" s="1411">
        <v>0.14096238999999999</v>
      </c>
      <c r="I463" s="1411">
        <v>3.2765999999999998E-5</v>
      </c>
      <c r="J463" s="1412">
        <v>5.9536999999999995</v>
      </c>
    </row>
    <row r="464" spans="2:10" x14ac:dyDescent="0.25">
      <c r="B464" s="1409" t="s">
        <v>912</v>
      </c>
      <c r="C464" s="1410">
        <v>2085</v>
      </c>
      <c r="D464" s="1409">
        <v>1209000</v>
      </c>
      <c r="E464" s="1411">
        <v>1202000</v>
      </c>
      <c r="F464" s="1412">
        <v>1052000</v>
      </c>
      <c r="G464" s="1409">
        <v>17.969000000000001</v>
      </c>
      <c r="H464" s="1411">
        <v>0.164128</v>
      </c>
      <c r="I464" s="1411">
        <v>2.9025999999999998E-4</v>
      </c>
      <c r="J464" s="1412">
        <v>22.988</v>
      </c>
    </row>
    <row r="465" spans="2:10" x14ac:dyDescent="0.25">
      <c r="B465" s="1409" t="s">
        <v>910</v>
      </c>
      <c r="C465" s="1410">
        <v>2085</v>
      </c>
      <c r="D465" s="1409">
        <v>1585000</v>
      </c>
      <c r="E465" s="1411">
        <v>696300</v>
      </c>
      <c r="F465" s="1412">
        <v>286000</v>
      </c>
      <c r="G465" s="1409">
        <v>38.049999999999997</v>
      </c>
      <c r="H465" s="1411">
        <v>0.1118</v>
      </c>
      <c r="I465" s="1411">
        <v>2.5350000000000001E-2</v>
      </c>
      <c r="J465" s="1412">
        <v>45.19</v>
      </c>
    </row>
    <row r="466" spans="2:10" x14ac:dyDescent="0.25">
      <c r="B466" s="1409" t="s">
        <v>913</v>
      </c>
      <c r="C466" s="1410">
        <v>2085</v>
      </c>
      <c r="D466" s="1409">
        <v>1249000</v>
      </c>
      <c r="E466" s="1411">
        <v>1242000</v>
      </c>
      <c r="F466" s="1412">
        <v>1078000</v>
      </c>
      <c r="G466" s="1409">
        <v>23.84</v>
      </c>
      <c r="H466" s="1411">
        <v>0.16985799999999998</v>
      </c>
      <c r="I466" s="1411">
        <v>3.7813000000000001E-4</v>
      </c>
      <c r="J466" s="1412">
        <v>29.157000000000004</v>
      </c>
    </row>
    <row r="467" spans="2:10" x14ac:dyDescent="0.25">
      <c r="B467" s="1409" t="s">
        <v>1081</v>
      </c>
      <c r="C467" s="1410">
        <v>2085</v>
      </c>
      <c r="D467" s="1409">
        <v>1190000</v>
      </c>
      <c r="E467" s="1411">
        <v>51590</v>
      </c>
      <c r="F467" s="1412">
        <v>29220</v>
      </c>
      <c r="G467" s="1409">
        <v>3.7582</v>
      </c>
      <c r="H467" s="1411">
        <v>8.4366999999999984E-3</v>
      </c>
      <c r="I467" s="1411">
        <v>-3.8261190000000002E-3</v>
      </c>
      <c r="J467" s="1412">
        <v>3.0054000000000003</v>
      </c>
    </row>
    <row r="468" spans="2:10" x14ac:dyDescent="0.25">
      <c r="B468" s="1409" t="s">
        <v>815</v>
      </c>
      <c r="C468" s="1410">
        <v>2085</v>
      </c>
      <c r="D468" s="1409">
        <v>1190000</v>
      </c>
      <c r="E468" s="1411">
        <v>51590</v>
      </c>
      <c r="F468" s="1412">
        <v>29220</v>
      </c>
      <c r="G468" s="1409">
        <v>3.7582</v>
      </c>
      <c r="H468" s="1411">
        <v>8.4366999999999984E-3</v>
      </c>
      <c r="I468" s="1411">
        <v>-3.8261190000000002E-3</v>
      </c>
      <c r="J468" s="1412">
        <v>3.0054000000000003</v>
      </c>
    </row>
    <row r="469" spans="2:10" x14ac:dyDescent="0.25">
      <c r="B469" s="1409" t="s">
        <v>824</v>
      </c>
      <c r="C469" s="1410">
        <v>2085</v>
      </c>
      <c r="D469" s="1409">
        <v>1190000</v>
      </c>
      <c r="E469" s="1411">
        <v>51590</v>
      </c>
      <c r="F469" s="1412">
        <v>29220</v>
      </c>
      <c r="G469" s="1409">
        <v>3.7582</v>
      </c>
      <c r="H469" s="1411">
        <v>8.4366999999999984E-3</v>
      </c>
      <c r="I469" s="1411">
        <v>-3.8261190000000002E-3</v>
      </c>
      <c r="J469" s="1412">
        <v>3.0054000000000003</v>
      </c>
    </row>
    <row r="470" spans="2:10" ht="13" thickBot="1" x14ac:dyDescent="0.3">
      <c r="B470" s="1413" t="s">
        <v>1088</v>
      </c>
      <c r="C470" s="1414">
        <v>2085</v>
      </c>
      <c r="D470" s="1413">
        <v>1384000</v>
      </c>
      <c r="E470" s="1415">
        <v>1383000</v>
      </c>
      <c r="F470" s="1416">
        <v>5034</v>
      </c>
      <c r="G470" s="1413">
        <v>78.571100000000001</v>
      </c>
      <c r="H470" s="1415">
        <v>0.27494000000000002</v>
      </c>
      <c r="I470" s="1415">
        <v>2.3304000000000003E-3</v>
      </c>
      <c r="J470" s="1416">
        <v>87.594300000000004</v>
      </c>
    </row>
    <row r="471" spans="2:10" x14ac:dyDescent="0.25">
      <c r="B471" s="1405" t="s">
        <v>1085</v>
      </c>
      <c r="C471" s="1406">
        <v>2090</v>
      </c>
      <c r="D471" s="1405">
        <v>1092000</v>
      </c>
      <c r="E471" s="1407">
        <v>1092000</v>
      </c>
      <c r="F471" s="1408">
        <v>3971</v>
      </c>
      <c r="G471" s="1405">
        <v>5.7390999999999996</v>
      </c>
      <c r="H471" s="1407">
        <v>0.18462200000000001</v>
      </c>
      <c r="I471" s="1407">
        <v>8.61E-4</v>
      </c>
      <c r="J471" s="1408">
        <v>11.5648</v>
      </c>
    </row>
    <row r="472" spans="2:10" x14ac:dyDescent="0.25">
      <c r="B472" s="1409" t="s">
        <v>283</v>
      </c>
      <c r="C472" s="1410">
        <v>2090</v>
      </c>
      <c r="D472" s="1409">
        <v>1092000</v>
      </c>
      <c r="E472" s="1411">
        <v>1092000</v>
      </c>
      <c r="F472" s="1412">
        <v>3971</v>
      </c>
      <c r="G472" s="1409">
        <v>5.7390999999999996</v>
      </c>
      <c r="H472" s="1411">
        <v>0.18462200000000001</v>
      </c>
      <c r="I472" s="1411">
        <v>8.61E-4</v>
      </c>
      <c r="J472" s="1412">
        <v>11.5648</v>
      </c>
    </row>
    <row r="473" spans="2:10" x14ac:dyDescent="0.25">
      <c r="B473" s="1409" t="s">
        <v>1086</v>
      </c>
      <c r="C473" s="1410">
        <v>2090</v>
      </c>
      <c r="D473" s="1409">
        <v>1092000</v>
      </c>
      <c r="E473" s="1411">
        <v>1092000</v>
      </c>
      <c r="F473" s="1412">
        <v>3971</v>
      </c>
      <c r="G473" s="1409">
        <v>5.7390999999999996</v>
      </c>
      <c r="H473" s="1411">
        <v>0.18462200000000001</v>
      </c>
      <c r="I473" s="1411">
        <v>8.61E-4</v>
      </c>
      <c r="J473" s="1412">
        <v>11.5648</v>
      </c>
    </row>
    <row r="474" spans="2:10" x14ac:dyDescent="0.25">
      <c r="B474" s="1409" t="s">
        <v>681</v>
      </c>
      <c r="C474" s="1410">
        <v>2090</v>
      </c>
      <c r="D474" s="1409">
        <v>1092000</v>
      </c>
      <c r="E474" s="1411">
        <v>1092000</v>
      </c>
      <c r="F474" s="1412">
        <v>3971</v>
      </c>
      <c r="G474" s="1409">
        <v>5.7390999999999996</v>
      </c>
      <c r="H474" s="1411">
        <v>0.18462200000000001</v>
      </c>
      <c r="I474" s="1411">
        <v>8.61E-4</v>
      </c>
      <c r="J474" s="1412">
        <v>11.5648</v>
      </c>
    </row>
    <row r="475" spans="2:10" x14ac:dyDescent="0.25">
      <c r="B475" s="1409" t="s">
        <v>682</v>
      </c>
      <c r="C475" s="1410">
        <v>2090</v>
      </c>
      <c r="D475" s="1409">
        <v>-1185000</v>
      </c>
      <c r="E475" s="1411">
        <v>0</v>
      </c>
      <c r="F475" s="1412">
        <v>0</v>
      </c>
      <c r="G475" s="1409">
        <v>-85.800000000000011</v>
      </c>
      <c r="H475" s="1411">
        <v>0.54700000000000004</v>
      </c>
      <c r="I475" s="1411">
        <v>-1.8286999999999999E-3</v>
      </c>
      <c r="J475" s="1412">
        <v>-70.08</v>
      </c>
    </row>
    <row r="476" spans="2:10" x14ac:dyDescent="0.25">
      <c r="B476" s="1409" t="s">
        <v>683</v>
      </c>
      <c r="C476" s="1410">
        <v>2090</v>
      </c>
      <c r="D476" s="1409">
        <v>1721000</v>
      </c>
      <c r="E476" s="1411">
        <v>1293000</v>
      </c>
      <c r="F476" s="1412">
        <v>15050</v>
      </c>
      <c r="G476" s="1409">
        <v>125.08</v>
      </c>
      <c r="H476" s="1411">
        <v>0.20477100000000001</v>
      </c>
      <c r="I476" s="1411">
        <v>1.7827000000000001E-3</v>
      </c>
      <c r="J476" s="1412">
        <v>129.82</v>
      </c>
    </row>
    <row r="477" spans="2:10" x14ac:dyDescent="0.25">
      <c r="B477" s="1409" t="s">
        <v>698</v>
      </c>
      <c r="C477" s="1410">
        <v>2090</v>
      </c>
      <c r="D477" s="1409">
        <v>1721000</v>
      </c>
      <c r="E477" s="1411">
        <v>1293000</v>
      </c>
      <c r="F477" s="1412">
        <v>15050</v>
      </c>
      <c r="G477" s="1409">
        <v>125.08</v>
      </c>
      <c r="H477" s="1411">
        <v>0.20477100000000001</v>
      </c>
      <c r="I477" s="1411">
        <v>1.7827000000000001E-3</v>
      </c>
      <c r="J477" s="1412">
        <v>129.82</v>
      </c>
    </row>
    <row r="478" spans="2:10" x14ac:dyDescent="0.25">
      <c r="B478" s="1409" t="s">
        <v>684</v>
      </c>
      <c r="C478" s="1410">
        <v>2090</v>
      </c>
      <c r="D478" s="1409">
        <v>1721000</v>
      </c>
      <c r="E478" s="1411">
        <v>1293000</v>
      </c>
      <c r="F478" s="1412">
        <v>15050</v>
      </c>
      <c r="G478" s="1409">
        <v>125.08</v>
      </c>
      <c r="H478" s="1411">
        <v>0.20477100000000001</v>
      </c>
      <c r="I478" s="1411">
        <v>1.7827000000000001E-3</v>
      </c>
      <c r="J478" s="1412">
        <v>129.82</v>
      </c>
    </row>
    <row r="479" spans="2:10" x14ac:dyDescent="0.25">
      <c r="B479" s="1409" t="s">
        <v>1087</v>
      </c>
      <c r="C479" s="1410">
        <v>2090</v>
      </c>
      <c r="D479" s="1409">
        <v>1022000</v>
      </c>
      <c r="E479" s="1411">
        <v>1021000</v>
      </c>
      <c r="F479" s="1412">
        <v>15510</v>
      </c>
      <c r="G479" s="1409">
        <v>1.6964999999999999</v>
      </c>
      <c r="H479" s="1411">
        <v>0.14096238999999999</v>
      </c>
      <c r="I479" s="1411">
        <v>3.2765999999999998E-5</v>
      </c>
      <c r="J479" s="1412">
        <v>5.9536999999999995</v>
      </c>
    </row>
    <row r="480" spans="2:10" x14ac:dyDescent="0.25">
      <c r="B480" s="1409" t="s">
        <v>716</v>
      </c>
      <c r="C480" s="1410">
        <v>2090</v>
      </c>
      <c r="D480" s="1409">
        <v>1022000</v>
      </c>
      <c r="E480" s="1411">
        <v>1021000</v>
      </c>
      <c r="F480" s="1412">
        <v>15510</v>
      </c>
      <c r="G480" s="1409">
        <v>1.6964999999999999</v>
      </c>
      <c r="H480" s="1411">
        <v>0.14096238999999999</v>
      </c>
      <c r="I480" s="1411">
        <v>3.2765999999999998E-5</v>
      </c>
      <c r="J480" s="1412">
        <v>5.9536999999999995</v>
      </c>
    </row>
    <row r="481" spans="2:10" x14ac:dyDescent="0.25">
      <c r="B481" s="1409" t="s">
        <v>717</v>
      </c>
      <c r="C481" s="1410">
        <v>2090</v>
      </c>
      <c r="D481" s="1409">
        <v>1022000</v>
      </c>
      <c r="E481" s="1411">
        <v>1021000</v>
      </c>
      <c r="F481" s="1412">
        <v>15510</v>
      </c>
      <c r="G481" s="1409">
        <v>1.6964999999999999</v>
      </c>
      <c r="H481" s="1411">
        <v>0.14096238999999999</v>
      </c>
      <c r="I481" s="1411">
        <v>3.2765999999999998E-5</v>
      </c>
      <c r="J481" s="1412">
        <v>5.9536999999999995</v>
      </c>
    </row>
    <row r="482" spans="2:10" x14ac:dyDescent="0.25">
      <c r="B482" s="1409" t="s">
        <v>912</v>
      </c>
      <c r="C482" s="1410">
        <v>2090</v>
      </c>
      <c r="D482" s="1409">
        <v>1209000</v>
      </c>
      <c r="E482" s="1411">
        <v>1202000</v>
      </c>
      <c r="F482" s="1412">
        <v>1052000</v>
      </c>
      <c r="G482" s="1409">
        <v>17.969000000000001</v>
      </c>
      <c r="H482" s="1411">
        <v>0.164128</v>
      </c>
      <c r="I482" s="1411">
        <v>2.9025999999999998E-4</v>
      </c>
      <c r="J482" s="1412">
        <v>22.988</v>
      </c>
    </row>
    <row r="483" spans="2:10" x14ac:dyDescent="0.25">
      <c r="B483" s="1409" t="s">
        <v>910</v>
      </c>
      <c r="C483" s="1410">
        <v>2090</v>
      </c>
      <c r="D483" s="1409">
        <v>1585000</v>
      </c>
      <c r="E483" s="1411">
        <v>696300</v>
      </c>
      <c r="F483" s="1412">
        <v>286000</v>
      </c>
      <c r="G483" s="1409">
        <v>38.049999999999997</v>
      </c>
      <c r="H483" s="1411">
        <v>0.1118</v>
      </c>
      <c r="I483" s="1411">
        <v>2.5350000000000001E-2</v>
      </c>
      <c r="J483" s="1412">
        <v>45.19</v>
      </c>
    </row>
    <row r="484" spans="2:10" x14ac:dyDescent="0.25">
      <c r="B484" s="1409" t="s">
        <v>913</v>
      </c>
      <c r="C484" s="1410">
        <v>2090</v>
      </c>
      <c r="D484" s="1409">
        <v>1249000</v>
      </c>
      <c r="E484" s="1411">
        <v>1242000</v>
      </c>
      <c r="F484" s="1412">
        <v>1078000</v>
      </c>
      <c r="G484" s="1409">
        <v>23.84</v>
      </c>
      <c r="H484" s="1411">
        <v>0.16985799999999998</v>
      </c>
      <c r="I484" s="1411">
        <v>3.7813000000000001E-4</v>
      </c>
      <c r="J484" s="1412">
        <v>29.157000000000004</v>
      </c>
    </row>
    <row r="485" spans="2:10" x14ac:dyDescent="0.25">
      <c r="B485" s="1409" t="s">
        <v>1081</v>
      </c>
      <c r="C485" s="1410">
        <v>2090</v>
      </c>
      <c r="D485" s="1409">
        <v>1190000</v>
      </c>
      <c r="E485" s="1411">
        <v>51590</v>
      </c>
      <c r="F485" s="1412">
        <v>29220</v>
      </c>
      <c r="G485" s="1409">
        <v>3.7582</v>
      </c>
      <c r="H485" s="1411">
        <v>8.4366999999999984E-3</v>
      </c>
      <c r="I485" s="1411">
        <v>-3.8261190000000002E-3</v>
      </c>
      <c r="J485" s="1412">
        <v>3.0054000000000003</v>
      </c>
    </row>
    <row r="486" spans="2:10" x14ac:dyDescent="0.25">
      <c r="B486" s="1409" t="s">
        <v>815</v>
      </c>
      <c r="C486" s="1410">
        <v>2090</v>
      </c>
      <c r="D486" s="1409">
        <v>1190000</v>
      </c>
      <c r="E486" s="1411">
        <v>51590</v>
      </c>
      <c r="F486" s="1412">
        <v>29220</v>
      </c>
      <c r="G486" s="1409">
        <v>3.7582</v>
      </c>
      <c r="H486" s="1411">
        <v>8.4366999999999984E-3</v>
      </c>
      <c r="I486" s="1411">
        <v>-3.8261190000000002E-3</v>
      </c>
      <c r="J486" s="1412">
        <v>3.0054000000000003</v>
      </c>
    </row>
    <row r="487" spans="2:10" x14ac:dyDescent="0.25">
      <c r="B487" s="1409" t="s">
        <v>824</v>
      </c>
      <c r="C487" s="1410">
        <v>2090</v>
      </c>
      <c r="D487" s="1409">
        <v>1190000</v>
      </c>
      <c r="E487" s="1411">
        <v>51590</v>
      </c>
      <c r="F487" s="1412">
        <v>29220</v>
      </c>
      <c r="G487" s="1409">
        <v>3.7582</v>
      </c>
      <c r="H487" s="1411">
        <v>8.4366999999999984E-3</v>
      </c>
      <c r="I487" s="1411">
        <v>-3.8261190000000002E-3</v>
      </c>
      <c r="J487" s="1412">
        <v>3.0054000000000003</v>
      </c>
    </row>
    <row r="488" spans="2:10" ht="13" thickBot="1" x14ac:dyDescent="0.3">
      <c r="B488" s="1413" t="s">
        <v>1088</v>
      </c>
      <c r="C488" s="1414">
        <v>2090</v>
      </c>
      <c r="D488" s="1413">
        <v>1384000</v>
      </c>
      <c r="E488" s="1415">
        <v>1383000</v>
      </c>
      <c r="F488" s="1416">
        <v>5034</v>
      </c>
      <c r="G488" s="1413">
        <v>78.571100000000001</v>
      </c>
      <c r="H488" s="1415">
        <v>0.27494000000000002</v>
      </c>
      <c r="I488" s="1415">
        <v>2.3304000000000003E-3</v>
      </c>
      <c r="J488" s="1416">
        <v>87.594300000000004</v>
      </c>
    </row>
    <row r="489" spans="2:10" x14ac:dyDescent="0.25">
      <c r="B489" s="1405" t="s">
        <v>1085</v>
      </c>
      <c r="C489" s="1406">
        <v>2095</v>
      </c>
      <c r="D489" s="1405">
        <v>1092000</v>
      </c>
      <c r="E489" s="1407">
        <v>1092000</v>
      </c>
      <c r="F489" s="1408">
        <v>3971</v>
      </c>
      <c r="G489" s="1405">
        <v>5.7390999999999996</v>
      </c>
      <c r="H489" s="1407">
        <v>0.18462200000000001</v>
      </c>
      <c r="I489" s="1407">
        <v>8.61E-4</v>
      </c>
      <c r="J489" s="1408">
        <v>11.5648</v>
      </c>
    </row>
    <row r="490" spans="2:10" x14ac:dyDescent="0.25">
      <c r="B490" s="1409" t="s">
        <v>283</v>
      </c>
      <c r="C490" s="1410">
        <v>2095</v>
      </c>
      <c r="D490" s="1409">
        <v>1092000</v>
      </c>
      <c r="E490" s="1411">
        <v>1092000</v>
      </c>
      <c r="F490" s="1412">
        <v>3971</v>
      </c>
      <c r="G490" s="1409">
        <v>5.7390999999999996</v>
      </c>
      <c r="H490" s="1411">
        <v>0.18462200000000001</v>
      </c>
      <c r="I490" s="1411">
        <v>8.61E-4</v>
      </c>
      <c r="J490" s="1412">
        <v>11.5648</v>
      </c>
    </row>
    <row r="491" spans="2:10" x14ac:dyDescent="0.25">
      <c r="B491" s="1409" t="s">
        <v>1086</v>
      </c>
      <c r="C491" s="1410">
        <v>2095</v>
      </c>
      <c r="D491" s="1409">
        <v>1092000</v>
      </c>
      <c r="E491" s="1411">
        <v>1092000</v>
      </c>
      <c r="F491" s="1412">
        <v>3971</v>
      </c>
      <c r="G491" s="1409">
        <v>5.7390999999999996</v>
      </c>
      <c r="H491" s="1411">
        <v>0.18462200000000001</v>
      </c>
      <c r="I491" s="1411">
        <v>8.61E-4</v>
      </c>
      <c r="J491" s="1412">
        <v>11.5648</v>
      </c>
    </row>
    <row r="492" spans="2:10" x14ac:dyDescent="0.25">
      <c r="B492" s="1409" t="s">
        <v>681</v>
      </c>
      <c r="C492" s="1410">
        <v>2095</v>
      </c>
      <c r="D492" s="1409">
        <v>1092000</v>
      </c>
      <c r="E492" s="1411">
        <v>1092000</v>
      </c>
      <c r="F492" s="1412">
        <v>3971</v>
      </c>
      <c r="G492" s="1409">
        <v>5.7390999999999996</v>
      </c>
      <c r="H492" s="1411">
        <v>0.18462200000000001</v>
      </c>
      <c r="I492" s="1411">
        <v>8.61E-4</v>
      </c>
      <c r="J492" s="1412">
        <v>11.5648</v>
      </c>
    </row>
    <row r="493" spans="2:10" x14ac:dyDescent="0.25">
      <c r="B493" s="1409" t="s">
        <v>682</v>
      </c>
      <c r="C493" s="1410">
        <v>2095</v>
      </c>
      <c r="D493" s="1409">
        <v>-1185000</v>
      </c>
      <c r="E493" s="1411">
        <v>0</v>
      </c>
      <c r="F493" s="1412">
        <v>0</v>
      </c>
      <c r="G493" s="1409">
        <v>-85.800000000000011</v>
      </c>
      <c r="H493" s="1411">
        <v>0.54700000000000004</v>
      </c>
      <c r="I493" s="1411">
        <v>-1.8286999999999999E-3</v>
      </c>
      <c r="J493" s="1412">
        <v>-70.08</v>
      </c>
    </row>
    <row r="494" spans="2:10" x14ac:dyDescent="0.25">
      <c r="B494" s="1409" t="s">
        <v>683</v>
      </c>
      <c r="C494" s="1410">
        <v>2095</v>
      </c>
      <c r="D494" s="1409">
        <v>1721000</v>
      </c>
      <c r="E494" s="1411">
        <v>1293000</v>
      </c>
      <c r="F494" s="1412">
        <v>15050</v>
      </c>
      <c r="G494" s="1409">
        <v>125.08</v>
      </c>
      <c r="H494" s="1411">
        <v>0.20477100000000001</v>
      </c>
      <c r="I494" s="1411">
        <v>1.7827000000000001E-3</v>
      </c>
      <c r="J494" s="1412">
        <v>129.82</v>
      </c>
    </row>
    <row r="495" spans="2:10" x14ac:dyDescent="0.25">
      <c r="B495" s="1409" t="s">
        <v>698</v>
      </c>
      <c r="C495" s="1410">
        <v>2095</v>
      </c>
      <c r="D495" s="1409">
        <v>1721000</v>
      </c>
      <c r="E495" s="1411">
        <v>1293000</v>
      </c>
      <c r="F495" s="1412">
        <v>15050</v>
      </c>
      <c r="G495" s="1409">
        <v>125.08</v>
      </c>
      <c r="H495" s="1411">
        <v>0.20477100000000001</v>
      </c>
      <c r="I495" s="1411">
        <v>1.7827000000000001E-3</v>
      </c>
      <c r="J495" s="1412">
        <v>129.82</v>
      </c>
    </row>
    <row r="496" spans="2:10" x14ac:dyDescent="0.25">
      <c r="B496" s="1409" t="s">
        <v>684</v>
      </c>
      <c r="C496" s="1410">
        <v>2095</v>
      </c>
      <c r="D496" s="1409">
        <v>1721000</v>
      </c>
      <c r="E496" s="1411">
        <v>1293000</v>
      </c>
      <c r="F496" s="1412">
        <v>15050</v>
      </c>
      <c r="G496" s="1409">
        <v>125.08</v>
      </c>
      <c r="H496" s="1411">
        <v>0.20477100000000001</v>
      </c>
      <c r="I496" s="1411">
        <v>1.7827000000000001E-3</v>
      </c>
      <c r="J496" s="1412">
        <v>129.82</v>
      </c>
    </row>
    <row r="497" spans="2:10" x14ac:dyDescent="0.25">
      <c r="B497" s="1409" t="s">
        <v>1087</v>
      </c>
      <c r="C497" s="1410">
        <v>2095</v>
      </c>
      <c r="D497" s="1409">
        <v>1022000</v>
      </c>
      <c r="E497" s="1411">
        <v>1021000</v>
      </c>
      <c r="F497" s="1412">
        <v>15510</v>
      </c>
      <c r="G497" s="1409">
        <v>1.6964999999999999</v>
      </c>
      <c r="H497" s="1411">
        <v>0.14096238999999999</v>
      </c>
      <c r="I497" s="1411">
        <v>3.2765999999999998E-5</v>
      </c>
      <c r="J497" s="1412">
        <v>5.9536999999999995</v>
      </c>
    </row>
    <row r="498" spans="2:10" x14ac:dyDescent="0.25">
      <c r="B498" s="1409" t="s">
        <v>716</v>
      </c>
      <c r="C498" s="1410">
        <v>2095</v>
      </c>
      <c r="D498" s="1409">
        <v>1022000</v>
      </c>
      <c r="E498" s="1411">
        <v>1021000</v>
      </c>
      <c r="F498" s="1412">
        <v>15510</v>
      </c>
      <c r="G498" s="1409">
        <v>1.6964999999999999</v>
      </c>
      <c r="H498" s="1411">
        <v>0.14096238999999999</v>
      </c>
      <c r="I498" s="1411">
        <v>3.2765999999999998E-5</v>
      </c>
      <c r="J498" s="1412">
        <v>5.9536999999999995</v>
      </c>
    </row>
    <row r="499" spans="2:10" x14ac:dyDescent="0.25">
      <c r="B499" s="1409" t="s">
        <v>717</v>
      </c>
      <c r="C499" s="1410">
        <v>2095</v>
      </c>
      <c r="D499" s="1409">
        <v>1022000</v>
      </c>
      <c r="E499" s="1411">
        <v>1021000</v>
      </c>
      <c r="F499" s="1412">
        <v>15510</v>
      </c>
      <c r="G499" s="1409">
        <v>1.6964999999999999</v>
      </c>
      <c r="H499" s="1411">
        <v>0.14096238999999999</v>
      </c>
      <c r="I499" s="1411">
        <v>3.2765999999999998E-5</v>
      </c>
      <c r="J499" s="1412">
        <v>5.9536999999999995</v>
      </c>
    </row>
    <row r="500" spans="2:10" x14ac:dyDescent="0.25">
      <c r="B500" s="1409" t="s">
        <v>912</v>
      </c>
      <c r="C500" s="1410">
        <v>2095</v>
      </c>
      <c r="D500" s="1409">
        <v>1209000</v>
      </c>
      <c r="E500" s="1411">
        <v>1202000</v>
      </c>
      <c r="F500" s="1412">
        <v>1052000</v>
      </c>
      <c r="G500" s="1409">
        <v>17.969000000000001</v>
      </c>
      <c r="H500" s="1411">
        <v>0.164128</v>
      </c>
      <c r="I500" s="1411">
        <v>2.9025999999999998E-4</v>
      </c>
      <c r="J500" s="1412">
        <v>22.988</v>
      </c>
    </row>
    <row r="501" spans="2:10" x14ac:dyDescent="0.25">
      <c r="B501" s="1409" t="s">
        <v>910</v>
      </c>
      <c r="C501" s="1410">
        <v>2095</v>
      </c>
      <c r="D501" s="1409">
        <v>1585000</v>
      </c>
      <c r="E501" s="1411">
        <v>696300</v>
      </c>
      <c r="F501" s="1412">
        <v>286000</v>
      </c>
      <c r="G501" s="1409">
        <v>38.049999999999997</v>
      </c>
      <c r="H501" s="1411">
        <v>0.1118</v>
      </c>
      <c r="I501" s="1411">
        <v>2.5350000000000001E-2</v>
      </c>
      <c r="J501" s="1412">
        <v>45.19</v>
      </c>
    </row>
    <row r="502" spans="2:10" x14ac:dyDescent="0.25">
      <c r="B502" s="1409" t="s">
        <v>913</v>
      </c>
      <c r="C502" s="1410">
        <v>2095</v>
      </c>
      <c r="D502" s="1409">
        <v>1249000</v>
      </c>
      <c r="E502" s="1411">
        <v>1242000</v>
      </c>
      <c r="F502" s="1412">
        <v>1078000</v>
      </c>
      <c r="G502" s="1409">
        <v>23.84</v>
      </c>
      <c r="H502" s="1411">
        <v>0.16985799999999998</v>
      </c>
      <c r="I502" s="1411">
        <v>3.7813000000000001E-4</v>
      </c>
      <c r="J502" s="1412">
        <v>29.157000000000004</v>
      </c>
    </row>
    <row r="503" spans="2:10" x14ac:dyDescent="0.25">
      <c r="B503" s="1409" t="s">
        <v>1081</v>
      </c>
      <c r="C503" s="1410">
        <v>2095</v>
      </c>
      <c r="D503" s="1409">
        <v>1190000</v>
      </c>
      <c r="E503" s="1411">
        <v>51590</v>
      </c>
      <c r="F503" s="1412">
        <v>29220</v>
      </c>
      <c r="G503" s="1409">
        <v>3.7582</v>
      </c>
      <c r="H503" s="1411">
        <v>8.4366999999999984E-3</v>
      </c>
      <c r="I503" s="1411">
        <v>-3.8261190000000002E-3</v>
      </c>
      <c r="J503" s="1412">
        <v>3.0054000000000003</v>
      </c>
    </row>
    <row r="504" spans="2:10" x14ac:dyDescent="0.25">
      <c r="B504" s="1409" t="s">
        <v>815</v>
      </c>
      <c r="C504" s="1410">
        <v>2095</v>
      </c>
      <c r="D504" s="1409">
        <v>1190000</v>
      </c>
      <c r="E504" s="1411">
        <v>51590</v>
      </c>
      <c r="F504" s="1412">
        <v>29220</v>
      </c>
      <c r="G504" s="1409">
        <v>3.7582</v>
      </c>
      <c r="H504" s="1411">
        <v>8.4366999999999984E-3</v>
      </c>
      <c r="I504" s="1411">
        <v>-3.8261190000000002E-3</v>
      </c>
      <c r="J504" s="1412">
        <v>3.0054000000000003</v>
      </c>
    </row>
    <row r="505" spans="2:10" x14ac:dyDescent="0.25">
      <c r="B505" s="1409" t="s">
        <v>824</v>
      </c>
      <c r="C505" s="1410">
        <v>2095</v>
      </c>
      <c r="D505" s="1409">
        <v>1190000</v>
      </c>
      <c r="E505" s="1411">
        <v>51590</v>
      </c>
      <c r="F505" s="1412">
        <v>29220</v>
      </c>
      <c r="G505" s="1409">
        <v>3.7582</v>
      </c>
      <c r="H505" s="1411">
        <v>8.4366999999999984E-3</v>
      </c>
      <c r="I505" s="1411">
        <v>-3.8261190000000002E-3</v>
      </c>
      <c r="J505" s="1412">
        <v>3.0054000000000003</v>
      </c>
    </row>
    <row r="506" spans="2:10" ht="13" thickBot="1" x14ac:dyDescent="0.3">
      <c r="B506" s="1413" t="s">
        <v>1088</v>
      </c>
      <c r="C506" s="1414">
        <v>2095</v>
      </c>
      <c r="D506" s="1413">
        <v>1384000</v>
      </c>
      <c r="E506" s="1415">
        <v>1383000</v>
      </c>
      <c r="F506" s="1416">
        <v>5034</v>
      </c>
      <c r="G506" s="1413">
        <v>78.571100000000001</v>
      </c>
      <c r="H506" s="1415">
        <v>0.27494000000000002</v>
      </c>
      <c r="I506" s="1415">
        <v>2.3304000000000003E-3</v>
      </c>
      <c r="J506" s="1416">
        <v>87.594300000000004</v>
      </c>
    </row>
    <row r="507" spans="2:10" x14ac:dyDescent="0.25">
      <c r="B507" s="1405" t="s">
        <v>1085</v>
      </c>
      <c r="C507" s="1406">
        <v>2100</v>
      </c>
      <c r="D507" s="1405">
        <v>1092000</v>
      </c>
      <c r="E507" s="1407">
        <v>1092000</v>
      </c>
      <c r="F507" s="1408">
        <v>3971</v>
      </c>
      <c r="G507" s="1405">
        <v>5.7390999999999996</v>
      </c>
      <c r="H507" s="1407">
        <v>0.18462200000000001</v>
      </c>
      <c r="I507" s="1407">
        <v>8.61E-4</v>
      </c>
      <c r="J507" s="1408">
        <v>11.5648</v>
      </c>
    </row>
    <row r="508" spans="2:10" x14ac:dyDescent="0.25">
      <c r="B508" s="1409" t="s">
        <v>283</v>
      </c>
      <c r="C508" s="1410">
        <v>2100</v>
      </c>
      <c r="D508" s="1409">
        <v>1092000</v>
      </c>
      <c r="E508" s="1411">
        <v>1092000</v>
      </c>
      <c r="F508" s="1412">
        <v>3971</v>
      </c>
      <c r="G508" s="1409">
        <v>5.7390999999999996</v>
      </c>
      <c r="H508" s="1411">
        <v>0.18462200000000001</v>
      </c>
      <c r="I508" s="1411">
        <v>8.61E-4</v>
      </c>
      <c r="J508" s="1412">
        <v>11.5648</v>
      </c>
    </row>
    <row r="509" spans="2:10" x14ac:dyDescent="0.25">
      <c r="B509" s="1409" t="s">
        <v>1086</v>
      </c>
      <c r="C509" s="1410">
        <v>2100</v>
      </c>
      <c r="D509" s="1409">
        <v>1092000</v>
      </c>
      <c r="E509" s="1411">
        <v>1092000</v>
      </c>
      <c r="F509" s="1412">
        <v>3971</v>
      </c>
      <c r="G509" s="1409">
        <v>5.7390999999999996</v>
      </c>
      <c r="H509" s="1411">
        <v>0.18462200000000001</v>
      </c>
      <c r="I509" s="1411">
        <v>8.61E-4</v>
      </c>
      <c r="J509" s="1412">
        <v>11.5648</v>
      </c>
    </row>
    <row r="510" spans="2:10" x14ac:dyDescent="0.25">
      <c r="B510" s="1409" t="s">
        <v>681</v>
      </c>
      <c r="C510" s="1410">
        <v>2100</v>
      </c>
      <c r="D510" s="1409">
        <v>1092000</v>
      </c>
      <c r="E510" s="1411">
        <v>1092000</v>
      </c>
      <c r="F510" s="1412">
        <v>3971</v>
      </c>
      <c r="G510" s="1409">
        <v>5.7390999999999996</v>
      </c>
      <c r="H510" s="1411">
        <v>0.18462200000000001</v>
      </c>
      <c r="I510" s="1411">
        <v>8.61E-4</v>
      </c>
      <c r="J510" s="1412">
        <v>11.5648</v>
      </c>
    </row>
    <row r="511" spans="2:10" x14ac:dyDescent="0.25">
      <c r="B511" s="1409" t="s">
        <v>682</v>
      </c>
      <c r="C511" s="1410">
        <v>2100</v>
      </c>
      <c r="D511" s="1409">
        <v>-1185000</v>
      </c>
      <c r="E511" s="1411">
        <v>0</v>
      </c>
      <c r="F511" s="1412">
        <v>0</v>
      </c>
      <c r="G511" s="1409">
        <v>-85.800000000000011</v>
      </c>
      <c r="H511" s="1411">
        <v>0.54700000000000004</v>
      </c>
      <c r="I511" s="1411">
        <v>-1.8286999999999999E-3</v>
      </c>
      <c r="J511" s="1412">
        <v>-70.08</v>
      </c>
    </row>
    <row r="512" spans="2:10" x14ac:dyDescent="0.25">
      <c r="B512" s="1409" t="s">
        <v>683</v>
      </c>
      <c r="C512" s="1410">
        <v>2100</v>
      </c>
      <c r="D512" s="1409">
        <v>1721000</v>
      </c>
      <c r="E512" s="1411">
        <v>1293000</v>
      </c>
      <c r="F512" s="1412">
        <v>15050</v>
      </c>
      <c r="G512" s="1409">
        <v>125.08</v>
      </c>
      <c r="H512" s="1411">
        <v>0.20477100000000001</v>
      </c>
      <c r="I512" s="1411">
        <v>1.7827000000000001E-3</v>
      </c>
      <c r="J512" s="1412">
        <v>129.82</v>
      </c>
    </row>
    <row r="513" spans="2:10" x14ac:dyDescent="0.25">
      <c r="B513" s="1409" t="s">
        <v>698</v>
      </c>
      <c r="C513" s="1410">
        <v>2100</v>
      </c>
      <c r="D513" s="1409">
        <v>1721000</v>
      </c>
      <c r="E513" s="1411">
        <v>1293000</v>
      </c>
      <c r="F513" s="1412">
        <v>15050</v>
      </c>
      <c r="G513" s="1409">
        <v>125.08</v>
      </c>
      <c r="H513" s="1411">
        <v>0.20477100000000001</v>
      </c>
      <c r="I513" s="1411">
        <v>1.7827000000000001E-3</v>
      </c>
      <c r="J513" s="1412">
        <v>129.82</v>
      </c>
    </row>
    <row r="514" spans="2:10" x14ac:dyDescent="0.25">
      <c r="B514" s="1409" t="s">
        <v>684</v>
      </c>
      <c r="C514" s="1410">
        <v>2100</v>
      </c>
      <c r="D514" s="1409">
        <v>1721000</v>
      </c>
      <c r="E514" s="1411">
        <v>1293000</v>
      </c>
      <c r="F514" s="1412">
        <v>15050</v>
      </c>
      <c r="G514" s="1409">
        <v>125.08</v>
      </c>
      <c r="H514" s="1411">
        <v>0.20477100000000001</v>
      </c>
      <c r="I514" s="1411">
        <v>1.7827000000000001E-3</v>
      </c>
      <c r="J514" s="1412">
        <v>129.82</v>
      </c>
    </row>
    <row r="515" spans="2:10" x14ac:dyDescent="0.25">
      <c r="B515" s="1409" t="s">
        <v>1087</v>
      </c>
      <c r="C515" s="1410">
        <v>2100</v>
      </c>
      <c r="D515" s="1409">
        <v>1022000</v>
      </c>
      <c r="E515" s="1411">
        <v>1021000</v>
      </c>
      <c r="F515" s="1412">
        <v>15510</v>
      </c>
      <c r="G515" s="1409">
        <v>1.6964999999999999</v>
      </c>
      <c r="H515" s="1411">
        <v>0.14096238999999999</v>
      </c>
      <c r="I515" s="1411">
        <v>3.2765999999999998E-5</v>
      </c>
      <c r="J515" s="1412">
        <v>5.9536999999999995</v>
      </c>
    </row>
    <row r="516" spans="2:10" x14ac:dyDescent="0.25">
      <c r="B516" s="1409" t="s">
        <v>716</v>
      </c>
      <c r="C516" s="1410">
        <v>2100</v>
      </c>
      <c r="D516" s="1409">
        <v>1022000</v>
      </c>
      <c r="E516" s="1411">
        <v>1021000</v>
      </c>
      <c r="F516" s="1412">
        <v>15510</v>
      </c>
      <c r="G516" s="1409">
        <v>1.6964999999999999</v>
      </c>
      <c r="H516" s="1411">
        <v>0.14096238999999999</v>
      </c>
      <c r="I516" s="1411">
        <v>3.2765999999999998E-5</v>
      </c>
      <c r="J516" s="1412">
        <v>5.9536999999999995</v>
      </c>
    </row>
    <row r="517" spans="2:10" x14ac:dyDescent="0.25">
      <c r="B517" s="1409" t="s">
        <v>717</v>
      </c>
      <c r="C517" s="1410">
        <v>2100</v>
      </c>
      <c r="D517" s="1409">
        <v>1022000</v>
      </c>
      <c r="E517" s="1411">
        <v>1021000</v>
      </c>
      <c r="F517" s="1412">
        <v>15510</v>
      </c>
      <c r="G517" s="1409">
        <v>1.6964999999999999</v>
      </c>
      <c r="H517" s="1411">
        <v>0.14096238999999999</v>
      </c>
      <c r="I517" s="1411">
        <v>3.2765999999999998E-5</v>
      </c>
      <c r="J517" s="1412">
        <v>5.9536999999999995</v>
      </c>
    </row>
    <row r="518" spans="2:10" x14ac:dyDescent="0.25">
      <c r="B518" s="1409" t="s">
        <v>912</v>
      </c>
      <c r="C518" s="1410">
        <v>2100</v>
      </c>
      <c r="D518" s="1409">
        <v>1209000</v>
      </c>
      <c r="E518" s="1411">
        <v>1202000</v>
      </c>
      <c r="F518" s="1412">
        <v>1052000</v>
      </c>
      <c r="G518" s="1409">
        <v>17.969000000000001</v>
      </c>
      <c r="H518" s="1411">
        <v>0.164128</v>
      </c>
      <c r="I518" s="1411">
        <v>2.9025999999999998E-4</v>
      </c>
      <c r="J518" s="1412">
        <v>22.988</v>
      </c>
    </row>
    <row r="519" spans="2:10" x14ac:dyDescent="0.25">
      <c r="B519" s="1409" t="s">
        <v>910</v>
      </c>
      <c r="C519" s="1410">
        <v>2100</v>
      </c>
      <c r="D519" s="1409">
        <v>1585000</v>
      </c>
      <c r="E519" s="1411">
        <v>696300</v>
      </c>
      <c r="F519" s="1412">
        <v>286000</v>
      </c>
      <c r="G519" s="1409">
        <v>38.049999999999997</v>
      </c>
      <c r="H519" s="1411">
        <v>0.1118</v>
      </c>
      <c r="I519" s="1411">
        <v>2.5350000000000001E-2</v>
      </c>
      <c r="J519" s="1412">
        <v>45.19</v>
      </c>
    </row>
    <row r="520" spans="2:10" x14ac:dyDescent="0.25">
      <c r="B520" s="1409" t="s">
        <v>913</v>
      </c>
      <c r="C520" s="1410">
        <v>2100</v>
      </c>
      <c r="D520" s="1409">
        <v>1249000</v>
      </c>
      <c r="E520" s="1411">
        <v>1242000</v>
      </c>
      <c r="F520" s="1412">
        <v>1078000</v>
      </c>
      <c r="G520" s="1409">
        <v>23.84</v>
      </c>
      <c r="H520" s="1411">
        <v>0.16985799999999998</v>
      </c>
      <c r="I520" s="1411">
        <v>3.7813000000000001E-4</v>
      </c>
      <c r="J520" s="1412">
        <v>29.157000000000004</v>
      </c>
    </row>
    <row r="521" spans="2:10" x14ac:dyDescent="0.25">
      <c r="B521" s="1409" t="s">
        <v>1081</v>
      </c>
      <c r="C521" s="1410">
        <v>2100</v>
      </c>
      <c r="D521" s="1409">
        <v>1190000</v>
      </c>
      <c r="E521" s="1411">
        <v>51590</v>
      </c>
      <c r="F521" s="1412">
        <v>29220</v>
      </c>
      <c r="G521" s="1409">
        <v>3.7582</v>
      </c>
      <c r="H521" s="1411">
        <v>8.4366999999999984E-3</v>
      </c>
      <c r="I521" s="1411">
        <v>-3.8261190000000002E-3</v>
      </c>
      <c r="J521" s="1412">
        <v>3.0054000000000003</v>
      </c>
    </row>
    <row r="522" spans="2:10" x14ac:dyDescent="0.25">
      <c r="B522" s="1409" t="s">
        <v>815</v>
      </c>
      <c r="C522" s="1410">
        <v>2100</v>
      </c>
      <c r="D522" s="1409">
        <v>1190000</v>
      </c>
      <c r="E522" s="1411">
        <v>51590</v>
      </c>
      <c r="F522" s="1412">
        <v>29220</v>
      </c>
      <c r="G522" s="1409">
        <v>3.7582</v>
      </c>
      <c r="H522" s="1411">
        <v>8.4366999999999984E-3</v>
      </c>
      <c r="I522" s="1411">
        <v>-3.8261190000000002E-3</v>
      </c>
      <c r="J522" s="1412">
        <v>3.0054000000000003</v>
      </c>
    </row>
    <row r="523" spans="2:10" x14ac:dyDescent="0.25">
      <c r="B523" s="1409" t="s">
        <v>824</v>
      </c>
      <c r="C523" s="1410">
        <v>2100</v>
      </c>
      <c r="D523" s="1409">
        <v>1190000</v>
      </c>
      <c r="E523" s="1411">
        <v>51590</v>
      </c>
      <c r="F523" s="1412">
        <v>29220</v>
      </c>
      <c r="G523" s="1409">
        <v>3.7582</v>
      </c>
      <c r="H523" s="1411">
        <v>8.4366999999999984E-3</v>
      </c>
      <c r="I523" s="1411">
        <v>-3.8261190000000002E-3</v>
      </c>
      <c r="J523" s="1412">
        <v>3.0054000000000003</v>
      </c>
    </row>
    <row r="524" spans="2:10" ht="13" thickBot="1" x14ac:dyDescent="0.3">
      <c r="B524" s="1413" t="s">
        <v>1088</v>
      </c>
      <c r="C524" s="1414">
        <v>2100</v>
      </c>
      <c r="D524" s="1413">
        <v>1384000</v>
      </c>
      <c r="E524" s="1415">
        <v>1383000</v>
      </c>
      <c r="F524" s="1416">
        <v>5034</v>
      </c>
      <c r="G524" s="1413">
        <v>78.571100000000001</v>
      </c>
      <c r="H524" s="1415">
        <v>0.27494000000000002</v>
      </c>
      <c r="I524" s="1415">
        <v>2.3304000000000003E-3</v>
      </c>
      <c r="J524" s="1416">
        <v>87.594300000000004</v>
      </c>
    </row>
  </sheetData>
  <mergeCells count="23">
    <mergeCell ref="K92:L92"/>
    <mergeCell ref="A91:B91"/>
    <mergeCell ref="A58:K58"/>
    <mergeCell ref="A53:K53"/>
    <mergeCell ref="C134:E134"/>
    <mergeCell ref="F134:H134"/>
    <mergeCell ref="A54:K54"/>
    <mergeCell ref="G91:H91"/>
    <mergeCell ref="D92:E92"/>
    <mergeCell ref="A55:K55"/>
    <mergeCell ref="A61:K61"/>
    <mergeCell ref="A62:K62"/>
    <mergeCell ref="K91:L91"/>
    <mergeCell ref="A52:K52"/>
    <mergeCell ref="A51:K51"/>
    <mergeCell ref="D91:E91"/>
    <mergeCell ref="A59:K59"/>
    <mergeCell ref="A2:K2"/>
    <mergeCell ref="A3:K3"/>
    <mergeCell ref="C4:E4"/>
    <mergeCell ref="G4:I4"/>
    <mergeCell ref="A56:K56"/>
    <mergeCell ref="A57:K57"/>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zoomScale="70" zoomScaleNormal="70" workbookViewId="0">
      <selection activeCell="A11" sqref="A11:G57"/>
    </sheetView>
  </sheetViews>
  <sheetFormatPr defaultColWidth="9.1796875" defaultRowHeight="12.5" x14ac:dyDescent="0.25"/>
  <cols>
    <col min="1" max="1" width="19" style="38" customWidth="1"/>
    <col min="2" max="2" width="16" style="38" customWidth="1"/>
    <col min="3" max="3" width="17.1796875" style="38" customWidth="1"/>
    <col min="4" max="4" width="17.81640625" style="38" customWidth="1"/>
    <col min="5" max="5" width="14.1796875" style="38" customWidth="1"/>
    <col min="6" max="6" width="20.81640625" style="38" customWidth="1"/>
    <col min="7" max="7" width="22.453125" style="38" customWidth="1"/>
    <col min="8" max="16384" width="9.1796875" style="38"/>
  </cols>
  <sheetData>
    <row r="1" spans="1:12" ht="30.75" customHeight="1" x14ac:dyDescent="0.4">
      <c r="A1" s="37" t="s">
        <v>32</v>
      </c>
    </row>
    <row r="2" spans="1:12" ht="15" customHeight="1" x14ac:dyDescent="0.25">
      <c r="A2"/>
      <c r="B2"/>
      <c r="C2"/>
      <c r="D2"/>
      <c r="E2"/>
      <c r="G2" s="39"/>
      <c r="K2" s="40"/>
      <c r="L2" s="41"/>
    </row>
    <row r="3" spans="1:12" ht="15" customHeight="1" x14ac:dyDescent="0.25">
      <c r="A3"/>
      <c r="B3"/>
      <c r="C3"/>
      <c r="D3"/>
      <c r="E3"/>
      <c r="F3" s="44"/>
      <c r="G3" s="44"/>
      <c r="H3" s="39"/>
      <c r="K3" s="40"/>
      <c r="L3" s="41"/>
    </row>
    <row r="4" spans="1:12" ht="15" customHeight="1" x14ac:dyDescent="0.25">
      <c r="A4"/>
      <c r="B4"/>
      <c r="C4"/>
      <c r="D4"/>
      <c r="E4"/>
      <c r="F4" s="44"/>
      <c r="G4" s="44"/>
      <c r="H4" s="39"/>
      <c r="K4" s="40"/>
      <c r="L4" s="41"/>
    </row>
    <row r="5" spans="1:12" ht="15" customHeight="1" x14ac:dyDescent="0.25">
      <c r="A5"/>
      <c r="B5"/>
      <c r="C5"/>
      <c r="D5"/>
      <c r="E5"/>
      <c r="G5" s="39"/>
      <c r="K5" s="45"/>
      <c r="L5" s="41"/>
    </row>
    <row r="6" spans="1:12" ht="15" customHeight="1" x14ac:dyDescent="0.25">
      <c r="A6"/>
      <c r="B6"/>
      <c r="C6"/>
      <c r="D6"/>
      <c r="E6"/>
      <c r="G6" s="39"/>
      <c r="K6" s="45"/>
      <c r="L6" s="41"/>
    </row>
    <row r="7" spans="1:12" ht="15" customHeight="1" x14ac:dyDescent="0.25">
      <c r="A7"/>
      <c r="B7"/>
      <c r="C7"/>
      <c r="D7"/>
      <c r="E7"/>
      <c r="G7" s="39"/>
      <c r="K7" s="45"/>
      <c r="L7" s="41"/>
    </row>
    <row r="8" spans="1:12" x14ac:dyDescent="0.25">
      <c r="A8"/>
      <c r="B8"/>
      <c r="C8"/>
      <c r="D8"/>
      <c r="E8"/>
    </row>
    <row r="9" spans="1:12" x14ac:dyDescent="0.25">
      <c r="A9"/>
      <c r="B9"/>
      <c r="C9"/>
      <c r="D9"/>
      <c r="E9"/>
    </row>
    <row r="10" spans="1:12" ht="13" thickBot="1" x14ac:dyDescent="0.3"/>
    <row r="11" spans="1:12" s="53" customFormat="1" ht="24.75" customHeight="1" thickTop="1" thickBot="1" x14ac:dyDescent="0.4">
      <c r="A11" s="49" t="s">
        <v>39</v>
      </c>
      <c r="B11" s="50"/>
      <c r="C11" s="51"/>
      <c r="D11" s="51"/>
      <c r="E11" s="51"/>
      <c r="F11" s="51"/>
      <c r="G11" s="52"/>
    </row>
    <row r="12" spans="1:12" s="53" customFormat="1" ht="24.75" customHeight="1" thickTop="1" thickBot="1" x14ac:dyDescent="0.4">
      <c r="A12" s="1492"/>
      <c r="B12" s="1690"/>
      <c r="C12" s="1691"/>
      <c r="D12" s="1691"/>
      <c r="E12" s="1691"/>
      <c r="F12" s="1691"/>
      <c r="G12" s="1691"/>
    </row>
    <row r="13" spans="1:12" s="53" customFormat="1" ht="21" customHeight="1" thickTop="1" x14ac:dyDescent="0.3">
      <c r="A13" s="54" t="s">
        <v>40</v>
      </c>
      <c r="B13" s="55" t="s">
        <v>41</v>
      </c>
      <c r="C13" s="56" t="s">
        <v>42</v>
      </c>
      <c r="D13" s="56" t="s">
        <v>43</v>
      </c>
      <c r="E13" s="56" t="s">
        <v>44</v>
      </c>
      <c r="F13" s="56" t="s">
        <v>45</v>
      </c>
      <c r="G13" s="57" t="s">
        <v>46</v>
      </c>
    </row>
    <row r="14" spans="1:12" s="53" customFormat="1" ht="15" customHeight="1" x14ac:dyDescent="0.25">
      <c r="A14" s="1089">
        <f>'Cash Flow Analysis'!B65</f>
        <v>1</v>
      </c>
      <c r="B14" s="1494">
        <f>IF(B13="","",IF('Cash Flow Analysis'!$B$31=0,"N/A",IF(A14=1,1,IF(A13=debt_period,"",B13+1))))</f>
        <v>1</v>
      </c>
      <c r="C14" s="1092">
        <f ca="1">IF(OR(A14="",B14="",B14="N/A"),"",IF(B14=1,-'Cash Flow Analysis'!G65,IF(B14="N/A",0,G13)))</f>
        <v>379213330.16621304</v>
      </c>
      <c r="D14" s="1092">
        <f ca="1">IF(debt_period=0,
E14+F14,
IF(OR(A14="",B14="",B14="N/A"),"",IF(B14=1,((debt_interest*(1+debt_interest)^debt_period)/((1+debt_interest)^debt_period-1))*(-'Cash Flow Analysis'!G65),IF(G13=0,"",D13))))</f>
        <v>14030893.216149881</v>
      </c>
      <c r="E14" s="1092">
        <f t="shared" ref="E14:E57" ca="1" si="0">IF(OR(A14="",B14="",B14="N/A"),"",C14*debt_interest)</f>
        <v>14030893.216149881</v>
      </c>
      <c r="F14" s="1092">
        <f>IF(debt_period=0,
IF(B14=(anal_period+construct),0,0),
IF(OR(A14="",B14="",B14="N/A"),"",D14-E14))</f>
        <v>0</v>
      </c>
      <c r="G14" s="1495">
        <f t="shared" ref="G14:G57" ca="1" si="1">IF(OR(A14="",B14="",B14="N/A"),"",C14-F14)</f>
        <v>379213330.16621304</v>
      </c>
    </row>
    <row r="15" spans="1:12" s="53" customFormat="1" ht="15" customHeight="1" x14ac:dyDescent="0.25">
      <c r="A15" s="1089">
        <f>'Cash Flow Analysis'!B66</f>
        <v>2</v>
      </c>
      <c r="B15" s="1494">
        <f>IF(B14="","",IF('Cash Flow Analysis'!$B$31=0,"N/A",IF(A15=1,1,IF(A14=debt_period,"",B14+1))))</f>
        <v>2</v>
      </c>
      <c r="C15" s="1092">
        <f ca="1">IF(OR(A15="",B15="",B15="N/A"),"",IF(B15=1,-'Cash Flow Analysis'!G66,IF(B15="N/A",0,G14)))</f>
        <v>379213330.16621304</v>
      </c>
      <c r="D15" s="1092">
        <f ca="1">IF(debt_period=0,
E15+F15,
IF(OR(A15="",B15="",B15="N/A"),"",IF(B15=1,((debt_interest*(1+debt_interest)^debt_period)/((1+debt_interest)^debt_period-1))*(-'Cash Flow Analysis'!G66),IF(G14=0,"",D14))))</f>
        <v>14030893.216149881</v>
      </c>
      <c r="E15" s="1092">
        <f t="shared" ca="1" si="0"/>
        <v>14030893.216149881</v>
      </c>
      <c r="F15" s="1092">
        <f>IF(debt_period=0,
IF(B15=(anal_period+construct),C14,0),
IF(OR(A15="",B15="",B15="N/A"),"",D15-E15))</f>
        <v>0</v>
      </c>
      <c r="G15" s="1495">
        <f t="shared" ca="1" si="1"/>
        <v>379213330.16621304</v>
      </c>
    </row>
    <row r="16" spans="1:12" s="53" customFormat="1" ht="15" customHeight="1" x14ac:dyDescent="0.25">
      <c r="A16" s="1089">
        <f>'Cash Flow Analysis'!B67</f>
        <v>3</v>
      </c>
      <c r="B16" s="1494">
        <f>IF(B15="","",IF('Cash Flow Analysis'!$B$31=0,"N/A",IF(A16=1,1,IF(A15=debt_period,"",B15+1))))</f>
        <v>3</v>
      </c>
      <c r="C16" s="1092">
        <f ca="1">IF(OR(A16="",B16="",B16="N/A"),"",IF(B16=1,-'Cash Flow Analysis'!G67,IF(B16="N/A",0,G15)))</f>
        <v>379213330.16621304</v>
      </c>
      <c r="D16" s="1092">
        <f ca="1">IF(debt_period=0,
E16+F16,
IF(OR(A16="",B16="",B16="N/A"),"",IF(B16=1,((debt_interest*(1+debt_interest)^debt_period)/((1+debt_interest)^debt_period-1))*(-'Cash Flow Analysis'!G67),IF(G15=0,"",D15))))</f>
        <v>14030893.216149881</v>
      </c>
      <c r="E16" s="1092">
        <f t="shared" ca="1" si="0"/>
        <v>14030893.216149881</v>
      </c>
      <c r="F16" s="1092">
        <f t="shared" ref="F16:F57" si="2">IF(debt_period=0,
IF(B16=(anal_period+construct),C16,0),
IF(OR(A16="",B16="",B16="N/A"),"",D16-E16))</f>
        <v>0</v>
      </c>
      <c r="G16" s="1495">
        <f t="shared" ca="1" si="1"/>
        <v>379213330.16621304</v>
      </c>
    </row>
    <row r="17" spans="1:7" s="53" customFormat="1" ht="15" customHeight="1" x14ac:dyDescent="0.25">
      <c r="A17" s="1089">
        <f>'Cash Flow Analysis'!B68</f>
        <v>4</v>
      </c>
      <c r="B17" s="1494">
        <f>IF(B16="","",IF('Cash Flow Analysis'!$B$31=0,"N/A",IF(A17=1,1,IF(A16=debt_period,"",B16+1))))</f>
        <v>4</v>
      </c>
      <c r="C17" s="1092">
        <f ca="1">IF(OR(A17="",B17="",B17="N/A"),"",IF(B17=1,-'Cash Flow Analysis'!G68,IF(B17="N/A",0,G16)))</f>
        <v>379213330.16621304</v>
      </c>
      <c r="D17" s="1092">
        <f ca="1">IF(debt_period=0,
E17+F17,
IF(OR(A17="",B17="",B17="N/A"),"",IF(B17=1,((debt_interest*(1+debt_interest)^debt_period)/((1+debt_interest)^debt_period-1))*(-'Cash Flow Analysis'!G68),IF(G16=0,"",D16))))</f>
        <v>14030893.216149881</v>
      </c>
      <c r="E17" s="1092">
        <f t="shared" ca="1" si="0"/>
        <v>14030893.216149881</v>
      </c>
      <c r="F17" s="1092">
        <f t="shared" si="2"/>
        <v>0</v>
      </c>
      <c r="G17" s="1495">
        <f t="shared" ca="1" si="1"/>
        <v>379213330.16621304</v>
      </c>
    </row>
    <row r="18" spans="1:7" s="53" customFormat="1" ht="15" customHeight="1" x14ac:dyDescent="0.25">
      <c r="A18" s="1089">
        <f>'Cash Flow Analysis'!B69</f>
        <v>5</v>
      </c>
      <c r="B18" s="1494">
        <f>IF(B17="","",IF('Cash Flow Analysis'!$B$31=0,"N/A",IF(A18=1,1,IF(A17=debt_period,"",B17+1))))</f>
        <v>5</v>
      </c>
      <c r="C18" s="1092">
        <f ca="1">IF(OR(A18="",B18="",B18="N/A"),"",IF(B18=1,-'Cash Flow Analysis'!G69,IF(B18="N/A",0,G17)))</f>
        <v>379213330.16621304</v>
      </c>
      <c r="D18" s="1092">
        <f ca="1">IF(debt_period=0,
E18+F18,
IF(OR(A18="",B18="",B18="N/A"),"",IF(B18=1,((debt_interest*(1+debt_interest)^debt_period)/((1+debt_interest)^debt_period-1))*(-'Cash Flow Analysis'!G69),IF(G17=0,"",D17))))</f>
        <v>14030893.216149881</v>
      </c>
      <c r="E18" s="1092">
        <f t="shared" ca="1" si="0"/>
        <v>14030893.216149881</v>
      </c>
      <c r="F18" s="1092">
        <f t="shared" si="2"/>
        <v>0</v>
      </c>
      <c r="G18" s="1495">
        <f t="shared" ca="1" si="1"/>
        <v>379213330.16621304</v>
      </c>
    </row>
    <row r="19" spans="1:7" s="53" customFormat="1" ht="15" customHeight="1" x14ac:dyDescent="0.25">
      <c r="A19" s="1089">
        <f>'Cash Flow Analysis'!B70</f>
        <v>6</v>
      </c>
      <c r="B19" s="1494">
        <f>IF(B18="","",IF('Cash Flow Analysis'!$B$31=0,"N/A",IF(A19=1,1,IF(A18=debt_period,"",B18+1))))</f>
        <v>6</v>
      </c>
      <c r="C19" s="1092">
        <f ca="1">IF(OR(A19="",B19="",B19="N/A"),"",IF(B19=1,-'Cash Flow Analysis'!G70,IF(B19="N/A",0,G18)))</f>
        <v>379213330.16621304</v>
      </c>
      <c r="D19" s="1092">
        <f ca="1">IF(debt_period=0,
E19+F19,
IF(OR(A19="",B19="",B19="N/A"),"",IF(B19=1,((debt_interest*(1+debt_interest)^debt_period)/((1+debt_interest)^debt_period-1))*(-'Cash Flow Analysis'!G70),IF(G18=0,"",D18))))</f>
        <v>14030893.216149881</v>
      </c>
      <c r="E19" s="1092">
        <f t="shared" ca="1" si="0"/>
        <v>14030893.216149881</v>
      </c>
      <c r="F19" s="1092">
        <f t="shared" si="2"/>
        <v>0</v>
      </c>
      <c r="G19" s="1495">
        <f t="shared" ca="1" si="1"/>
        <v>379213330.16621304</v>
      </c>
    </row>
    <row r="20" spans="1:7" s="53" customFormat="1" ht="15" customHeight="1" x14ac:dyDescent="0.25">
      <c r="A20" s="1089">
        <f>'Cash Flow Analysis'!B71</f>
        <v>7</v>
      </c>
      <c r="B20" s="1494">
        <f>IF(B19="","",IF('Cash Flow Analysis'!$B$31=0,"N/A",IF(A20=1,1,IF(A19=debt_period,"",B19+1))))</f>
        <v>7</v>
      </c>
      <c r="C20" s="1092">
        <f ca="1">IF(OR(A20="",B20="",B20="N/A"),"",IF(B20=1,-'Cash Flow Analysis'!G71,IF(B20="N/A",0,G19)))</f>
        <v>379213330.16621304</v>
      </c>
      <c r="D20" s="1092">
        <f ca="1">IF(debt_period=0,
E20+F20,
IF(OR(A20="",B20="",B20="N/A"),"",IF(B20=1,((debt_interest*(1+debt_interest)^debt_period)/((1+debt_interest)^debt_period-1))*(-'Cash Flow Analysis'!G71),IF(G19=0,"",D19))))</f>
        <v>14030893.216149881</v>
      </c>
      <c r="E20" s="1092">
        <f t="shared" ca="1" si="0"/>
        <v>14030893.216149881</v>
      </c>
      <c r="F20" s="1092">
        <f t="shared" si="2"/>
        <v>0</v>
      </c>
      <c r="G20" s="1495">
        <f t="shared" ca="1" si="1"/>
        <v>379213330.16621304</v>
      </c>
    </row>
    <row r="21" spans="1:7" s="53" customFormat="1" ht="15" customHeight="1" x14ac:dyDescent="0.25">
      <c r="A21" s="1089">
        <f>'Cash Flow Analysis'!B72</f>
        <v>8</v>
      </c>
      <c r="B21" s="1494">
        <f>IF(B20="","",IF('Cash Flow Analysis'!$B$31=0,"N/A",IF(A21=1,1,IF(A20=debt_period,"",B20+1))))</f>
        <v>8</v>
      </c>
      <c r="C21" s="1092">
        <f ca="1">IF(OR(A21="",B21="",B21="N/A"),"",IF(B21=1,-'Cash Flow Analysis'!G72,IF(B21="N/A",0,G20)))</f>
        <v>379213330.16621304</v>
      </c>
      <c r="D21" s="1092">
        <f ca="1">IF(debt_period=0,
E21+F21,
IF(OR(A21="",B21="",B21="N/A"),"",IF(B21=1,((debt_interest*(1+debt_interest)^debt_period)/((1+debt_interest)^debt_period-1))*(-'Cash Flow Analysis'!G72),IF(G20=0,"",D20))))</f>
        <v>14030893.216149881</v>
      </c>
      <c r="E21" s="1092">
        <f t="shared" ca="1" si="0"/>
        <v>14030893.216149881</v>
      </c>
      <c r="F21" s="1092">
        <f t="shared" si="2"/>
        <v>0</v>
      </c>
      <c r="G21" s="1495">
        <f t="shared" ca="1" si="1"/>
        <v>379213330.16621304</v>
      </c>
    </row>
    <row r="22" spans="1:7" s="53" customFormat="1" ht="15" customHeight="1" x14ac:dyDescent="0.25">
      <c r="A22" s="1089">
        <f>'Cash Flow Analysis'!B73</f>
        <v>9</v>
      </c>
      <c r="B22" s="1494">
        <f>IF(B21="","",IF('Cash Flow Analysis'!$B$31=0,"N/A",IF(A22=1,1,IF(A21=debt_period,"",B21+1))))</f>
        <v>9</v>
      </c>
      <c r="C22" s="1092">
        <f ca="1">IF(OR(A22="",B22="",B22="N/A"),"",IF(B22=1,-'Cash Flow Analysis'!G73,IF(B22="N/A",0,G21)))</f>
        <v>379213330.16621304</v>
      </c>
      <c r="D22" s="1092">
        <f ca="1">IF(debt_period=0,
E22+F22,
IF(OR(A22="",B22="",B22="N/A"),"",IF(B22=1,((debt_interest*(1+debt_interest)^debt_period)/((1+debt_interest)^debt_period-1))*(-'Cash Flow Analysis'!G73),IF(G21=0,"",D21))))</f>
        <v>14030893.216149881</v>
      </c>
      <c r="E22" s="1092">
        <f t="shared" ca="1" si="0"/>
        <v>14030893.216149881</v>
      </c>
      <c r="F22" s="1092">
        <f t="shared" si="2"/>
        <v>0</v>
      </c>
      <c r="G22" s="1495">
        <f t="shared" ca="1" si="1"/>
        <v>379213330.16621304</v>
      </c>
    </row>
    <row r="23" spans="1:7" s="53" customFormat="1" ht="15" customHeight="1" x14ac:dyDescent="0.25">
      <c r="A23" s="1089">
        <f>'Cash Flow Analysis'!B74</f>
        <v>10</v>
      </c>
      <c r="B23" s="1494">
        <f>IF(B22="","",IF('Cash Flow Analysis'!$B$31=0,"N/A",IF(A23=1,1,IF(A22=debt_period,"",B22+1))))</f>
        <v>10</v>
      </c>
      <c r="C23" s="1092">
        <f ca="1">IF(OR(A23="",B23="",B23="N/A"),"",IF(B23=1,-'Cash Flow Analysis'!G74,IF(B23="N/A",0,G22)))</f>
        <v>379213330.16621304</v>
      </c>
      <c r="D23" s="1092">
        <f ca="1">IF(debt_period=0,
E23+F23,
IF(OR(A23="",B23="",B23="N/A"),"",IF(B23=1,((debt_interest*(1+debt_interest)^debt_period)/((1+debt_interest)^debt_period-1))*(-'Cash Flow Analysis'!G74),IF(G22=0,"",D22))))</f>
        <v>14030893.216149881</v>
      </c>
      <c r="E23" s="1092">
        <f t="shared" ca="1" si="0"/>
        <v>14030893.216149881</v>
      </c>
      <c r="F23" s="1092">
        <f t="shared" si="2"/>
        <v>0</v>
      </c>
      <c r="G23" s="1495">
        <f t="shared" ca="1" si="1"/>
        <v>379213330.16621304</v>
      </c>
    </row>
    <row r="24" spans="1:7" s="53" customFormat="1" ht="15" customHeight="1" x14ac:dyDescent="0.25">
      <c r="A24" s="1089">
        <f>'Cash Flow Analysis'!B75</f>
        <v>11</v>
      </c>
      <c r="B24" s="1494">
        <f>IF(B23="","",IF('Cash Flow Analysis'!$B$31=0,"N/A",IF(A24=1,1,IF(A23=debt_period,"",B23+1))))</f>
        <v>11</v>
      </c>
      <c r="C24" s="1092">
        <f ca="1">IF(OR(A24="",B24="",B24="N/A"),"",IF(B24=1,-'Cash Flow Analysis'!G75,IF(B24="N/A",0,G23)))</f>
        <v>379213330.16621304</v>
      </c>
      <c r="D24" s="1092">
        <f ca="1">IF(debt_period=0,
E24+F24,
IF(OR(A24="",B24="",B24="N/A"),"",IF(B24=1,((debt_interest*(1+debt_interest)^debt_period)/((1+debt_interest)^debt_period-1))*(-'Cash Flow Analysis'!G75),IF(G23=0,"",D23))))</f>
        <v>14030893.216149881</v>
      </c>
      <c r="E24" s="1092">
        <f t="shared" ca="1" si="0"/>
        <v>14030893.216149881</v>
      </c>
      <c r="F24" s="1092">
        <f t="shared" si="2"/>
        <v>0</v>
      </c>
      <c r="G24" s="1495">
        <f t="shared" ca="1" si="1"/>
        <v>379213330.16621304</v>
      </c>
    </row>
    <row r="25" spans="1:7" s="53" customFormat="1" ht="15" customHeight="1" x14ac:dyDescent="0.25">
      <c r="A25" s="1089">
        <f>'Cash Flow Analysis'!B76</f>
        <v>12</v>
      </c>
      <c r="B25" s="1494">
        <f>IF(B24="","",IF('Cash Flow Analysis'!$B$31=0,"N/A",IF(A25=1,1,IF(A24=debt_period,"",B24+1))))</f>
        <v>12</v>
      </c>
      <c r="C25" s="1092">
        <f ca="1">IF(OR(A25="",B25="",B25="N/A"),"",IF(B25=1,-'Cash Flow Analysis'!G76,IF(B25="N/A",0,G24)))</f>
        <v>379213330.16621304</v>
      </c>
      <c r="D25" s="1092">
        <f ca="1">IF(debt_period=0,
E25+F25,
IF(OR(A25="",B25="",B25="N/A"),"",IF(B25=1,((debt_interest*(1+debt_interest)^debt_period)/((1+debt_interest)^debt_period-1))*(-'Cash Flow Analysis'!G76),IF(G24=0,"",D24))))</f>
        <v>14030893.216149881</v>
      </c>
      <c r="E25" s="1092">
        <f t="shared" ca="1" si="0"/>
        <v>14030893.216149881</v>
      </c>
      <c r="F25" s="1092">
        <f t="shared" si="2"/>
        <v>0</v>
      </c>
      <c r="G25" s="1495">
        <f t="shared" ca="1" si="1"/>
        <v>379213330.16621304</v>
      </c>
    </row>
    <row r="26" spans="1:7" s="53" customFormat="1" ht="15" customHeight="1" x14ac:dyDescent="0.25">
      <c r="A26" s="1089">
        <f>'Cash Flow Analysis'!B77</f>
        <v>13</v>
      </c>
      <c r="B26" s="1494">
        <f>IF(B25="","",IF('Cash Flow Analysis'!$B$31=0,"N/A",IF(A26=1,1,IF(A25=debt_period,"",B25+1))))</f>
        <v>13</v>
      </c>
      <c r="C26" s="1092">
        <f ca="1">IF(OR(A26="",B26="",B26="N/A"),"",IF(B26=1,-'Cash Flow Analysis'!G77,IF(B26="N/A",0,G25)))</f>
        <v>379213330.16621304</v>
      </c>
      <c r="D26" s="1092">
        <f ca="1">IF(debt_period=0,
E26+F26,
IF(OR(A26="",B26="",B26="N/A"),"",IF(B26=1,((debt_interest*(1+debt_interest)^debt_period)/((1+debt_interest)^debt_period-1))*(-'Cash Flow Analysis'!G77),IF(G25=0,"",D25))))</f>
        <v>14030893.216149881</v>
      </c>
      <c r="E26" s="1092">
        <f t="shared" ca="1" si="0"/>
        <v>14030893.216149881</v>
      </c>
      <c r="F26" s="1092">
        <f t="shared" si="2"/>
        <v>0</v>
      </c>
      <c r="G26" s="1495">
        <f t="shared" ca="1" si="1"/>
        <v>379213330.16621304</v>
      </c>
    </row>
    <row r="27" spans="1:7" s="53" customFormat="1" ht="15" customHeight="1" x14ac:dyDescent="0.25">
      <c r="A27" s="1089">
        <f>'Cash Flow Analysis'!B78</f>
        <v>14</v>
      </c>
      <c r="B27" s="1494">
        <f>IF(B26="","",IF('Cash Flow Analysis'!$B$31=0,"N/A",IF(A27=1,1,IF(A26=debt_period,"",B26+1))))</f>
        <v>14</v>
      </c>
      <c r="C27" s="1092">
        <f ca="1">IF(OR(A27="",B27="",B27="N/A"),"",IF(B27=1,-'Cash Flow Analysis'!G78,IF(B27="N/A",0,G26)))</f>
        <v>379213330.16621304</v>
      </c>
      <c r="D27" s="1092">
        <f ca="1">IF(debt_period=0,
E27+F27,
IF(OR(A27="",B27="",B27="N/A"),"",IF(B27=1,((debt_interest*(1+debt_interest)^debt_period)/((1+debt_interest)^debt_period-1))*(-'Cash Flow Analysis'!G78),IF(G26=0,"",D26))))</f>
        <v>14030893.216149881</v>
      </c>
      <c r="E27" s="1092">
        <f t="shared" ca="1" si="0"/>
        <v>14030893.216149881</v>
      </c>
      <c r="F27" s="1092">
        <f t="shared" si="2"/>
        <v>0</v>
      </c>
      <c r="G27" s="1495">
        <f t="shared" ca="1" si="1"/>
        <v>379213330.16621304</v>
      </c>
    </row>
    <row r="28" spans="1:7" s="53" customFormat="1" ht="15" customHeight="1" x14ac:dyDescent="0.25">
      <c r="A28" s="1089">
        <f>'Cash Flow Analysis'!B79</f>
        <v>15</v>
      </c>
      <c r="B28" s="1494">
        <f>IF(B27="","",IF('Cash Flow Analysis'!$B$31=0,"N/A",IF(A28=1,1,IF(A27=debt_period,"",B27+1))))</f>
        <v>15</v>
      </c>
      <c r="C28" s="1092">
        <f ca="1">IF(OR(A28="",B28="",B28="N/A"),"",IF(B28=1,-'Cash Flow Analysis'!G79,IF(B28="N/A",0,G27)))</f>
        <v>379213330.16621304</v>
      </c>
      <c r="D28" s="1092">
        <f ca="1">IF(debt_period=0,
E28+F28,
IF(OR(A28="",B28="",B28="N/A"),"",IF(B28=1,((debt_interest*(1+debt_interest)^debt_period)/((1+debt_interest)^debt_period-1))*(-'Cash Flow Analysis'!G79),IF(G27=0,"",D27))))</f>
        <v>14030893.216149881</v>
      </c>
      <c r="E28" s="1092">
        <f t="shared" ca="1" si="0"/>
        <v>14030893.216149881</v>
      </c>
      <c r="F28" s="1092">
        <f t="shared" si="2"/>
        <v>0</v>
      </c>
      <c r="G28" s="1495">
        <f t="shared" ca="1" si="1"/>
        <v>379213330.16621304</v>
      </c>
    </row>
    <row r="29" spans="1:7" s="53" customFormat="1" ht="15" customHeight="1" x14ac:dyDescent="0.25">
      <c r="A29" s="1089">
        <f>'Cash Flow Analysis'!B80</f>
        <v>16</v>
      </c>
      <c r="B29" s="1494">
        <f>IF(B28="","",IF('Cash Flow Analysis'!$B$31=0,"N/A",IF(A29=1,1,IF(A28=debt_period,"",B28+1))))</f>
        <v>16</v>
      </c>
      <c r="C29" s="1092">
        <f ca="1">IF(OR(A29="",B29="",B29="N/A"),"",IF(B29=1,-'Cash Flow Analysis'!G80,IF(B29="N/A",0,G28)))</f>
        <v>379213330.16621304</v>
      </c>
      <c r="D29" s="1092">
        <f ca="1">IF(debt_period=0,
E29+F29,
IF(OR(A29="",B29="",B29="N/A"),"",IF(B29=1,((debt_interest*(1+debt_interest)^debt_period)/((1+debt_interest)^debt_period-1))*(-'Cash Flow Analysis'!G80),IF(G28=0,"",D28))))</f>
        <v>14030893.216149881</v>
      </c>
      <c r="E29" s="1092">
        <f t="shared" ca="1" si="0"/>
        <v>14030893.216149881</v>
      </c>
      <c r="F29" s="1092">
        <f t="shared" si="2"/>
        <v>0</v>
      </c>
      <c r="G29" s="1495">
        <f t="shared" ca="1" si="1"/>
        <v>379213330.16621304</v>
      </c>
    </row>
    <row r="30" spans="1:7" s="53" customFormat="1" ht="15" customHeight="1" x14ac:dyDescent="0.25">
      <c r="A30" s="1089">
        <f>'Cash Flow Analysis'!B81</f>
        <v>17</v>
      </c>
      <c r="B30" s="1494">
        <f>IF(B29="","",IF('Cash Flow Analysis'!$B$31=0,"N/A",IF(A30=1,1,IF(A29=debt_period,"",B29+1))))</f>
        <v>17</v>
      </c>
      <c r="C30" s="1092">
        <f ca="1">IF(OR(A30="",B30="",B30="N/A"),"",IF(B30=1,-'Cash Flow Analysis'!G81,IF(B30="N/A",0,G29)))</f>
        <v>379213330.16621304</v>
      </c>
      <c r="D30" s="1092">
        <f ca="1">IF(debt_period=0,
E30+F30,
IF(OR(A30="",B30="",B30="N/A"),"",IF(B30=1,((debt_interest*(1+debt_interest)^debt_period)/((1+debt_interest)^debt_period-1))*(-'Cash Flow Analysis'!G81),IF(G29=0,"",D29))))</f>
        <v>14030893.216149881</v>
      </c>
      <c r="E30" s="1092">
        <f t="shared" ca="1" si="0"/>
        <v>14030893.216149881</v>
      </c>
      <c r="F30" s="1092">
        <f t="shared" si="2"/>
        <v>0</v>
      </c>
      <c r="G30" s="1495">
        <f t="shared" ca="1" si="1"/>
        <v>379213330.16621304</v>
      </c>
    </row>
    <row r="31" spans="1:7" s="53" customFormat="1" ht="15" customHeight="1" x14ac:dyDescent="0.25">
      <c r="A31" s="1089">
        <f>'Cash Flow Analysis'!B82</f>
        <v>18</v>
      </c>
      <c r="B31" s="1494">
        <f>IF(B30="","",IF('Cash Flow Analysis'!$B$31=0,"N/A",IF(A31=1,1,IF(A30=debt_period,"",B30+1))))</f>
        <v>18</v>
      </c>
      <c r="C31" s="1092">
        <f ca="1">IF(OR(A31="",B31="",B31="N/A"),"",IF(B31=1,-'Cash Flow Analysis'!G82,IF(B31="N/A",0,G30)))</f>
        <v>379213330.16621304</v>
      </c>
      <c r="D31" s="1092">
        <f ca="1">IF(debt_period=0,
E31+F31,
IF(OR(A31="",B31="",B31="N/A"),"",IF(B31=1,((debt_interest*(1+debt_interest)^debt_period)/((1+debt_interest)^debt_period-1))*(-'Cash Flow Analysis'!G82),IF(G30=0,"",D30))))</f>
        <v>14030893.216149881</v>
      </c>
      <c r="E31" s="1092">
        <f t="shared" ca="1" si="0"/>
        <v>14030893.216149881</v>
      </c>
      <c r="F31" s="1092">
        <f t="shared" si="2"/>
        <v>0</v>
      </c>
      <c r="G31" s="1495">
        <f t="shared" ca="1" si="1"/>
        <v>379213330.16621304</v>
      </c>
    </row>
    <row r="32" spans="1:7" s="53" customFormat="1" ht="15" customHeight="1" x14ac:dyDescent="0.25">
      <c r="A32" s="1089">
        <f>'Cash Flow Analysis'!B83</f>
        <v>19</v>
      </c>
      <c r="B32" s="1494">
        <f>IF(B31="","",IF('Cash Flow Analysis'!$B$31=0,"N/A",IF(A32=1,1,IF(A31=debt_period,"",B31+1))))</f>
        <v>19</v>
      </c>
      <c r="C32" s="1092">
        <f ca="1">IF(OR(A32="",B32="",B32="N/A"),"",IF(B32=1,-'Cash Flow Analysis'!G83,IF(B32="N/A",0,G31)))</f>
        <v>379213330.16621304</v>
      </c>
      <c r="D32" s="1092">
        <f ca="1">IF(debt_period=0,
E32+F32,
IF(OR(A32="",B32="",B32="N/A"),"",IF(B32=1,((debt_interest*(1+debt_interest)^debt_period)/((1+debt_interest)^debt_period-1))*(-'Cash Flow Analysis'!G83),IF(G31=0,"",D31))))</f>
        <v>14030893.216149881</v>
      </c>
      <c r="E32" s="1092">
        <f t="shared" ca="1" si="0"/>
        <v>14030893.216149881</v>
      </c>
      <c r="F32" s="1092">
        <f t="shared" si="2"/>
        <v>0</v>
      </c>
      <c r="G32" s="1495">
        <f t="shared" ca="1" si="1"/>
        <v>379213330.16621304</v>
      </c>
    </row>
    <row r="33" spans="1:7" s="53" customFormat="1" ht="15" customHeight="1" x14ac:dyDescent="0.25">
      <c r="A33" s="1089">
        <f>'Cash Flow Analysis'!B84</f>
        <v>20</v>
      </c>
      <c r="B33" s="1494">
        <f>IF(B32="","",IF('Cash Flow Analysis'!$B$31=0,"N/A",IF(A33=1,1,IF(A32=debt_period,"",B32+1))))</f>
        <v>20</v>
      </c>
      <c r="C33" s="1092">
        <f ca="1">IF(OR(A33="",B33="",B33="N/A"),"",IF(B33=1,-'Cash Flow Analysis'!G84,IF(B33="N/A",0,G32)))</f>
        <v>379213330.16621304</v>
      </c>
      <c r="D33" s="1092">
        <f ca="1">IF(debt_period=0,
E33+F33,
IF(OR(A33="",B33="",B33="N/A"),"",IF(B33=1,((debt_interest*(1+debt_interest)^debt_period)/((1+debt_interest)^debt_period-1))*(-'Cash Flow Analysis'!G84),IF(G32=0,"",D32))))</f>
        <v>14030893.216149881</v>
      </c>
      <c r="E33" s="1092">
        <f t="shared" ca="1" si="0"/>
        <v>14030893.216149881</v>
      </c>
      <c r="F33" s="1092">
        <f t="shared" si="2"/>
        <v>0</v>
      </c>
      <c r="G33" s="1495">
        <f t="shared" ca="1" si="1"/>
        <v>379213330.16621304</v>
      </c>
    </row>
    <row r="34" spans="1:7" s="53" customFormat="1" ht="15" customHeight="1" x14ac:dyDescent="0.25">
      <c r="A34" s="1089">
        <f>'Cash Flow Analysis'!B85</f>
        <v>21</v>
      </c>
      <c r="B34" s="1494">
        <f>IF(B33="","",IF('Cash Flow Analysis'!$B$31=0,"N/A",IF(A34=1,1,IF(A33=debt_period,"",B33+1))))</f>
        <v>21</v>
      </c>
      <c r="C34" s="1092">
        <f ca="1">IF(OR(A34="",B34="",B34="N/A"),"",IF(B34=1,-'Cash Flow Analysis'!G85,IF(B34="N/A",0,G33)))</f>
        <v>379213330.16621304</v>
      </c>
      <c r="D34" s="1092">
        <f ca="1">IF(debt_period=0,
E34+F34,
IF(OR(A34="",B34="",B34="N/A"),"",IF(B34=1,((debt_interest*(1+debt_interest)^debt_period)/((1+debt_interest)^debt_period-1))*(-'Cash Flow Analysis'!G85),IF(G33=0,"",D33))))</f>
        <v>14030893.216149881</v>
      </c>
      <c r="E34" s="1092">
        <f t="shared" ca="1" si="0"/>
        <v>14030893.216149881</v>
      </c>
      <c r="F34" s="1092">
        <f t="shared" si="2"/>
        <v>0</v>
      </c>
      <c r="G34" s="1495">
        <f t="shared" ca="1" si="1"/>
        <v>379213330.16621304</v>
      </c>
    </row>
    <row r="35" spans="1:7" s="53" customFormat="1" ht="15" customHeight="1" x14ac:dyDescent="0.25">
      <c r="A35" s="1089">
        <f>'Cash Flow Analysis'!B86</f>
        <v>22</v>
      </c>
      <c r="B35" s="1494">
        <f>IF(B34="","",IF('Cash Flow Analysis'!$B$31=0,"N/A",IF(A35=1,1,IF(A34=debt_period,"",B34+1))))</f>
        <v>22</v>
      </c>
      <c r="C35" s="1092">
        <f ca="1">IF(OR(A35="",B35="",B35="N/A"),"",IF(B35=1,-'Cash Flow Analysis'!G86,IF(B35="N/A",0,G34)))</f>
        <v>379213330.16621304</v>
      </c>
      <c r="D35" s="1092">
        <f ca="1">IF(debt_period=0,
E35+F35,
IF(OR(A35="",B35="",B35="N/A"),"",IF(B35=1,((debt_interest*(1+debt_interest)^debt_period)/((1+debt_interest)^debt_period-1))*(-'Cash Flow Analysis'!G86),IF(G34=0,"",D34))))</f>
        <v>14030893.216149881</v>
      </c>
      <c r="E35" s="1092">
        <f t="shared" ca="1" si="0"/>
        <v>14030893.216149881</v>
      </c>
      <c r="F35" s="1092">
        <f t="shared" si="2"/>
        <v>0</v>
      </c>
      <c r="G35" s="1495">
        <f t="shared" ca="1" si="1"/>
        <v>379213330.16621304</v>
      </c>
    </row>
    <row r="36" spans="1:7" s="53" customFormat="1" ht="15" customHeight="1" x14ac:dyDescent="0.25">
      <c r="A36" s="1089">
        <f>'Cash Flow Analysis'!B87</f>
        <v>23</v>
      </c>
      <c r="B36" s="1494">
        <f>IF(B35="","",IF('Cash Flow Analysis'!$B$31=0,"N/A",IF(A36=1,1,IF(A35=debt_period,"",B35+1))))</f>
        <v>23</v>
      </c>
      <c r="C36" s="1092">
        <f ca="1">IF(OR(A36="",B36="",B36="N/A"),"",IF(B36=1,-'Cash Flow Analysis'!G87,IF(B36="N/A",0,G35)))</f>
        <v>379213330.16621304</v>
      </c>
      <c r="D36" s="1092">
        <f ca="1">IF(debt_period=0,
E36+F36,
IF(OR(A36="",B36="",B36="N/A"),"",IF(B36=1,((debt_interest*(1+debt_interest)^debt_period)/((1+debt_interest)^debt_period-1))*(-'Cash Flow Analysis'!G87),IF(G35=0,"",D35))))</f>
        <v>14030893.216149881</v>
      </c>
      <c r="E36" s="1092">
        <f t="shared" ca="1" si="0"/>
        <v>14030893.216149881</v>
      </c>
      <c r="F36" s="1092">
        <f t="shared" si="2"/>
        <v>0</v>
      </c>
      <c r="G36" s="1495">
        <f t="shared" ca="1" si="1"/>
        <v>379213330.16621304</v>
      </c>
    </row>
    <row r="37" spans="1:7" s="53" customFormat="1" ht="15" customHeight="1" x14ac:dyDescent="0.25">
      <c r="A37" s="1089">
        <f>'Cash Flow Analysis'!B88</f>
        <v>24</v>
      </c>
      <c r="B37" s="1494">
        <f>IF(B36="","",IF('Cash Flow Analysis'!$B$31=0,"N/A",IF(A37=1,1,IF(A36=debt_period,"",B36+1))))</f>
        <v>24</v>
      </c>
      <c r="C37" s="1092">
        <f ca="1">IF(OR(A37="",B37="",B37="N/A"),"",IF(B37=1,-'Cash Flow Analysis'!G88,IF(B37="N/A",0,G36)))</f>
        <v>379213330.16621304</v>
      </c>
      <c r="D37" s="1092">
        <f ca="1">IF(debt_period=0,
E37+F37,
IF(OR(A37="",B37="",B37="N/A"),"",IF(B37=1,((debt_interest*(1+debt_interest)^debt_period)/((1+debt_interest)^debt_period-1))*(-'Cash Flow Analysis'!G88),IF(G36=0,"",D36))))</f>
        <v>14030893.216149881</v>
      </c>
      <c r="E37" s="1092">
        <f t="shared" ca="1" si="0"/>
        <v>14030893.216149881</v>
      </c>
      <c r="F37" s="1092">
        <f t="shared" si="2"/>
        <v>0</v>
      </c>
      <c r="G37" s="1495">
        <f t="shared" ca="1" si="1"/>
        <v>379213330.16621304</v>
      </c>
    </row>
    <row r="38" spans="1:7" s="53" customFormat="1" ht="15" customHeight="1" x14ac:dyDescent="0.25">
      <c r="A38" s="1089">
        <f>'Cash Flow Analysis'!B89</f>
        <v>25</v>
      </c>
      <c r="B38" s="1494">
        <f>IF(B37="","",IF('Cash Flow Analysis'!$B$31=0,"N/A",IF(A38=1,1,IF(A37=debt_period,"",B37+1))))</f>
        <v>25</v>
      </c>
      <c r="C38" s="1092">
        <f ca="1">IF(OR(A38="",B38="",B38="N/A"),"",IF(B38=1,-'Cash Flow Analysis'!G89,IF(B38="N/A",0,G37)))</f>
        <v>379213330.16621304</v>
      </c>
      <c r="D38" s="1092">
        <f ca="1">IF(debt_period=0,
E38+F38,
IF(OR(A38="",B38="",B38="N/A"),"",IF(B38=1,((debt_interest*(1+debt_interest)^debt_period)/((1+debt_interest)^debt_period-1))*(-'Cash Flow Analysis'!G89),IF(G37=0,"",D37))))</f>
        <v>14030893.216149881</v>
      </c>
      <c r="E38" s="1092">
        <f t="shared" ca="1" si="0"/>
        <v>14030893.216149881</v>
      </c>
      <c r="F38" s="1092">
        <f t="shared" si="2"/>
        <v>0</v>
      </c>
      <c r="G38" s="1495">
        <f t="shared" ca="1" si="1"/>
        <v>379213330.16621304</v>
      </c>
    </row>
    <row r="39" spans="1:7" s="53" customFormat="1" ht="15" customHeight="1" x14ac:dyDescent="0.25">
      <c r="A39" s="1089">
        <f>'Cash Flow Analysis'!B90</f>
        <v>26</v>
      </c>
      <c r="B39" s="1494">
        <f>IF(B38="","",IF('Cash Flow Analysis'!$B$31=0,"N/A",IF(A39=1,1,IF(A38=debt_period,"",B38+1))))</f>
        <v>26</v>
      </c>
      <c r="C39" s="1092">
        <f ca="1">IF(OR(A39="",B39="",B39="N/A"),"",IF(B39=1,-'Cash Flow Analysis'!G90,IF(B39="N/A",0,G38)))</f>
        <v>379213330.16621304</v>
      </c>
      <c r="D39" s="1092">
        <f ca="1">IF(debt_period=0,
E39+F39,
IF(OR(A39="",B39="",B39="N/A"),"",IF(B39=1,((debt_interest*(1+debt_interest)^debt_period)/((1+debt_interest)^debt_period-1))*(-'Cash Flow Analysis'!G90),IF(G38=0,"",D38))))</f>
        <v>14030893.216149881</v>
      </c>
      <c r="E39" s="1092">
        <f t="shared" ca="1" si="0"/>
        <v>14030893.216149881</v>
      </c>
      <c r="F39" s="1092">
        <f t="shared" si="2"/>
        <v>0</v>
      </c>
      <c r="G39" s="1495">
        <f t="shared" ca="1" si="1"/>
        <v>379213330.16621304</v>
      </c>
    </row>
    <row r="40" spans="1:7" s="53" customFormat="1" ht="15" customHeight="1" x14ac:dyDescent="0.25">
      <c r="A40" s="1089">
        <f>'Cash Flow Analysis'!B91</f>
        <v>27</v>
      </c>
      <c r="B40" s="1494">
        <f>IF(B39="","",IF('Cash Flow Analysis'!$B$31=0,"N/A",IF(A40=1,1,IF(A39=debt_period,"",B39+1))))</f>
        <v>27</v>
      </c>
      <c r="C40" s="1092">
        <f ca="1">IF(OR(A40="",B40="",B40="N/A"),"",IF(B40=1,-'Cash Flow Analysis'!G91,IF(B40="N/A",0,G39)))</f>
        <v>379213330.16621304</v>
      </c>
      <c r="D40" s="1092">
        <f ca="1">IF(debt_period=0,
E40+F40,
IF(OR(A40="",B40="",B40="N/A"),"",IF(B40=1,((debt_interest*(1+debt_interest)^debt_period)/((1+debt_interest)^debt_period-1))*(-'Cash Flow Analysis'!G91),IF(G39=0,"",D39))))</f>
        <v>14030893.216149881</v>
      </c>
      <c r="E40" s="1092">
        <f t="shared" ca="1" si="0"/>
        <v>14030893.216149881</v>
      </c>
      <c r="F40" s="1092">
        <f t="shared" si="2"/>
        <v>0</v>
      </c>
      <c r="G40" s="1495">
        <f t="shared" ca="1" si="1"/>
        <v>379213330.16621304</v>
      </c>
    </row>
    <row r="41" spans="1:7" s="53" customFormat="1" ht="15" customHeight="1" x14ac:dyDescent="0.25">
      <c r="A41" s="1089">
        <f>'Cash Flow Analysis'!B92</f>
        <v>28</v>
      </c>
      <c r="B41" s="1494">
        <f>IF(B40="","",IF('Cash Flow Analysis'!$B$31=0,"N/A",IF(A41=1,1,IF(A40=debt_period,"",B40+1))))</f>
        <v>28</v>
      </c>
      <c r="C41" s="1092">
        <f ca="1">IF(OR(A41="",B41="",B41="N/A"),"",IF(B41=1,-'Cash Flow Analysis'!G92,IF(B41="N/A",0,G40)))</f>
        <v>379213330.16621304</v>
      </c>
      <c r="D41" s="1092">
        <f ca="1">IF(debt_period=0,
E41+F41,
IF(OR(A41="",B41="",B41="N/A"),"",IF(B41=1,((debt_interest*(1+debt_interest)^debt_period)/((1+debt_interest)^debt_period-1))*(-'Cash Flow Analysis'!G92),IF(G40=0,"",D40))))</f>
        <v>14030893.216149881</v>
      </c>
      <c r="E41" s="1092">
        <f t="shared" ca="1" si="0"/>
        <v>14030893.216149881</v>
      </c>
      <c r="F41" s="1092">
        <f t="shared" si="2"/>
        <v>0</v>
      </c>
      <c r="G41" s="1495">
        <f t="shared" ca="1" si="1"/>
        <v>379213330.16621304</v>
      </c>
    </row>
    <row r="42" spans="1:7" s="53" customFormat="1" ht="15" customHeight="1" x14ac:dyDescent="0.25">
      <c r="A42" s="1089">
        <f>'Cash Flow Analysis'!B93</f>
        <v>29</v>
      </c>
      <c r="B42" s="1494">
        <f>IF(B41="","",IF('Cash Flow Analysis'!$B$31=0,"N/A",IF(A42=1,1,IF(A41=debt_period,"",B41+1))))</f>
        <v>29</v>
      </c>
      <c r="C42" s="1092">
        <f ca="1">IF(OR(A42="",B42="",B42="N/A"),"",IF(B42=1,-'Cash Flow Analysis'!G93,IF(B42="N/A",0,G41)))</f>
        <v>379213330.16621304</v>
      </c>
      <c r="D42" s="1092">
        <f ca="1">IF(debt_period=0,
E42+F42,
IF(OR(A42="",B42="",B42="N/A"),"",IF(B42=1,((debt_interest*(1+debt_interest)^debt_period)/((1+debt_interest)^debt_period-1))*(-'Cash Flow Analysis'!G93),IF(G41=0,"",D41))))</f>
        <v>14030893.216149881</v>
      </c>
      <c r="E42" s="1092">
        <f t="shared" ca="1" si="0"/>
        <v>14030893.216149881</v>
      </c>
      <c r="F42" s="1092">
        <f t="shared" si="2"/>
        <v>0</v>
      </c>
      <c r="G42" s="1495">
        <f t="shared" ca="1" si="1"/>
        <v>379213330.16621304</v>
      </c>
    </row>
    <row r="43" spans="1:7" s="53" customFormat="1" ht="15" customHeight="1" x14ac:dyDescent="0.25">
      <c r="A43" s="1089">
        <f>'Cash Flow Analysis'!B94</f>
        <v>30</v>
      </c>
      <c r="B43" s="1494">
        <f>IF(B42="","",IF('Cash Flow Analysis'!$B$31=0,"N/A",IF(A43=1,1,IF(A42=debt_period,"",B42+1))))</f>
        <v>30</v>
      </c>
      <c r="C43" s="1092">
        <f ca="1">IF(OR(A43="",B43="",B43="N/A"),"",IF(B43=1,-'Cash Flow Analysis'!G94,IF(B43="N/A",0,G42)))</f>
        <v>379213330.16621304</v>
      </c>
      <c r="D43" s="1092">
        <f ca="1">IF(debt_period=0,
E43+F43,
IF(OR(A43="",B43="",B43="N/A"),"",IF(B43=1,((debt_interest*(1+debt_interest)^debt_period)/((1+debt_interest)^debt_period-1))*(-'Cash Flow Analysis'!G94),IF(G42=0,"",D42))))</f>
        <v>14030893.216149881</v>
      </c>
      <c r="E43" s="1092">
        <f t="shared" ca="1" si="0"/>
        <v>14030893.216149881</v>
      </c>
      <c r="F43" s="1092">
        <f t="shared" si="2"/>
        <v>0</v>
      </c>
      <c r="G43" s="1495">
        <f t="shared" ca="1" si="1"/>
        <v>379213330.16621304</v>
      </c>
    </row>
    <row r="44" spans="1:7" s="53" customFormat="1" ht="15" customHeight="1" x14ac:dyDescent="0.25">
      <c r="A44" s="1089">
        <f>'Cash Flow Analysis'!B95</f>
        <v>31</v>
      </c>
      <c r="B44" s="1494">
        <f>IF(B43="","",IF('Cash Flow Analysis'!$B$31=0,"N/A",IF(A44=1,1,IF(A43=debt_period,"",B43+1))))</f>
        <v>31</v>
      </c>
      <c r="C44" s="1092">
        <f ca="1">IF(OR(A44="",B44="",B44="N/A"),"",IF(B44=1,-'Cash Flow Analysis'!G95,IF(B44="N/A",0,G43)))</f>
        <v>379213330.16621304</v>
      </c>
      <c r="D44" s="1092">
        <f ca="1">IF(debt_period=0,
E44+F44,
IF(OR(A44="",B44="",B44="N/A"),"",IF(B44=1,((debt_interest*(1+debt_interest)^debt_period)/((1+debt_interest)^debt_period-1))*(-'Cash Flow Analysis'!G95),IF(G43=0,"",D43))))</f>
        <v>14030893.216149881</v>
      </c>
      <c r="E44" s="1092">
        <f t="shared" ca="1" si="0"/>
        <v>14030893.216149881</v>
      </c>
      <c r="F44" s="1092">
        <f t="shared" si="2"/>
        <v>0</v>
      </c>
      <c r="G44" s="1495">
        <f t="shared" ca="1" si="1"/>
        <v>379213330.16621304</v>
      </c>
    </row>
    <row r="45" spans="1:7" s="53" customFormat="1" ht="15" customHeight="1" x14ac:dyDescent="0.25">
      <c r="A45" s="1089">
        <f>'Cash Flow Analysis'!B96</f>
        <v>32</v>
      </c>
      <c r="B45" s="1494">
        <f>IF(B44="","",IF('Cash Flow Analysis'!$B$31=0,"N/A",IF(A45=1,1,IF(A44=debt_period,"",B44+1))))</f>
        <v>32</v>
      </c>
      <c r="C45" s="1092">
        <f ca="1">IF(OR(A45="",B45="",B45="N/A"),"",IF(B45=1,-'Cash Flow Analysis'!G96,IF(B45="N/A",0,G44)))</f>
        <v>379213330.16621304</v>
      </c>
      <c r="D45" s="1092">
        <f ca="1">IF(debt_period=0,
E45+F45,
IF(OR(A45="",B45="",B45="N/A"),"",IF(B45=1,((debt_interest*(1+debt_interest)^debt_period)/((1+debt_interest)^debt_period-1))*(-'Cash Flow Analysis'!G96),IF(G44=0,"",D44))))</f>
        <v>14030893.216149881</v>
      </c>
      <c r="E45" s="1092">
        <f t="shared" ca="1" si="0"/>
        <v>14030893.216149881</v>
      </c>
      <c r="F45" s="1092">
        <f t="shared" si="2"/>
        <v>0</v>
      </c>
      <c r="G45" s="1495">
        <f t="shared" ca="1" si="1"/>
        <v>379213330.16621304</v>
      </c>
    </row>
    <row r="46" spans="1:7" s="53" customFormat="1" ht="15" customHeight="1" x14ac:dyDescent="0.25">
      <c r="A46" s="1089">
        <f>'Cash Flow Analysis'!B97</f>
        <v>33</v>
      </c>
      <c r="B46" s="1494">
        <f>IF(B45="","",IF('Cash Flow Analysis'!$B$31=0,"N/A",IF(A46=1,1,IF(A45=debt_period,"",B45+1))))</f>
        <v>33</v>
      </c>
      <c r="C46" s="1092">
        <f ca="1">IF(OR(A46="",B46="",B46="N/A"),"",IF(B46=1,-'Cash Flow Analysis'!G97,IF(B46="N/A",0,G45)))</f>
        <v>379213330.16621304</v>
      </c>
      <c r="D46" s="1092">
        <f ca="1">IF(debt_period=0,
E46+F46,
IF(OR(A46="",B46="",B46="N/A"),"",IF(B46=1,((debt_interest*(1+debt_interest)^debt_period)/((1+debt_interest)^debt_period-1))*(-'Cash Flow Analysis'!G97),IF(G45=0,"",D45))))</f>
        <v>14030893.216149881</v>
      </c>
      <c r="E46" s="1092">
        <f t="shared" ca="1" si="0"/>
        <v>14030893.216149881</v>
      </c>
      <c r="F46" s="1092">
        <f t="shared" si="2"/>
        <v>0</v>
      </c>
      <c r="G46" s="1495">
        <f t="shared" ca="1" si="1"/>
        <v>379213330.16621304</v>
      </c>
    </row>
    <row r="47" spans="1:7" s="53" customFormat="1" ht="15" customHeight="1" x14ac:dyDescent="0.25">
      <c r="A47" s="1089">
        <f>'Cash Flow Analysis'!B98</f>
        <v>34</v>
      </c>
      <c r="B47" s="1494">
        <f>IF(B46="","",IF('Cash Flow Analysis'!$B$31=0,"N/A",IF(A47=1,1,IF(A46=debt_period,"",B46+1))))</f>
        <v>34</v>
      </c>
      <c r="C47" s="1092">
        <f ca="1">IF(OR(A47="",B47="",B47="N/A"),"",IF(B47=1,-'Cash Flow Analysis'!G98,IF(B47="N/A",0,G46)))</f>
        <v>379213330.16621304</v>
      </c>
      <c r="D47" s="1092">
        <f ca="1">IF(debt_period=0,
E47+F47,
IF(OR(A47="",B47="",B47="N/A"),"",IF(B47=1,((debt_interest*(1+debt_interest)^debt_period)/((1+debt_interest)^debt_period-1))*(-'Cash Flow Analysis'!G98),IF(G46=0,"",D46))))</f>
        <v>14030893.216149881</v>
      </c>
      <c r="E47" s="1092">
        <f t="shared" ca="1" si="0"/>
        <v>14030893.216149881</v>
      </c>
      <c r="F47" s="1092">
        <f t="shared" si="2"/>
        <v>0</v>
      </c>
      <c r="G47" s="1495">
        <f t="shared" ca="1" si="1"/>
        <v>379213330.16621304</v>
      </c>
    </row>
    <row r="48" spans="1:7" s="53" customFormat="1" ht="15" customHeight="1" x14ac:dyDescent="0.25">
      <c r="A48" s="1089">
        <f>'Cash Flow Analysis'!B99</f>
        <v>35</v>
      </c>
      <c r="B48" s="1494">
        <f>IF(B47="","",IF('Cash Flow Analysis'!$B$31=0,"N/A",IF(A48=1,1,IF(A47=debt_period,"",B47+1))))</f>
        <v>35</v>
      </c>
      <c r="C48" s="1092">
        <f ca="1">IF(OR(A48="",B48="",B48="N/A"),"",IF(B48=1,-'Cash Flow Analysis'!G99,IF(B48="N/A",0,G47)))</f>
        <v>379213330.16621304</v>
      </c>
      <c r="D48" s="1092">
        <f ca="1">IF(debt_period=0,
E48+F48,
IF(OR(A48="",B48="",B48="N/A"),"",IF(B48=1,((debt_interest*(1+debt_interest)^debt_period)/((1+debt_interest)^debt_period-1))*(-'Cash Flow Analysis'!G99),IF(G47=0,"",D47))))</f>
        <v>14030893.216149881</v>
      </c>
      <c r="E48" s="1092">
        <f t="shared" ca="1" si="0"/>
        <v>14030893.216149881</v>
      </c>
      <c r="F48" s="1092">
        <f t="shared" si="2"/>
        <v>0</v>
      </c>
      <c r="G48" s="1495">
        <f t="shared" ca="1" si="1"/>
        <v>379213330.16621304</v>
      </c>
    </row>
    <row r="49" spans="1:7" s="53" customFormat="1" ht="15" customHeight="1" x14ac:dyDescent="0.25">
      <c r="A49" s="1089">
        <f>'Cash Flow Analysis'!B100</f>
        <v>36</v>
      </c>
      <c r="B49" s="1494">
        <f>IF(B48="","",IF('Cash Flow Analysis'!$B$31=0,"N/A",IF(A49=1,1,IF(A48=debt_period,"",B48+1))))</f>
        <v>36</v>
      </c>
      <c r="C49" s="1092">
        <f ca="1">IF(OR(A49="",B49="",B49="N/A"),"",IF(B49=1,-'Cash Flow Analysis'!G100,IF(B49="N/A",0,G48)))</f>
        <v>379213330.16621304</v>
      </c>
      <c r="D49" s="1092">
        <f ca="1">IF(debt_period=0,
E49+F49,
IF(OR(A49="",B49="",B49="N/A"),"",IF(B49=1,((debt_interest*(1+debt_interest)^debt_period)/((1+debt_interest)^debt_period-1))*(-'Cash Flow Analysis'!G100),IF(G48=0,"",D48))))</f>
        <v>14030893.216149881</v>
      </c>
      <c r="E49" s="1092">
        <f t="shared" ca="1" si="0"/>
        <v>14030893.216149881</v>
      </c>
      <c r="F49" s="1092">
        <f t="shared" si="2"/>
        <v>0</v>
      </c>
      <c r="G49" s="1495">
        <f t="shared" ca="1" si="1"/>
        <v>379213330.16621304</v>
      </c>
    </row>
    <row r="50" spans="1:7" s="53" customFormat="1" ht="15" customHeight="1" x14ac:dyDescent="0.25">
      <c r="A50" s="1089">
        <f>'Cash Flow Analysis'!B101</f>
        <v>37</v>
      </c>
      <c r="B50" s="1494">
        <f>IF(B49="","",IF('Cash Flow Analysis'!$B$31=0,"N/A",IF(A50=1,1,IF(A49=debt_period,"",B49+1))))</f>
        <v>37</v>
      </c>
      <c r="C50" s="1092">
        <f ca="1">IF(OR(A50="",B50="",B50="N/A"),"",IF(B50=1,-'Cash Flow Analysis'!G101,IF(B50="N/A",0,G49)))</f>
        <v>379213330.16621304</v>
      </c>
      <c r="D50" s="1092">
        <f ca="1">IF(debt_period=0,
E50+F50,
IF(OR(A50="",B50="",B50="N/A"),"",IF(B50=1,((debt_interest*(1+debt_interest)^debt_period)/((1+debt_interest)^debt_period-1))*(-'Cash Flow Analysis'!G101),IF(G49=0,"",D49))))</f>
        <v>14030893.216149881</v>
      </c>
      <c r="E50" s="1092">
        <f t="shared" ca="1" si="0"/>
        <v>14030893.216149881</v>
      </c>
      <c r="F50" s="1092">
        <f t="shared" si="2"/>
        <v>0</v>
      </c>
      <c r="G50" s="1495">
        <f t="shared" ca="1" si="1"/>
        <v>379213330.16621304</v>
      </c>
    </row>
    <row r="51" spans="1:7" s="53" customFormat="1" ht="15" customHeight="1" x14ac:dyDescent="0.25">
      <c r="A51" s="1089">
        <f>'Cash Flow Analysis'!B102</f>
        <v>38</v>
      </c>
      <c r="B51" s="1494">
        <f>IF(B50="","",IF('Cash Flow Analysis'!$B$31=0,"N/A",IF(A51=1,1,IF(A50=debt_period,"",B50+1))))</f>
        <v>38</v>
      </c>
      <c r="C51" s="1092">
        <f ca="1">IF(OR(A51="",B51="",B51="N/A"),"",IF(B51=1,-'Cash Flow Analysis'!G102,IF(B51="N/A",0,G50)))</f>
        <v>379213330.16621304</v>
      </c>
      <c r="D51" s="1092">
        <f ca="1">IF(debt_period=0,
E51+F51,
IF(OR(A51="",B51="",B51="N/A"),"",IF(B51=1,((debt_interest*(1+debt_interest)^debt_period)/((1+debt_interest)^debt_period-1))*(-'Cash Flow Analysis'!G102),IF(G50=0,"",D50))))</f>
        <v>14030893.216149881</v>
      </c>
      <c r="E51" s="1092">
        <f t="shared" ca="1" si="0"/>
        <v>14030893.216149881</v>
      </c>
      <c r="F51" s="1092">
        <f t="shared" si="2"/>
        <v>0</v>
      </c>
      <c r="G51" s="1495">
        <f t="shared" ca="1" si="1"/>
        <v>379213330.16621304</v>
      </c>
    </row>
    <row r="52" spans="1:7" s="53" customFormat="1" ht="15" customHeight="1" x14ac:dyDescent="0.25">
      <c r="A52" s="1089">
        <f>'Cash Flow Analysis'!B103</f>
        <v>39</v>
      </c>
      <c r="B52" s="1494">
        <f>IF(B51="","",IF('Cash Flow Analysis'!$B$31=0,"N/A",IF(A52=1,1,IF(A51=debt_period,"",B51+1))))</f>
        <v>39</v>
      </c>
      <c r="C52" s="1092">
        <f ca="1">IF(OR(A52="",B52="",B52="N/A"),"",IF(B52=1,-'Cash Flow Analysis'!G103,IF(B52="N/A",0,G51)))</f>
        <v>379213330.16621304</v>
      </c>
      <c r="D52" s="1092">
        <f ca="1">IF(debt_period=0,
E52+F52,
IF(OR(A52="",B52="",B52="N/A"),"",IF(B52=1,((debt_interest*(1+debt_interest)^debt_period)/((1+debt_interest)^debt_period-1))*(-'Cash Flow Analysis'!G103),IF(G51=0,"",D51))))</f>
        <v>14030893.216149881</v>
      </c>
      <c r="E52" s="1092">
        <f t="shared" ca="1" si="0"/>
        <v>14030893.216149881</v>
      </c>
      <c r="F52" s="1092">
        <f t="shared" si="2"/>
        <v>0</v>
      </c>
      <c r="G52" s="1495">
        <f t="shared" ca="1" si="1"/>
        <v>379213330.16621304</v>
      </c>
    </row>
    <row r="53" spans="1:7" s="53" customFormat="1" ht="15" customHeight="1" x14ac:dyDescent="0.25">
      <c r="A53" s="1089">
        <f>'Cash Flow Analysis'!B104</f>
        <v>40</v>
      </c>
      <c r="B53" s="1494">
        <f>IF(B52="","",IF('Cash Flow Analysis'!$B$31=0,"N/A",IF(A53=1,1,IF(A52=debt_period,"",B52+1))))</f>
        <v>40</v>
      </c>
      <c r="C53" s="1092">
        <f ca="1">IF(OR(A53="",B53="",B53="N/A"),"",IF(B53=1,-'Cash Flow Analysis'!G104,IF(B53="N/A",0,G52)))</f>
        <v>379213330.16621304</v>
      </c>
      <c r="D53" s="1092">
        <f ca="1">IF(debt_period=0,
E53+F53,
IF(OR(A53="",B53="",B53="N/A"),"",IF(B53=1,((debt_interest*(1+debt_interest)^debt_period)/((1+debt_interest)^debt_period-1))*(-'Cash Flow Analysis'!G104),IF(G52=0,"",D52))))</f>
        <v>14030893.216149881</v>
      </c>
      <c r="E53" s="1092">
        <f t="shared" ca="1" si="0"/>
        <v>14030893.216149881</v>
      </c>
      <c r="F53" s="1092">
        <f t="shared" si="2"/>
        <v>0</v>
      </c>
      <c r="G53" s="1495">
        <f t="shared" ca="1" si="1"/>
        <v>379213330.16621304</v>
      </c>
    </row>
    <row r="54" spans="1:7" s="53" customFormat="1" ht="15" customHeight="1" x14ac:dyDescent="0.25">
      <c r="A54" s="1089">
        <f>'Cash Flow Analysis'!B105</f>
        <v>41</v>
      </c>
      <c r="B54" s="1494">
        <f>IF(B53="","",IF('Cash Flow Analysis'!$B$31=0,"N/A",IF(A54=1,1,IF(A53=debt_period,"",B53+1))))</f>
        <v>41</v>
      </c>
      <c r="C54" s="1092">
        <f ca="1">IF(OR(A54="",B54="",B54="N/A"),"",IF(B54=1,-'Cash Flow Analysis'!G105,IF(B54="N/A",0,G53)))</f>
        <v>379213330.16621304</v>
      </c>
      <c r="D54" s="1092">
        <f ca="1">IF(debt_period=0,
E54+F54,
IF(OR(A54="",B54="",B54="N/A"),"",IF(B54=1,((debt_interest*(1+debt_interest)^debt_period)/((1+debt_interest)^debt_period-1))*(-'Cash Flow Analysis'!G105),IF(G53=0,"",D53))))</f>
        <v>14030893.216149881</v>
      </c>
      <c r="E54" s="1092">
        <f t="shared" ca="1" si="0"/>
        <v>14030893.216149881</v>
      </c>
      <c r="F54" s="1092">
        <f t="shared" si="2"/>
        <v>0</v>
      </c>
      <c r="G54" s="1495">
        <f t="shared" ca="1" si="1"/>
        <v>379213330.16621304</v>
      </c>
    </row>
    <row r="55" spans="1:7" s="53" customFormat="1" ht="15" customHeight="1" x14ac:dyDescent="0.25">
      <c r="A55" s="1089">
        <f>'Cash Flow Analysis'!B106</f>
        <v>42</v>
      </c>
      <c r="B55" s="1494">
        <f>IF(B54="","",IF('Cash Flow Analysis'!$B$31=0,"N/A",IF(A55=1,1,IF(A54=debt_period,"",B54+1))))</f>
        <v>42</v>
      </c>
      <c r="C55" s="1092">
        <f ca="1">IF(OR(A55="",B55="",B55="N/A"),"",IF(B55=1,-'Cash Flow Analysis'!G106,IF(B55="N/A",0,G54)))</f>
        <v>379213330.16621304</v>
      </c>
      <c r="D55" s="1092">
        <f ca="1">IF(debt_period=0,
E55+F55,
IF(OR(A55="",B55="",B55="N/A"),"",IF(B55=1,((debt_interest*(1+debt_interest)^debt_period)/((1+debt_interest)^debt_period-1))*(-'Cash Flow Analysis'!G106),IF(G54=0,"",D54))))</f>
        <v>14030893.216149881</v>
      </c>
      <c r="E55" s="1092">
        <f t="shared" ca="1" si="0"/>
        <v>14030893.216149881</v>
      </c>
      <c r="F55" s="1092">
        <f t="shared" si="2"/>
        <v>0</v>
      </c>
      <c r="G55" s="1495">
        <f t="shared" ca="1" si="1"/>
        <v>379213330.16621304</v>
      </c>
    </row>
    <row r="56" spans="1:7" s="53" customFormat="1" ht="15" customHeight="1" x14ac:dyDescent="0.25">
      <c r="A56" s="1089">
        <f>'Cash Flow Analysis'!B107</f>
        <v>43</v>
      </c>
      <c r="B56" s="1494">
        <f>IF(B55="","",IF('Cash Flow Analysis'!$B$31=0,"N/A",IF(A56=1,1,IF(A55=debt_period,"",B55+1))))</f>
        <v>43</v>
      </c>
      <c r="C56" s="1092">
        <f ca="1">IF(OR(A56="",B56="",B56="N/A"),"",IF(B56=1,-'Cash Flow Analysis'!G107,IF(B56="N/A",0,G55)))</f>
        <v>379213330.16621304</v>
      </c>
      <c r="D56" s="1092">
        <f ca="1">IF(debt_period=0,
E56+F56,
IF(OR(A56="",B56="",B56="N/A"),"",IF(B56=1,((debt_interest*(1+debt_interest)^debt_period)/((1+debt_interest)^debt_period-1))*(-'Cash Flow Analysis'!G107),IF(G55=0,"",D55))))</f>
        <v>393244223.3823629</v>
      </c>
      <c r="E56" s="1092">
        <f t="shared" ca="1" si="0"/>
        <v>14030893.216149881</v>
      </c>
      <c r="F56" s="1092">
        <f t="shared" ca="1" si="2"/>
        <v>379213330.16621304</v>
      </c>
      <c r="G56" s="1495">
        <f t="shared" ca="1" si="1"/>
        <v>0</v>
      </c>
    </row>
    <row r="57" spans="1:7" s="53" customFormat="1" ht="15" customHeight="1" thickBot="1" x14ac:dyDescent="0.3">
      <c r="A57" s="1496" t="str">
        <f>'Cash Flow Analysis'!B108</f>
        <v/>
      </c>
      <c r="B57" s="1497">
        <f>IF(B56="","",IF('Cash Flow Analysis'!$B$31=0,"N/A",IF(A57=1,1,IF(A56=debt_period,"",B56+1))))</f>
        <v>44</v>
      </c>
      <c r="C57" s="1498" t="str">
        <f>IF(OR(A57="",B57="",B57="N/A"),"",IF(B57=1,-'Cash Flow Analysis'!G108,IF(B57="N/A",0,G56)))</f>
        <v/>
      </c>
      <c r="D57" s="1498" t="str">
        <f>IF(F57=0,E57,
IF(OR(A57="",B57="",B57="N/A"),"",IF(B57=1,((debt_interest*(1+debt_interest)^debt_period)/((1+debt_interest)^debt_period-1))*(-'Cash Flow Analysis'!G108),IF(G56=0,"",D56))))</f>
        <v/>
      </c>
      <c r="E57" s="1498" t="str">
        <f t="shared" si="0"/>
        <v/>
      </c>
      <c r="F57" s="1498">
        <f t="shared" si="2"/>
        <v>0</v>
      </c>
      <c r="G57" s="1499" t="str">
        <f t="shared" si="1"/>
        <v/>
      </c>
    </row>
    <row r="58" spans="1:7" ht="13" thickTop="1" x14ac:dyDescent="0.25"/>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796875" defaultRowHeight="12.5" x14ac:dyDescent="0.25"/>
  <cols>
    <col min="1" max="1" width="31.1796875" style="38" customWidth="1"/>
    <col min="2" max="2" width="23.54296875" style="38" customWidth="1"/>
    <col min="3" max="3" width="19" style="38" customWidth="1"/>
    <col min="4" max="4" width="11.26953125" style="38" customWidth="1"/>
    <col min="5" max="5" width="12.81640625" style="38" customWidth="1"/>
    <col min="6" max="6" width="10.81640625" style="38" customWidth="1"/>
    <col min="7" max="7" width="13.1796875" style="38" customWidth="1"/>
    <col min="8" max="8" width="13.81640625" style="38" customWidth="1"/>
    <col min="9" max="9" width="11" style="38" customWidth="1"/>
    <col min="10" max="25" width="17.1796875" style="38" customWidth="1"/>
    <col min="26" max="16384" width="9.1796875" style="38"/>
  </cols>
  <sheetData>
    <row r="1" spans="1:8" ht="30.75" customHeight="1" x14ac:dyDescent="0.4">
      <c r="A1" s="37" t="s">
        <v>47</v>
      </c>
    </row>
    <row r="2" spans="1:8" ht="15" customHeight="1" x14ac:dyDescent="0.25">
      <c r="G2" s="39"/>
    </row>
    <row r="3" spans="1:8" ht="15" customHeight="1" x14ac:dyDescent="0.35">
      <c r="A3" s="42" t="s">
        <v>33</v>
      </c>
      <c r="B3" s="43"/>
      <c r="C3" s="43"/>
      <c r="D3" s="43"/>
      <c r="E3" s="44"/>
      <c r="F3" s="44"/>
      <c r="G3" s="44"/>
      <c r="H3" s="39"/>
    </row>
    <row r="4" spans="1:8" ht="15" customHeight="1" x14ac:dyDescent="0.35">
      <c r="A4" s="42" t="s">
        <v>34</v>
      </c>
      <c r="B4" s="43"/>
      <c r="C4" s="43"/>
      <c r="D4" s="43"/>
      <c r="E4" s="44"/>
      <c r="F4" s="44"/>
      <c r="G4" s="44"/>
      <c r="H4" s="39"/>
    </row>
    <row r="5" spans="1:8" ht="15" customHeight="1" x14ac:dyDescent="0.25">
      <c r="G5" s="39"/>
    </row>
    <row r="6" spans="1:8" ht="15" customHeight="1" x14ac:dyDescent="0.25">
      <c r="A6" s="36"/>
      <c r="B6" s="41" t="s">
        <v>35</v>
      </c>
    </row>
    <row r="7" spans="1:8" ht="15" customHeight="1" x14ac:dyDescent="0.25">
      <c r="A7" s="46"/>
      <c r="B7" s="41" t="s">
        <v>36</v>
      </c>
    </row>
    <row r="8" spans="1:8" ht="15" customHeight="1" x14ac:dyDescent="0.25">
      <c r="A8" s="47"/>
      <c r="B8" s="41" t="s">
        <v>37</v>
      </c>
    </row>
    <row r="9" spans="1:8" ht="15" customHeight="1" x14ac:dyDescent="0.25">
      <c r="A9" s="48"/>
      <c r="B9" s="41" t="s">
        <v>38</v>
      </c>
    </row>
    <row r="10" spans="1:8" ht="15" customHeight="1" x14ac:dyDescent="0.25"/>
    <row r="11" spans="1:8" ht="15" customHeight="1" thickBot="1" x14ac:dyDescent="0.3"/>
    <row r="12" spans="1:8" ht="29.25" customHeight="1" thickTop="1" thickBot="1" x14ac:dyDescent="0.4">
      <c r="B12" s="63" t="s">
        <v>48</v>
      </c>
      <c r="C12" s="64"/>
      <c r="D12" s="64"/>
      <c r="E12" s="64"/>
      <c r="F12" s="64"/>
      <c r="G12" s="64"/>
      <c r="H12" s="65"/>
    </row>
    <row r="13" spans="1:8" ht="15" customHeight="1" thickTop="1" thickBot="1" x14ac:dyDescent="0.3">
      <c r="B13" s="66"/>
      <c r="C13" s="1692" t="s">
        <v>49</v>
      </c>
      <c r="D13" s="1692"/>
      <c r="E13" s="1692"/>
      <c r="F13" s="1692"/>
      <c r="G13" s="1692"/>
      <c r="H13" s="1693"/>
    </row>
    <row r="14" spans="1:8" ht="15" customHeight="1" thickTop="1" thickBot="1" x14ac:dyDescent="0.3">
      <c r="B14" s="69" t="s">
        <v>49</v>
      </c>
      <c r="C14" s="70">
        <v>3</v>
      </c>
      <c r="D14" s="67">
        <v>5</v>
      </c>
      <c r="E14" s="67">
        <v>7</v>
      </c>
      <c r="F14" s="67">
        <v>10</v>
      </c>
      <c r="G14" s="67">
        <v>15</v>
      </c>
      <c r="H14" s="68">
        <v>20</v>
      </c>
    </row>
    <row r="15" spans="1:8" ht="15" customHeight="1" thickTop="1" x14ac:dyDescent="0.25">
      <c r="B15" s="71">
        <v>1</v>
      </c>
      <c r="C15" s="72">
        <v>0.33329999999999999</v>
      </c>
      <c r="D15" s="73">
        <v>0.2</v>
      </c>
      <c r="E15" s="73">
        <v>0.1429</v>
      </c>
      <c r="F15" s="73">
        <v>0.1</v>
      </c>
      <c r="G15" s="73">
        <v>0.05</v>
      </c>
      <c r="H15" s="74">
        <v>3.7499999999999999E-2</v>
      </c>
    </row>
    <row r="16" spans="1:8" ht="15" customHeight="1" x14ac:dyDescent="0.25">
      <c r="B16" s="75">
        <v>2</v>
      </c>
      <c r="C16" s="76">
        <v>0.44450000000000001</v>
      </c>
      <c r="D16" s="77">
        <v>0.32</v>
      </c>
      <c r="E16" s="77">
        <v>0.24490000000000001</v>
      </c>
      <c r="F16" s="77">
        <v>0.18</v>
      </c>
      <c r="G16" s="77">
        <v>9.5000000000000001E-2</v>
      </c>
      <c r="H16" s="78">
        <v>7.2190000000000004E-2</v>
      </c>
    </row>
    <row r="17" spans="2:8" ht="15" customHeight="1" x14ac:dyDescent="0.25">
      <c r="B17" s="75">
        <v>3</v>
      </c>
      <c r="C17" s="76">
        <v>0.14810000000000001</v>
      </c>
      <c r="D17" s="77">
        <v>0.192</v>
      </c>
      <c r="E17" s="77">
        <v>0.1749</v>
      </c>
      <c r="F17" s="77">
        <v>0.14399999999999999</v>
      </c>
      <c r="G17" s="77">
        <v>8.5500000000000007E-2</v>
      </c>
      <c r="H17" s="78">
        <v>6.6769999999999996E-2</v>
      </c>
    </row>
    <row r="18" spans="2:8" ht="15" customHeight="1" x14ac:dyDescent="0.25">
      <c r="B18" s="75">
        <v>4</v>
      </c>
      <c r="C18" s="76">
        <v>7.4099999999999999E-2</v>
      </c>
      <c r="D18" s="77">
        <v>0.1152</v>
      </c>
      <c r="E18" s="77">
        <v>0.1249</v>
      </c>
      <c r="F18" s="77">
        <v>0.1152</v>
      </c>
      <c r="G18" s="77">
        <v>7.6999999999999999E-2</v>
      </c>
      <c r="H18" s="78">
        <v>6.1769999999999999E-2</v>
      </c>
    </row>
    <row r="19" spans="2:8" ht="15" customHeight="1" x14ac:dyDescent="0.25">
      <c r="B19" s="75">
        <v>5</v>
      </c>
      <c r="C19" s="76"/>
      <c r="D19" s="77">
        <v>0.1152</v>
      </c>
      <c r="E19" s="77">
        <v>8.9300000000000004E-2</v>
      </c>
      <c r="F19" s="77">
        <v>9.2200000000000004E-2</v>
      </c>
      <c r="G19" s="77">
        <v>6.93E-2</v>
      </c>
      <c r="H19" s="78">
        <v>5.713E-2</v>
      </c>
    </row>
    <row r="20" spans="2:8" ht="15" customHeight="1" x14ac:dyDescent="0.25">
      <c r="B20" s="75">
        <v>6</v>
      </c>
      <c r="C20" s="76"/>
      <c r="D20" s="77">
        <v>5.7599999999999998E-2</v>
      </c>
      <c r="E20" s="77">
        <v>8.9200000000000002E-2</v>
      </c>
      <c r="F20" s="77">
        <v>7.3700000000000002E-2</v>
      </c>
      <c r="G20" s="77">
        <v>6.2300000000000001E-2</v>
      </c>
      <c r="H20" s="78">
        <v>5.2850000000000001E-2</v>
      </c>
    </row>
    <row r="21" spans="2:8" ht="15" customHeight="1" x14ac:dyDescent="0.25">
      <c r="B21" s="75">
        <v>7</v>
      </c>
      <c r="C21" s="76"/>
      <c r="D21" s="77"/>
      <c r="E21" s="77">
        <v>8.9300000000000004E-2</v>
      </c>
      <c r="F21" s="77">
        <v>6.5500000000000003E-2</v>
      </c>
      <c r="G21" s="77">
        <v>5.8999999999999997E-2</v>
      </c>
      <c r="H21" s="78">
        <v>4.888E-2</v>
      </c>
    </row>
    <row r="22" spans="2:8" ht="15" customHeight="1" x14ac:dyDescent="0.25">
      <c r="B22" s="75">
        <v>8</v>
      </c>
      <c r="C22" s="76"/>
      <c r="D22" s="77"/>
      <c r="E22" s="77">
        <v>4.4600000000000001E-2</v>
      </c>
      <c r="F22" s="77">
        <v>6.5500000000000003E-2</v>
      </c>
      <c r="G22" s="77">
        <v>5.8999999999999997E-2</v>
      </c>
      <c r="H22" s="78">
        <v>4.5220000000000003E-2</v>
      </c>
    </row>
    <row r="23" spans="2:8" ht="15" customHeight="1" x14ac:dyDescent="0.25">
      <c r="B23" s="75">
        <v>9</v>
      </c>
      <c r="C23" s="76"/>
      <c r="D23" s="77"/>
      <c r="E23" s="77"/>
      <c r="F23" s="77">
        <v>6.5600000000000006E-2</v>
      </c>
      <c r="G23" s="77">
        <v>5.91E-2</v>
      </c>
      <c r="H23" s="78">
        <v>4.462E-2</v>
      </c>
    </row>
    <row r="24" spans="2:8" ht="15" customHeight="1" x14ac:dyDescent="0.25">
      <c r="B24" s="75">
        <v>10</v>
      </c>
      <c r="C24" s="76"/>
      <c r="D24" s="77"/>
      <c r="E24" s="77"/>
      <c r="F24" s="77">
        <v>6.5500000000000003E-2</v>
      </c>
      <c r="G24" s="77">
        <v>5.8999999999999997E-2</v>
      </c>
      <c r="H24" s="78">
        <v>4.4609999999999997E-2</v>
      </c>
    </row>
    <row r="25" spans="2:8" ht="15" customHeight="1" x14ac:dyDescent="0.25">
      <c r="B25" s="75">
        <v>11</v>
      </c>
      <c r="C25" s="76"/>
      <c r="D25" s="77"/>
      <c r="E25" s="77"/>
      <c r="F25" s="77">
        <v>3.2800000000000003E-2</v>
      </c>
      <c r="G25" s="77">
        <v>5.91E-2</v>
      </c>
      <c r="H25" s="78">
        <v>4.462E-2</v>
      </c>
    </row>
    <row r="26" spans="2:8" ht="15" customHeight="1" x14ac:dyDescent="0.25">
      <c r="B26" s="75">
        <v>12</v>
      </c>
      <c r="C26" s="76"/>
      <c r="D26" s="77"/>
      <c r="E26" s="77"/>
      <c r="F26" s="77"/>
      <c r="G26" s="77">
        <v>5.8999999999999997E-2</v>
      </c>
      <c r="H26" s="78">
        <v>4.4609999999999997E-2</v>
      </c>
    </row>
    <row r="27" spans="2:8" ht="15" customHeight="1" x14ac:dyDescent="0.25">
      <c r="B27" s="75">
        <v>13</v>
      </c>
      <c r="C27" s="76"/>
      <c r="D27" s="77"/>
      <c r="E27" s="77"/>
      <c r="F27" s="77"/>
      <c r="G27" s="77">
        <v>5.91E-2</v>
      </c>
      <c r="H27" s="78">
        <v>4.462E-2</v>
      </c>
    </row>
    <row r="28" spans="2:8" ht="15" customHeight="1" x14ac:dyDescent="0.25">
      <c r="B28" s="75">
        <v>14</v>
      </c>
      <c r="C28" s="76"/>
      <c r="D28" s="77"/>
      <c r="E28" s="77"/>
      <c r="F28" s="77"/>
      <c r="G28" s="77">
        <v>5.8999999999999997E-2</v>
      </c>
      <c r="H28" s="78">
        <v>4.4609999999999997E-2</v>
      </c>
    </row>
    <row r="29" spans="2:8" ht="15" customHeight="1" x14ac:dyDescent="0.25">
      <c r="B29" s="75">
        <v>15</v>
      </c>
      <c r="C29" s="76"/>
      <c r="D29" s="77"/>
      <c r="E29" s="77"/>
      <c r="F29" s="77"/>
      <c r="G29" s="77">
        <v>5.91E-2</v>
      </c>
      <c r="H29" s="78">
        <v>4.462E-2</v>
      </c>
    </row>
    <row r="30" spans="2:8" ht="15" customHeight="1" x14ac:dyDescent="0.25">
      <c r="B30" s="75">
        <v>16</v>
      </c>
      <c r="C30" s="76"/>
      <c r="D30" s="77"/>
      <c r="E30" s="77"/>
      <c r="F30" s="77"/>
      <c r="G30" s="77">
        <v>2.9499999999999998E-2</v>
      </c>
      <c r="H30" s="78">
        <v>4.4609999999999997E-2</v>
      </c>
    </row>
    <row r="31" spans="2:8" ht="15" customHeight="1" x14ac:dyDescent="0.25">
      <c r="B31" s="75">
        <v>17</v>
      </c>
      <c r="C31" s="76"/>
      <c r="D31" s="77"/>
      <c r="E31" s="77"/>
      <c r="F31" s="77"/>
      <c r="G31" s="77"/>
      <c r="H31" s="78">
        <v>4.462E-2</v>
      </c>
    </row>
    <row r="32" spans="2:8" ht="15" customHeight="1" x14ac:dyDescent="0.25">
      <c r="B32" s="75">
        <v>18</v>
      </c>
      <c r="C32" s="76"/>
      <c r="D32" s="77"/>
      <c r="E32" s="77"/>
      <c r="F32" s="77"/>
      <c r="G32" s="77"/>
      <c r="H32" s="78">
        <v>4.4609999999999997E-2</v>
      </c>
    </row>
    <row r="33" spans="1:24" ht="15" customHeight="1" x14ac:dyDescent="0.25">
      <c r="B33" s="75">
        <v>19</v>
      </c>
      <c r="C33" s="76"/>
      <c r="D33" s="77"/>
      <c r="E33" s="77"/>
      <c r="F33" s="77"/>
      <c r="G33" s="77"/>
      <c r="H33" s="78">
        <v>4.462E-2</v>
      </c>
    </row>
    <row r="34" spans="1:24" ht="15" customHeight="1" x14ac:dyDescent="0.25">
      <c r="B34" s="75">
        <v>20</v>
      </c>
      <c r="C34" s="76"/>
      <c r="D34" s="77"/>
      <c r="E34" s="77"/>
      <c r="F34" s="77"/>
      <c r="G34" s="77"/>
      <c r="H34" s="78">
        <v>4.4609999999999997E-2</v>
      </c>
    </row>
    <row r="35" spans="1:24" ht="15" customHeight="1" thickBot="1" x14ac:dyDescent="0.3">
      <c r="B35" s="79">
        <v>21</v>
      </c>
      <c r="C35" s="80"/>
      <c r="D35" s="81"/>
      <c r="E35" s="81"/>
      <c r="F35" s="81"/>
      <c r="G35" s="81"/>
      <c r="H35" s="82">
        <v>2.231E-2</v>
      </c>
    </row>
    <row r="36" spans="1:24" ht="15" customHeight="1" thickTop="1" x14ac:dyDescent="0.25">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3">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5"/>
    <row r="39" spans="1:24" ht="15" customHeight="1" x14ac:dyDescent="0.25"/>
    <row r="40" spans="1:24" ht="15" customHeight="1" thickBot="1" x14ac:dyDescent="0.3"/>
    <row r="41" spans="1:24" ht="29.25" customHeight="1" thickTop="1" thickBot="1" x14ac:dyDescent="0.4">
      <c r="A41" s="90" t="s">
        <v>52</v>
      </c>
      <c r="B41" s="91"/>
    </row>
    <row r="42" spans="1:24" ht="15" customHeight="1" thickTop="1" x14ac:dyDescent="0.25">
      <c r="A42" s="92" t="s">
        <v>389</v>
      </c>
      <c r="B42" s="93" t="str">
        <f>depr_type</f>
        <v>MACRS</v>
      </c>
    </row>
    <row r="43" spans="1:24" ht="15" customHeight="1" x14ac:dyDescent="0.25">
      <c r="A43" s="94" t="s">
        <v>53</v>
      </c>
      <c r="B43" s="95">
        <f>depr_length</f>
        <v>20</v>
      </c>
    </row>
    <row r="44" spans="1:24" ht="15" customHeight="1" thickBot="1" x14ac:dyDescent="0.3">
      <c r="A44" s="96" t="s">
        <v>54</v>
      </c>
      <c r="B44" s="97">
        <f ca="1">-('Cash Flow Analysis'!G65+SUM('Cash Flow Analysis'!H65:H113))</f>
        <v>638007598.79876626</v>
      </c>
    </row>
    <row r="45" spans="1:24" ht="15" customHeight="1" thickTop="1" x14ac:dyDescent="0.25"/>
    <row r="46" spans="1:24" ht="15" customHeight="1" thickBot="1" x14ac:dyDescent="0.3"/>
    <row r="47" spans="1:24" ht="27" customHeight="1" thickTop="1" thickBot="1" x14ac:dyDescent="0.4">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3">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5">
      <c r="A49" s="83">
        <f>IF('Cash Flow Analysis'!C65="","",'Cash Flow Analysis'!C65)</f>
        <v>-3</v>
      </c>
      <c r="B49" s="1086">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5">
      <c r="A50" s="75">
        <f>IF('Cash Flow Analysis'!C66="","",'Cash Flow Analysis'!C66)</f>
        <v>-2</v>
      </c>
      <c r="B50" s="1087">
        <f>IF(A50="","",IF(A50&lt;1,0,IF(A50=1,$B$44-'Cash Flow Analysis'!I66,-'Cash Flow Analysis'!I66)))</f>
        <v>0</v>
      </c>
      <c r="C50" s="108">
        <f t="shared" ref="C50:W50" si="4">IF($B$50="","",IF(AND($B$42="Straight Line",C48&lt;=depr_length),$B$50/depr_length,IF(AND($B$42="MACRS",C48&lt;=depr_length+1),$B$50*INDEX(MACRS_Table,MATCH(C48,recovery_year,0),MATCH($B$43,recovery_period,0)),"")))</f>
        <v>0</v>
      </c>
      <c r="D50" s="109">
        <f t="shared" si="4"/>
        <v>0</v>
      </c>
      <c r="E50" s="109">
        <f t="shared" si="4"/>
        <v>0</v>
      </c>
      <c r="F50" s="109">
        <f t="shared" si="4"/>
        <v>0</v>
      </c>
      <c r="G50" s="109">
        <f t="shared" si="4"/>
        <v>0</v>
      </c>
      <c r="H50" s="109">
        <f t="shared" si="4"/>
        <v>0</v>
      </c>
      <c r="I50" s="109">
        <f t="shared" si="4"/>
        <v>0</v>
      </c>
      <c r="J50" s="109">
        <f t="shared" si="4"/>
        <v>0</v>
      </c>
      <c r="K50" s="109">
        <f t="shared" si="4"/>
        <v>0</v>
      </c>
      <c r="L50" s="109">
        <f t="shared" si="4"/>
        <v>0</v>
      </c>
      <c r="M50" s="109">
        <f t="shared" si="4"/>
        <v>0</v>
      </c>
      <c r="N50" s="109">
        <f t="shared" si="4"/>
        <v>0</v>
      </c>
      <c r="O50" s="109">
        <f t="shared" si="4"/>
        <v>0</v>
      </c>
      <c r="P50" s="109">
        <f t="shared" si="4"/>
        <v>0</v>
      </c>
      <c r="Q50" s="109">
        <f t="shared" si="4"/>
        <v>0</v>
      </c>
      <c r="R50" s="109">
        <f t="shared" si="4"/>
        <v>0</v>
      </c>
      <c r="S50" s="109">
        <f t="shared" si="4"/>
        <v>0</v>
      </c>
      <c r="T50" s="109">
        <f t="shared" si="4"/>
        <v>0</v>
      </c>
      <c r="U50" s="109">
        <f t="shared" si="4"/>
        <v>0</v>
      </c>
      <c r="V50" s="109">
        <f t="shared" si="4"/>
        <v>0</v>
      </c>
      <c r="W50" s="110">
        <f t="shared" si="4"/>
        <v>0</v>
      </c>
      <c r="X50" s="107">
        <f t="shared" si="3"/>
        <v>0</v>
      </c>
    </row>
    <row r="51" spans="1:24" ht="15" customHeight="1" x14ac:dyDescent="0.25">
      <c r="A51" s="75">
        <f>IF('Cash Flow Analysis'!C67="","",'Cash Flow Analysis'!C67)</f>
        <v>-1</v>
      </c>
      <c r="B51" s="1087">
        <f>IF(A51="","",IF(A51&lt;1,0,IF(A51=1,$B$44-'Cash Flow Analysis'!I67,-'Cash Flow Analysis'!I67)))</f>
        <v>0</v>
      </c>
      <c r="C51" s="108">
        <f t="shared" ref="C51:W51" si="5">IF($B$51="","",IF(AND($B$42="Straight Line",C48&lt;=depr_length),$B$51/depr_length,IF(AND($B$42="MACRS",C48&lt;=depr_length+1),$B$51*INDEX(MACRS_Table,MATCH(C48,recovery_year,0),MATCH($B$43,recovery_period,0)),"")))</f>
        <v>0</v>
      </c>
      <c r="D51" s="109">
        <f t="shared" si="5"/>
        <v>0</v>
      </c>
      <c r="E51" s="109">
        <f t="shared" si="5"/>
        <v>0</v>
      </c>
      <c r="F51" s="109">
        <f t="shared" si="5"/>
        <v>0</v>
      </c>
      <c r="G51" s="109">
        <f t="shared" si="5"/>
        <v>0</v>
      </c>
      <c r="H51" s="109">
        <f t="shared" si="5"/>
        <v>0</v>
      </c>
      <c r="I51" s="109">
        <f t="shared" si="5"/>
        <v>0</v>
      </c>
      <c r="J51" s="109">
        <f t="shared" si="5"/>
        <v>0</v>
      </c>
      <c r="K51" s="109">
        <f t="shared" si="5"/>
        <v>0</v>
      </c>
      <c r="L51" s="109">
        <f t="shared" si="5"/>
        <v>0</v>
      </c>
      <c r="M51" s="109">
        <f t="shared" si="5"/>
        <v>0</v>
      </c>
      <c r="N51" s="109">
        <f t="shared" si="5"/>
        <v>0</v>
      </c>
      <c r="O51" s="109">
        <f t="shared" si="5"/>
        <v>0</v>
      </c>
      <c r="P51" s="109">
        <f t="shared" si="5"/>
        <v>0</v>
      </c>
      <c r="Q51" s="109">
        <f t="shared" si="5"/>
        <v>0</v>
      </c>
      <c r="R51" s="109">
        <f t="shared" si="5"/>
        <v>0</v>
      </c>
      <c r="S51" s="109">
        <f t="shared" si="5"/>
        <v>0</v>
      </c>
      <c r="T51" s="109">
        <f t="shared" si="5"/>
        <v>0</v>
      </c>
      <c r="U51" s="109">
        <f t="shared" si="5"/>
        <v>0</v>
      </c>
      <c r="V51" s="109">
        <f t="shared" si="5"/>
        <v>0</v>
      </c>
      <c r="W51" s="110">
        <f t="shared" si="5"/>
        <v>0</v>
      </c>
      <c r="X51" s="107">
        <f t="shared" si="3"/>
        <v>0</v>
      </c>
    </row>
    <row r="52" spans="1:24" ht="15" customHeight="1" x14ac:dyDescent="0.25">
      <c r="A52" s="75">
        <f>IF('Cash Flow Analysis'!C68="","",'Cash Flow Analysis'!C68)</f>
        <v>1</v>
      </c>
      <c r="B52" s="1087">
        <f ca="1">IF(A52="","",IF(A52&lt;1,0,IF(A52=1,$B$44-'Cash Flow Analysis'!I68,-'Cash Flow Analysis'!I68)))</f>
        <v>662001116.72956252</v>
      </c>
      <c r="C52" s="108">
        <f t="shared" ref="C52:W52" ca="1" si="6">IF($B$52="","",IF(AND($B$42="Straight Line",C48&lt;=depr_length),$B$52/depr_length,IF(AND($B$42="MACRS",C48&lt;=depr_length+1),$B$52*INDEX(MACRS_Table,MATCH(C48,recovery_year,0),MATCH($B$43,recovery_period,0)),"")))</f>
        <v>24825041.877358593</v>
      </c>
      <c r="D52" s="109">
        <f t="shared" ca="1" si="6"/>
        <v>47789860.616707124</v>
      </c>
      <c r="E52" s="109">
        <f t="shared" ca="1" si="6"/>
        <v>44201814.56403289</v>
      </c>
      <c r="F52" s="109">
        <f t="shared" ca="1" si="6"/>
        <v>40891808.980385073</v>
      </c>
      <c r="G52" s="109">
        <f t="shared" ca="1" si="6"/>
        <v>37820123.798759907</v>
      </c>
      <c r="H52" s="109">
        <f t="shared" ca="1" si="6"/>
        <v>34986759.01915738</v>
      </c>
      <c r="I52" s="109">
        <f t="shared" ca="1" si="6"/>
        <v>32358614.585741017</v>
      </c>
      <c r="J52" s="109">
        <f t="shared" ca="1" si="6"/>
        <v>29935690.498510819</v>
      </c>
      <c r="K52" s="109">
        <f t="shared" ca="1" si="6"/>
        <v>29538489.82847308</v>
      </c>
      <c r="L52" s="109">
        <f t="shared" ca="1" si="6"/>
        <v>29531869.817305781</v>
      </c>
      <c r="M52" s="109">
        <f t="shared" ca="1" si="6"/>
        <v>29538489.82847308</v>
      </c>
      <c r="N52" s="109">
        <f t="shared" ca="1" si="6"/>
        <v>29531869.817305781</v>
      </c>
      <c r="O52" s="109">
        <f t="shared" ca="1" si="6"/>
        <v>29538489.82847308</v>
      </c>
      <c r="P52" s="109">
        <f t="shared" ca="1" si="6"/>
        <v>29531869.817305781</v>
      </c>
      <c r="Q52" s="109">
        <f t="shared" ca="1" si="6"/>
        <v>29538489.82847308</v>
      </c>
      <c r="R52" s="109">
        <f t="shared" ca="1" si="6"/>
        <v>29531869.817305781</v>
      </c>
      <c r="S52" s="109">
        <f t="shared" ca="1" si="6"/>
        <v>29538489.82847308</v>
      </c>
      <c r="T52" s="109">
        <f t="shared" ca="1" si="6"/>
        <v>29531869.817305781</v>
      </c>
      <c r="U52" s="109">
        <f t="shared" ca="1" si="6"/>
        <v>29538489.82847308</v>
      </c>
      <c r="V52" s="109">
        <f t="shared" ca="1" si="6"/>
        <v>29531869.817305781</v>
      </c>
      <c r="W52" s="110">
        <f t="shared" ca="1" si="6"/>
        <v>14769244.91423654</v>
      </c>
      <c r="X52" s="107">
        <f t="shared" ca="1" si="3"/>
        <v>662001116.72956264</v>
      </c>
    </row>
    <row r="53" spans="1:24" ht="15" customHeight="1" x14ac:dyDescent="0.25">
      <c r="A53" s="75">
        <f>IF('Cash Flow Analysis'!C69="","",'Cash Flow Analysis'!C69)</f>
        <v>2</v>
      </c>
      <c r="B53" s="1087">
        <f ca="1">IF(A53="","",IF(A53&lt;1,0,IF(A53=1,$B$44-'Cash Flow Analysis'!I69,-'Cash Flow Analysis'!I69)))</f>
        <v>24449394.771481343</v>
      </c>
      <c r="C53" s="108">
        <f t="shared" ref="C53:W53" ca="1" si="7">IF($B$53="","",IF(AND($B$42="Straight Line",C48&lt;=depr_length),$B$53/depr_length,IF(AND($B$42="MACRS",C48&lt;=depr_length+1),$B$53*INDEX(MACRS_Table,MATCH(C48,recovery_year,0),MATCH($B$43,recovery_period,0)),"")))</f>
        <v>916852.30393055035</v>
      </c>
      <c r="D53" s="109">
        <f t="shared" ca="1" si="7"/>
        <v>1765001.8085532382</v>
      </c>
      <c r="E53" s="109">
        <f t="shared" ca="1" si="7"/>
        <v>1632486.0888918091</v>
      </c>
      <c r="F53" s="109">
        <f t="shared" ca="1" si="7"/>
        <v>1510239.1150344026</v>
      </c>
      <c r="G53" s="109">
        <f t="shared" ca="1" si="7"/>
        <v>1396793.9232947291</v>
      </c>
      <c r="H53" s="109">
        <f t="shared" ca="1" si="7"/>
        <v>1292150.5136727891</v>
      </c>
      <c r="I53" s="109">
        <f t="shared" ca="1" si="7"/>
        <v>1195086.4164300081</v>
      </c>
      <c r="J53" s="109">
        <f t="shared" ca="1" si="7"/>
        <v>1105601.6315663864</v>
      </c>
      <c r="K53" s="109">
        <f t="shared" ca="1" si="7"/>
        <v>1090931.9947034975</v>
      </c>
      <c r="L53" s="109">
        <f t="shared" ca="1" si="7"/>
        <v>1090687.5007557827</v>
      </c>
      <c r="M53" s="109">
        <f t="shared" ca="1" si="7"/>
        <v>1090931.9947034975</v>
      </c>
      <c r="N53" s="109">
        <f t="shared" ca="1" si="7"/>
        <v>1090687.5007557827</v>
      </c>
      <c r="O53" s="109">
        <f t="shared" ca="1" si="7"/>
        <v>1090931.9947034975</v>
      </c>
      <c r="P53" s="109">
        <f t="shared" ca="1" si="7"/>
        <v>1090687.5007557827</v>
      </c>
      <c r="Q53" s="109">
        <f t="shared" ca="1" si="7"/>
        <v>1090931.9947034975</v>
      </c>
      <c r="R53" s="109">
        <f t="shared" ca="1" si="7"/>
        <v>1090687.5007557827</v>
      </c>
      <c r="S53" s="109">
        <f t="shared" ca="1" si="7"/>
        <v>1090931.9947034975</v>
      </c>
      <c r="T53" s="109">
        <f t="shared" ca="1" si="7"/>
        <v>1090687.5007557827</v>
      </c>
      <c r="U53" s="109">
        <f t="shared" ca="1" si="7"/>
        <v>1090931.9947034975</v>
      </c>
      <c r="V53" s="109">
        <f t="shared" ca="1" si="7"/>
        <v>1090687.5007557827</v>
      </c>
      <c r="W53" s="110">
        <f t="shared" ca="1" si="7"/>
        <v>545465.99735174875</v>
      </c>
      <c r="X53" s="107">
        <f t="shared" ca="1" si="3"/>
        <v>24449394.771481343</v>
      </c>
    </row>
    <row r="54" spans="1:24" ht="15" customHeight="1" x14ac:dyDescent="0.25">
      <c r="A54" s="75">
        <f>IF('Cash Flow Analysis'!C70="","",'Cash Flow Analysis'!C70)</f>
        <v>3</v>
      </c>
      <c r="B54" s="1087">
        <f ca="1">IF(A54="","",IF(A54&lt;1,0,IF(A54=1,$B$44-'Cash Flow Analysis'!I70,-'Cash Flow Analysis'!I70)))</f>
        <v>24913933.272139486</v>
      </c>
      <c r="C54" s="108">
        <f t="shared" ref="C54:W54" ca="1" si="8">IF($B$54="","",IF(AND($B$42="Straight Line",C48&lt;=depr_length),$B$54/depr_length,IF(AND($B$42="MACRS",C48&lt;=depr_length+1),$B$54*INDEX(MACRS_Table,MATCH(C48,recovery_year,0),MATCH($B$43,recovery_period,0)),"")))</f>
        <v>934272.49770523072</v>
      </c>
      <c r="D54" s="109">
        <f t="shared" ca="1" si="8"/>
        <v>1798536.8429157496</v>
      </c>
      <c r="E54" s="109">
        <f t="shared" ca="1" si="8"/>
        <v>1663503.3245807535</v>
      </c>
      <c r="F54" s="109">
        <f t="shared" ca="1" si="8"/>
        <v>1538933.658220056</v>
      </c>
      <c r="G54" s="109">
        <f t="shared" ca="1" si="8"/>
        <v>1423333.0078373288</v>
      </c>
      <c r="H54" s="109">
        <f t="shared" ca="1" si="8"/>
        <v>1316701.3734325718</v>
      </c>
      <c r="I54" s="109">
        <f t="shared" ca="1" si="8"/>
        <v>1217793.0583421781</v>
      </c>
      <c r="J54" s="109">
        <f t="shared" ca="1" si="8"/>
        <v>1126608.0625661477</v>
      </c>
      <c r="K54" s="109">
        <f t="shared" ca="1" si="8"/>
        <v>1111659.7026028638</v>
      </c>
      <c r="L54" s="109">
        <f t="shared" ca="1" si="8"/>
        <v>1111410.5632701423</v>
      </c>
      <c r="M54" s="109">
        <f t="shared" ca="1" si="8"/>
        <v>1111659.7026028638</v>
      </c>
      <c r="N54" s="109">
        <f t="shared" ca="1" si="8"/>
        <v>1111410.5632701423</v>
      </c>
      <c r="O54" s="109">
        <f t="shared" ca="1" si="8"/>
        <v>1111659.7026028638</v>
      </c>
      <c r="P54" s="109">
        <f t="shared" ca="1" si="8"/>
        <v>1111410.5632701423</v>
      </c>
      <c r="Q54" s="109">
        <f t="shared" ca="1" si="8"/>
        <v>1111659.7026028638</v>
      </c>
      <c r="R54" s="109">
        <f t="shared" ca="1" si="8"/>
        <v>1111410.5632701423</v>
      </c>
      <c r="S54" s="109">
        <f t="shared" ca="1" si="8"/>
        <v>1111659.7026028638</v>
      </c>
      <c r="T54" s="109">
        <f t="shared" ca="1" si="8"/>
        <v>1111410.5632701423</v>
      </c>
      <c r="U54" s="109">
        <f t="shared" ca="1" si="8"/>
        <v>1111659.7026028638</v>
      </c>
      <c r="V54" s="109">
        <f t="shared" ca="1" si="8"/>
        <v>1111410.5632701423</v>
      </c>
      <c r="W54" s="110">
        <f t="shared" ca="1" si="8"/>
        <v>555829.85130143189</v>
      </c>
      <c r="X54" s="107">
        <f t="shared" ca="1" si="3"/>
        <v>24913933.272139482</v>
      </c>
    </row>
    <row r="55" spans="1:24" ht="15" customHeight="1" x14ac:dyDescent="0.25">
      <c r="A55" s="75">
        <f>IF('Cash Flow Analysis'!C71="","",'Cash Flow Analysis'!C71)</f>
        <v>4</v>
      </c>
      <c r="B55" s="1087">
        <f ca="1">IF(A55="","",IF(A55&lt;1,0,IF(A55=1,$B$44-'Cash Flow Analysis'!I71,-'Cash Flow Analysis'!I71)))</f>
        <v>25387298.004310139</v>
      </c>
      <c r="C55" s="108">
        <f t="shared" ref="C55:W55" ca="1" si="9">IF($B$55="","",IF(AND($B$42="Straight Line",C48&lt;=depr_length),$B$55/depr_length,IF(AND($B$42="MACRS",C48&lt;=depr_length+1),$B$55*INDEX(MACRS_Table,MATCH(C48,recovery_year,0),MATCH($B$43,recovery_period,0)),"")))</f>
        <v>952023.67516163015</v>
      </c>
      <c r="D55" s="109">
        <f t="shared" ca="1" si="9"/>
        <v>1832709.042931149</v>
      </c>
      <c r="E55" s="109">
        <f t="shared" ca="1" si="9"/>
        <v>1695109.8877477879</v>
      </c>
      <c r="F55" s="109">
        <f t="shared" ca="1" si="9"/>
        <v>1568173.3977262373</v>
      </c>
      <c r="G55" s="109">
        <f t="shared" ca="1" si="9"/>
        <v>1450376.3349862383</v>
      </c>
      <c r="H55" s="109">
        <f t="shared" ca="1" si="9"/>
        <v>1341718.6995277908</v>
      </c>
      <c r="I55" s="109">
        <f t="shared" ca="1" si="9"/>
        <v>1240931.1264506795</v>
      </c>
      <c r="J55" s="109">
        <f t="shared" ca="1" si="9"/>
        <v>1148013.6157549045</v>
      </c>
      <c r="K55" s="109">
        <f t="shared" ca="1" si="9"/>
        <v>1132781.2369523183</v>
      </c>
      <c r="L55" s="109">
        <f t="shared" ca="1" si="9"/>
        <v>1132527.3639722753</v>
      </c>
      <c r="M55" s="109">
        <f t="shared" ca="1" si="9"/>
        <v>1132781.2369523183</v>
      </c>
      <c r="N55" s="109">
        <f t="shared" ca="1" si="9"/>
        <v>1132527.3639722753</v>
      </c>
      <c r="O55" s="109">
        <f t="shared" ca="1" si="9"/>
        <v>1132781.2369523183</v>
      </c>
      <c r="P55" s="109">
        <f t="shared" ca="1" si="9"/>
        <v>1132527.3639722753</v>
      </c>
      <c r="Q55" s="109">
        <f t="shared" ca="1" si="9"/>
        <v>1132781.2369523183</v>
      </c>
      <c r="R55" s="109">
        <f t="shared" ca="1" si="9"/>
        <v>1132527.3639722753</v>
      </c>
      <c r="S55" s="109">
        <f t="shared" ca="1" si="9"/>
        <v>1132781.2369523183</v>
      </c>
      <c r="T55" s="109">
        <f t="shared" ca="1" si="9"/>
        <v>1132527.3639722753</v>
      </c>
      <c r="U55" s="109">
        <f t="shared" ca="1" si="9"/>
        <v>1132781.2369523183</v>
      </c>
      <c r="V55" s="109">
        <f t="shared" ca="1" si="9"/>
        <v>1132527.3639722753</v>
      </c>
      <c r="W55" s="110">
        <f t="shared" ca="1" si="9"/>
        <v>566390.61847615917</v>
      </c>
      <c r="X55" s="107">
        <f t="shared" ca="1" si="3"/>
        <v>25387298.004310146</v>
      </c>
    </row>
    <row r="56" spans="1:24" ht="15" customHeight="1" x14ac:dyDescent="0.25">
      <c r="A56" s="75">
        <f>IF('Cash Flow Analysis'!C72="","",'Cash Flow Analysis'!C72)</f>
        <v>5</v>
      </c>
      <c r="B56" s="1087">
        <f ca="1">IF(A56="","",IF(A56&lt;1,0,IF(A56=1,$B$44-'Cash Flow Analysis'!I72,-'Cash Flow Analysis'!I72)))</f>
        <v>25869656.666392028</v>
      </c>
      <c r="C56" s="108">
        <f t="shared" ref="C56:W56" ca="1" si="10">IF($B$56="","",IF(AND($B$42="Straight Line",C48&lt;=depr_length),$B$56/depr_length,IF(AND($B$42="MACRS",C48&lt;=depr_length+1),$B$56*INDEX(MACRS_Table,MATCH(C48,recovery_year,0),MATCH($B$43,recovery_period,0)),"")))</f>
        <v>970112.12498970097</v>
      </c>
      <c r="D56" s="109">
        <f t="shared" ca="1" si="10"/>
        <v>1867530.5147468406</v>
      </c>
      <c r="E56" s="109">
        <f t="shared" ca="1" si="10"/>
        <v>1727316.9756149957</v>
      </c>
      <c r="F56" s="109">
        <f t="shared" ca="1" si="10"/>
        <v>1597968.6922830355</v>
      </c>
      <c r="G56" s="109">
        <f t="shared" ca="1" si="10"/>
        <v>1477933.4853509767</v>
      </c>
      <c r="H56" s="109">
        <f t="shared" ca="1" si="10"/>
        <v>1367211.3548188186</v>
      </c>
      <c r="I56" s="109">
        <f t="shared" ca="1" si="10"/>
        <v>1264508.8178532424</v>
      </c>
      <c r="J56" s="109">
        <f t="shared" ca="1" si="10"/>
        <v>1169825.8744542475</v>
      </c>
      <c r="K56" s="109">
        <f t="shared" ca="1" si="10"/>
        <v>1154304.0804544124</v>
      </c>
      <c r="L56" s="109">
        <f t="shared" ca="1" si="10"/>
        <v>1154045.3838877482</v>
      </c>
      <c r="M56" s="109">
        <f t="shared" ca="1" si="10"/>
        <v>1154304.0804544124</v>
      </c>
      <c r="N56" s="109">
        <f t="shared" ca="1" si="10"/>
        <v>1154045.3838877482</v>
      </c>
      <c r="O56" s="109">
        <f t="shared" ca="1" si="10"/>
        <v>1154304.0804544124</v>
      </c>
      <c r="P56" s="109">
        <f t="shared" ca="1" si="10"/>
        <v>1154045.3838877482</v>
      </c>
      <c r="Q56" s="109">
        <f t="shared" ca="1" si="10"/>
        <v>1154304.0804544124</v>
      </c>
      <c r="R56" s="109">
        <f t="shared" ca="1" si="10"/>
        <v>1154045.3838877482</v>
      </c>
      <c r="S56" s="109">
        <f t="shared" ca="1" si="10"/>
        <v>1154304.0804544124</v>
      </c>
      <c r="T56" s="109">
        <f t="shared" ca="1" si="10"/>
        <v>1154045.3838877482</v>
      </c>
      <c r="U56" s="109">
        <f t="shared" ca="1" si="10"/>
        <v>1154304.0804544124</v>
      </c>
      <c r="V56" s="109">
        <f t="shared" ca="1" si="10"/>
        <v>1154045.3838877482</v>
      </c>
      <c r="W56" s="110">
        <f t="shared" ca="1" si="10"/>
        <v>577152.04022720619</v>
      </c>
      <c r="X56" s="107">
        <f t="shared" ca="1" si="3"/>
        <v>25869656.666392032</v>
      </c>
    </row>
    <row r="57" spans="1:24" ht="15" customHeight="1" x14ac:dyDescent="0.25">
      <c r="A57" s="75">
        <f>IF('Cash Flow Analysis'!C73="","",'Cash Flow Analysis'!C73)</f>
        <v>6</v>
      </c>
      <c r="B57" s="1087">
        <f ca="1">IF(A57="","",IF(A57&lt;1,0,IF(A57=1,$B$44-'Cash Flow Analysis'!I73,-'Cash Flow Analysis'!I73)))</f>
        <v>26361180.143053472</v>
      </c>
      <c r="C57" s="108">
        <f t="shared" ref="C57:W57" ca="1" si="11">IF($B$57="","",IF(AND($B$42="Straight Line",C48&lt;=depr_length),$B$57/depr_length,IF(AND($B$42="MACRS",C48&lt;=depr_length+1),$B$57*INDEX(MACRS_Table,MATCH(C48,recovery_year,0),MATCH($B$43,recovery_period,0)),"")))</f>
        <v>988544.25536450511</v>
      </c>
      <c r="D57" s="109">
        <f t="shared" ca="1" si="11"/>
        <v>1903013.5945270304</v>
      </c>
      <c r="E57" s="109">
        <f t="shared" ca="1" si="11"/>
        <v>1760135.9981516802</v>
      </c>
      <c r="F57" s="109">
        <f t="shared" ca="1" si="11"/>
        <v>1628330.0974364129</v>
      </c>
      <c r="G57" s="109">
        <f t="shared" ca="1" si="11"/>
        <v>1506014.2215726448</v>
      </c>
      <c r="H57" s="109">
        <f t="shared" ca="1" si="11"/>
        <v>1393188.370560376</v>
      </c>
      <c r="I57" s="109">
        <f t="shared" ca="1" si="11"/>
        <v>1288534.4853924536</v>
      </c>
      <c r="J57" s="109">
        <f t="shared" ca="1" si="11"/>
        <v>1192052.5660688782</v>
      </c>
      <c r="K57" s="109">
        <f t="shared" ca="1" si="11"/>
        <v>1176235.857983046</v>
      </c>
      <c r="L57" s="109">
        <f t="shared" ca="1" si="11"/>
        <v>1175972.2461816154</v>
      </c>
      <c r="M57" s="109">
        <f t="shared" ca="1" si="11"/>
        <v>1176235.857983046</v>
      </c>
      <c r="N57" s="109">
        <f t="shared" ca="1" si="11"/>
        <v>1175972.2461816154</v>
      </c>
      <c r="O57" s="109">
        <f t="shared" ca="1" si="11"/>
        <v>1176235.857983046</v>
      </c>
      <c r="P57" s="109">
        <f t="shared" ca="1" si="11"/>
        <v>1175972.2461816154</v>
      </c>
      <c r="Q57" s="109">
        <f t="shared" ca="1" si="11"/>
        <v>1176235.857983046</v>
      </c>
      <c r="R57" s="109">
        <f t="shared" ca="1" si="11"/>
        <v>1175972.2461816154</v>
      </c>
      <c r="S57" s="109">
        <f t="shared" ca="1" si="11"/>
        <v>1176235.857983046</v>
      </c>
      <c r="T57" s="109">
        <f t="shared" ca="1" si="11"/>
        <v>1175972.2461816154</v>
      </c>
      <c r="U57" s="109">
        <f t="shared" ca="1" si="11"/>
        <v>1176235.857983046</v>
      </c>
      <c r="V57" s="109">
        <f t="shared" ca="1" si="11"/>
        <v>1175972.2461816154</v>
      </c>
      <c r="W57" s="110">
        <f t="shared" ca="1" si="11"/>
        <v>588117.92899152299</v>
      </c>
      <c r="X57" s="107">
        <f t="shared" ca="1" si="3"/>
        <v>26361180.143053465</v>
      </c>
    </row>
    <row r="58" spans="1:24" ht="15" customHeight="1" x14ac:dyDescent="0.25">
      <c r="A58" s="75">
        <f>IF('Cash Flow Analysis'!C74="","",'Cash Flow Analysis'!C74)</f>
        <v>7</v>
      </c>
      <c r="B58" s="1087">
        <f ca="1">IF(A58="","",IF(A58&lt;1,0,IF(A58=1,$B$44-'Cash Flow Analysis'!I74,-'Cash Flow Analysis'!I74)))</f>
        <v>26862042.565771494</v>
      </c>
      <c r="C58" s="108">
        <f t="shared" ref="C58:W58" ca="1" si="12">IF($B$58="","",IF(AND($B$42="Straight Line",C48&lt;=depr_length),$B$58/depr_length,IF(AND($B$42="MACRS",C48&lt;=depr_length+1),$B$58*INDEX(MACRS_Table,MATCH(C48,recovery_year,0),MATCH($B$43,recovery_period,0)),"")))</f>
        <v>1007326.596216431</v>
      </c>
      <c r="D58" s="109">
        <f t="shared" ca="1" si="12"/>
        <v>1939170.8528230442</v>
      </c>
      <c r="E58" s="109">
        <f t="shared" ca="1" si="12"/>
        <v>1793578.5821165626</v>
      </c>
      <c r="F58" s="109">
        <f t="shared" ca="1" si="12"/>
        <v>1659268.369287705</v>
      </c>
      <c r="G58" s="109">
        <f t="shared" ca="1" si="12"/>
        <v>1534628.4917825256</v>
      </c>
      <c r="H58" s="109">
        <f t="shared" ca="1" si="12"/>
        <v>1419658.9496010235</v>
      </c>
      <c r="I58" s="109">
        <f t="shared" ca="1" si="12"/>
        <v>1313016.6406149105</v>
      </c>
      <c r="J58" s="109">
        <f t="shared" ca="1" si="12"/>
        <v>1214701.564824187</v>
      </c>
      <c r="K58" s="109">
        <f t="shared" ca="1" si="12"/>
        <v>1198584.3392847241</v>
      </c>
      <c r="L58" s="109">
        <f t="shared" ca="1" si="12"/>
        <v>1198315.7188590663</v>
      </c>
      <c r="M58" s="109">
        <f t="shared" ca="1" si="12"/>
        <v>1198584.3392847241</v>
      </c>
      <c r="N58" s="109">
        <f t="shared" ca="1" si="12"/>
        <v>1198315.7188590663</v>
      </c>
      <c r="O58" s="109">
        <f t="shared" ca="1" si="12"/>
        <v>1198584.3392847241</v>
      </c>
      <c r="P58" s="109">
        <f t="shared" ca="1" si="12"/>
        <v>1198315.7188590663</v>
      </c>
      <c r="Q58" s="109">
        <f t="shared" ca="1" si="12"/>
        <v>1198584.3392847241</v>
      </c>
      <c r="R58" s="109">
        <f t="shared" ca="1" si="12"/>
        <v>1198315.7188590663</v>
      </c>
      <c r="S58" s="109">
        <f t="shared" ca="1" si="12"/>
        <v>1198584.3392847241</v>
      </c>
      <c r="T58" s="109">
        <f t="shared" ca="1" si="12"/>
        <v>1198315.7188590663</v>
      </c>
      <c r="U58" s="109">
        <f t="shared" ca="1" si="12"/>
        <v>1198584.3392847241</v>
      </c>
      <c r="V58" s="109">
        <f t="shared" ca="1" si="12"/>
        <v>1198315.7188590663</v>
      </c>
      <c r="W58" s="110">
        <f t="shared" ca="1" si="12"/>
        <v>599292.16964236205</v>
      </c>
      <c r="X58" s="107">
        <f t="shared" ca="1" si="3"/>
        <v>26862042.565771494</v>
      </c>
    </row>
    <row r="59" spans="1:24" ht="15" customHeight="1" x14ac:dyDescent="0.25">
      <c r="A59" s="75">
        <f>IF('Cash Flow Analysis'!C75="","",'Cash Flow Analysis'!C75)</f>
        <v>8</v>
      </c>
      <c r="B59" s="1087">
        <f ca="1">IF(A59="","",IF(A59&lt;1,0,IF(A59=1,$B$44-'Cash Flow Analysis'!I75,-'Cash Flow Analysis'!I75)))</f>
        <v>27372421.374521151</v>
      </c>
      <c r="C59" s="108">
        <f t="shared" ref="C59:W59" ca="1" si="13">IF($B$59="","",IF(AND($B$42="Straight Line",C48&lt;=depr_length),$B$59/depr_length,IF(AND($B$42="MACRS",C48&lt;=depr_length+1),$B$59*INDEX(MACRS_Table,MATCH(C48,recovery_year,0),MATCH($B$43,recovery_period,0)),"")))</f>
        <v>1026465.8015445431</v>
      </c>
      <c r="D59" s="109">
        <f t="shared" ca="1" si="13"/>
        <v>1976015.0990266821</v>
      </c>
      <c r="E59" s="109">
        <f t="shared" ca="1" si="13"/>
        <v>1827656.5751767771</v>
      </c>
      <c r="F59" s="109">
        <f t="shared" ca="1" si="13"/>
        <v>1690794.4683041715</v>
      </c>
      <c r="G59" s="109">
        <f t="shared" ca="1" si="13"/>
        <v>1563786.4331263935</v>
      </c>
      <c r="H59" s="109">
        <f t="shared" ca="1" si="13"/>
        <v>1446632.4696434429</v>
      </c>
      <c r="I59" s="109">
        <f t="shared" ca="1" si="13"/>
        <v>1337963.9567865939</v>
      </c>
      <c r="J59" s="109">
        <f t="shared" ca="1" si="13"/>
        <v>1237780.8945558465</v>
      </c>
      <c r="K59" s="109">
        <f t="shared" ca="1" si="13"/>
        <v>1221357.4417311337</v>
      </c>
      <c r="L59" s="109">
        <f t="shared" ca="1" si="13"/>
        <v>1221083.7175173885</v>
      </c>
      <c r="M59" s="109">
        <f t="shared" ca="1" si="13"/>
        <v>1221357.4417311337</v>
      </c>
      <c r="N59" s="109">
        <f t="shared" ca="1" si="13"/>
        <v>1221083.7175173885</v>
      </c>
      <c r="O59" s="109">
        <f t="shared" ca="1" si="13"/>
        <v>1221357.4417311337</v>
      </c>
      <c r="P59" s="109">
        <f t="shared" ca="1" si="13"/>
        <v>1221083.7175173885</v>
      </c>
      <c r="Q59" s="109">
        <f t="shared" ca="1" si="13"/>
        <v>1221357.4417311337</v>
      </c>
      <c r="R59" s="109">
        <f t="shared" ca="1" si="13"/>
        <v>1221083.7175173885</v>
      </c>
      <c r="S59" s="109">
        <f t="shared" ca="1" si="13"/>
        <v>1221357.4417311337</v>
      </c>
      <c r="T59" s="109">
        <f t="shared" ca="1" si="13"/>
        <v>1221083.7175173885</v>
      </c>
      <c r="U59" s="109">
        <f t="shared" ca="1" si="13"/>
        <v>1221357.4417311337</v>
      </c>
      <c r="V59" s="109">
        <f t="shared" ca="1" si="13"/>
        <v>1221083.7175173885</v>
      </c>
      <c r="W59" s="110">
        <f t="shared" ca="1" si="13"/>
        <v>610678.72086556687</v>
      </c>
      <c r="X59" s="107">
        <f t="shared" ca="1" si="3"/>
        <v>27372421.37452114</v>
      </c>
    </row>
    <row r="60" spans="1:24" ht="15" customHeight="1" x14ac:dyDescent="0.25">
      <c r="A60" s="75">
        <f>IF('Cash Flow Analysis'!C76="","",'Cash Flow Analysis'!C76)</f>
        <v>9</v>
      </c>
      <c r="B60" s="1087">
        <f ca="1">IF(A60="","",IF(A60&lt;1,0,IF(A60=1,$B$44-'Cash Flow Analysis'!I76,-'Cash Flow Analysis'!I76)))</f>
        <v>27892497.38063705</v>
      </c>
      <c r="C60" s="108">
        <f t="shared" ref="C60:W60" ca="1" si="14">IF($B$60="","",IF(AND($B$42="Straight Line",C48&lt;=depr_length),$B$60/depr_length,IF(AND($B$42="MACRS",C48&lt;=depr_length+1),$B$60*INDEX(MACRS_Table,MATCH(C48,recovery_year,0),MATCH($B$43,recovery_period,0)),"")))</f>
        <v>1045968.6517738893</v>
      </c>
      <c r="D60" s="109">
        <f t="shared" ca="1" si="14"/>
        <v>2013559.3859081888</v>
      </c>
      <c r="E60" s="109">
        <f t="shared" ca="1" si="14"/>
        <v>1862382.0501051357</v>
      </c>
      <c r="F60" s="109">
        <f t="shared" ca="1" si="14"/>
        <v>1722919.5632019506</v>
      </c>
      <c r="G60" s="109">
        <f t="shared" ca="1" si="14"/>
        <v>1593498.3753557946</v>
      </c>
      <c r="H60" s="109">
        <f t="shared" ca="1" si="14"/>
        <v>1474118.4865666681</v>
      </c>
      <c r="I60" s="109">
        <f t="shared" ca="1" si="14"/>
        <v>1363385.2719655391</v>
      </c>
      <c r="J60" s="109">
        <f t="shared" ca="1" si="14"/>
        <v>1261298.7315524074</v>
      </c>
      <c r="K60" s="109">
        <f t="shared" ca="1" si="14"/>
        <v>1244563.2331240252</v>
      </c>
      <c r="L60" s="109">
        <f t="shared" ca="1" si="14"/>
        <v>1244284.3081502188</v>
      </c>
      <c r="M60" s="109">
        <f t="shared" ca="1" si="14"/>
        <v>1244563.2331240252</v>
      </c>
      <c r="N60" s="109">
        <f t="shared" ca="1" si="14"/>
        <v>1244284.3081502188</v>
      </c>
      <c r="O60" s="109">
        <f t="shared" ca="1" si="14"/>
        <v>1244563.2331240252</v>
      </c>
      <c r="P60" s="109">
        <f t="shared" ca="1" si="14"/>
        <v>1244284.3081502188</v>
      </c>
      <c r="Q60" s="109">
        <f t="shared" ca="1" si="14"/>
        <v>1244563.2331240252</v>
      </c>
      <c r="R60" s="109">
        <f t="shared" ca="1" si="14"/>
        <v>1244284.3081502188</v>
      </c>
      <c r="S60" s="109">
        <f t="shared" ca="1" si="14"/>
        <v>1244563.2331240252</v>
      </c>
      <c r="T60" s="109">
        <f t="shared" ca="1" si="14"/>
        <v>1244284.3081502188</v>
      </c>
      <c r="U60" s="109">
        <f t="shared" ca="1" si="14"/>
        <v>1244563.2331240252</v>
      </c>
      <c r="V60" s="109">
        <f t="shared" ca="1" si="14"/>
        <v>1244284.3081502188</v>
      </c>
      <c r="W60" s="110">
        <f t="shared" ca="1" si="14"/>
        <v>622281.61656201258</v>
      </c>
      <c r="X60" s="107">
        <f t="shared" ca="1" si="3"/>
        <v>27892497.380637046</v>
      </c>
    </row>
    <row r="61" spans="1:24" ht="15" customHeight="1" x14ac:dyDescent="0.25">
      <c r="A61" s="75">
        <f>IF('Cash Flow Analysis'!C77="","",'Cash Flow Analysis'!C77)</f>
        <v>10</v>
      </c>
      <c r="B61" s="1087">
        <f ca="1">IF(A61="","",IF(A61&lt;1,0,IF(A61=1,$B$44-'Cash Flow Analysis'!I77,-'Cash Flow Analysis'!I77)))</f>
        <v>28422454.830869149</v>
      </c>
      <c r="C61" s="108">
        <f t="shared" ref="C61:W61" ca="1" si="15">IF($B$61="","",IF(AND($B$42="Straight Line",C48&lt;=depr_length),$B$61/depr_length,IF(AND($B$42="MACRS",C48&lt;=depr_length+1),$B$61*INDEX(MACRS_Table,MATCH(C48,recovery_year,0),MATCH($B$43,recovery_period,0)),"")))</f>
        <v>1065842.0561575931</v>
      </c>
      <c r="D61" s="109">
        <f t="shared" ca="1" si="15"/>
        <v>2051817.0142404439</v>
      </c>
      <c r="E61" s="109">
        <f t="shared" ca="1" si="15"/>
        <v>1897767.309057133</v>
      </c>
      <c r="F61" s="109">
        <f t="shared" ca="1" si="15"/>
        <v>1755655.0349027873</v>
      </c>
      <c r="G61" s="109">
        <f t="shared" ca="1" si="15"/>
        <v>1623774.8444875546</v>
      </c>
      <c r="H61" s="109">
        <f t="shared" ca="1" si="15"/>
        <v>1502126.7378114345</v>
      </c>
      <c r="I61" s="109">
        <f t="shared" ca="1" si="15"/>
        <v>1389289.5921328841</v>
      </c>
      <c r="J61" s="109">
        <f t="shared" ca="1" si="15"/>
        <v>1285263.407451903</v>
      </c>
      <c r="K61" s="109">
        <f t="shared" ca="1" si="15"/>
        <v>1268209.9345533815</v>
      </c>
      <c r="L61" s="109">
        <f t="shared" ca="1" si="15"/>
        <v>1267925.7100050726</v>
      </c>
      <c r="M61" s="109">
        <f t="shared" ca="1" si="15"/>
        <v>1268209.9345533815</v>
      </c>
      <c r="N61" s="109">
        <f t="shared" ca="1" si="15"/>
        <v>1267925.7100050726</v>
      </c>
      <c r="O61" s="109">
        <f t="shared" ca="1" si="15"/>
        <v>1268209.9345533815</v>
      </c>
      <c r="P61" s="109">
        <f t="shared" ca="1" si="15"/>
        <v>1267925.7100050726</v>
      </c>
      <c r="Q61" s="109">
        <f t="shared" ca="1" si="15"/>
        <v>1268209.9345533815</v>
      </c>
      <c r="R61" s="109">
        <f t="shared" ca="1" si="15"/>
        <v>1267925.7100050726</v>
      </c>
      <c r="S61" s="109">
        <f t="shared" ca="1" si="15"/>
        <v>1268209.9345533815</v>
      </c>
      <c r="T61" s="109">
        <f t="shared" ca="1" si="15"/>
        <v>1267925.7100050726</v>
      </c>
      <c r="U61" s="109">
        <f t="shared" ca="1" si="15"/>
        <v>1268209.9345533815</v>
      </c>
      <c r="V61" s="109">
        <f t="shared" ca="1" si="15"/>
        <v>1267925.7100050726</v>
      </c>
      <c r="W61" s="110">
        <f t="shared" ca="1" si="15"/>
        <v>634104.96727669076</v>
      </c>
      <c r="X61" s="107">
        <f t="shared" ca="1" si="3"/>
        <v>28422454.830869142</v>
      </c>
    </row>
    <row r="62" spans="1:24" ht="15" customHeight="1" x14ac:dyDescent="0.25">
      <c r="A62" s="75">
        <f>IF('Cash Flow Analysis'!C78="","",'Cash Flow Analysis'!C78)</f>
        <v>11</v>
      </c>
      <c r="B62" s="1087">
        <f ca="1">IF(A62="","",IF(A62&lt;1,0,IF(A62=1,$B$44-'Cash Flow Analysis'!I78,-'Cash Flow Analysis'!I78)))</f>
        <v>28962481.472655665</v>
      </c>
      <c r="C62" s="108">
        <f t="shared" ref="C62:W62" ca="1" si="16">IF($B$62="","",IF(AND($B$42="Straight Line",C48&lt;=depr_length),$B$62/depr_length,IF(AND($B$42="MACRS",C48&lt;=depr_length+1),$B$62*INDEX(MACRS_Table,MATCH(C48,recovery_year,0),MATCH($B$43,recovery_period,0)),"")))</f>
        <v>1086093.0552245874</v>
      </c>
      <c r="D62" s="109">
        <f t="shared" ca="1" si="16"/>
        <v>2090801.5375110125</v>
      </c>
      <c r="E62" s="109">
        <f t="shared" ca="1" si="16"/>
        <v>1933824.8879292186</v>
      </c>
      <c r="F62" s="109">
        <f t="shared" ca="1" si="16"/>
        <v>1789012.4805659405</v>
      </c>
      <c r="G62" s="109">
        <f t="shared" ca="1" si="16"/>
        <v>1654626.5665328181</v>
      </c>
      <c r="H62" s="109">
        <f t="shared" ca="1" si="16"/>
        <v>1530667.145829852</v>
      </c>
      <c r="I62" s="109">
        <f t="shared" ca="1" si="16"/>
        <v>1415686.094383409</v>
      </c>
      <c r="J62" s="109">
        <f t="shared" ca="1" si="16"/>
        <v>1309683.4121934893</v>
      </c>
      <c r="K62" s="109">
        <f t="shared" ca="1" si="16"/>
        <v>1292305.9233098957</v>
      </c>
      <c r="L62" s="109">
        <f t="shared" ca="1" si="16"/>
        <v>1292016.298495169</v>
      </c>
      <c r="M62" s="109">
        <f t="shared" ca="1" si="16"/>
        <v>1292305.9233098957</v>
      </c>
      <c r="N62" s="109">
        <f t="shared" ca="1" si="16"/>
        <v>1292016.298495169</v>
      </c>
      <c r="O62" s="109">
        <f t="shared" ca="1" si="16"/>
        <v>1292305.9233098957</v>
      </c>
      <c r="P62" s="109">
        <f t="shared" ca="1" si="16"/>
        <v>1292016.298495169</v>
      </c>
      <c r="Q62" s="109">
        <f t="shared" ca="1" si="16"/>
        <v>1292305.9233098957</v>
      </c>
      <c r="R62" s="109">
        <f t="shared" ca="1" si="16"/>
        <v>1292016.298495169</v>
      </c>
      <c r="S62" s="109">
        <f t="shared" ca="1" si="16"/>
        <v>1292305.9233098957</v>
      </c>
      <c r="T62" s="109">
        <f t="shared" ca="1" si="16"/>
        <v>1292016.298495169</v>
      </c>
      <c r="U62" s="109">
        <f t="shared" ca="1" si="16"/>
        <v>1292305.9233098957</v>
      </c>
      <c r="V62" s="109">
        <f t="shared" ca="1" si="16"/>
        <v>1292016.298495169</v>
      </c>
      <c r="W62" s="110">
        <f t="shared" ca="1" si="16"/>
        <v>646152.96165494784</v>
      </c>
      <c r="X62" s="107">
        <f t="shared" ca="1" si="3"/>
        <v>28962481.472655669</v>
      </c>
    </row>
    <row r="63" spans="1:24" ht="15" customHeight="1" x14ac:dyDescent="0.25">
      <c r="A63" s="75">
        <f>IF('Cash Flow Analysis'!C79="","",'Cash Flow Analysis'!C79)</f>
        <v>12</v>
      </c>
      <c r="B63" s="1087">
        <f ca="1">IF(A63="","",IF(A63&lt;1,0,IF(A63=1,$B$44-'Cash Flow Analysis'!I79,-'Cash Flow Analysis'!I79)))</f>
        <v>29512768.62063612</v>
      </c>
      <c r="C63" s="108">
        <f t="shared" ref="C63:W63" ca="1" si="17">IF($B$63="","",IF(AND($B$42="Straight Line",C48&lt;=depr_length),$B$63/depr_length,IF(AND($B$42="MACRS",C48&lt;=depr_length+1),$B$63*INDEX(MACRS_Table,MATCH(C48,recovery_year,0),MATCH($B$43,recovery_period,0)),"")))</f>
        <v>1106728.8232738546</v>
      </c>
      <c r="D63" s="109">
        <f t="shared" ca="1" si="17"/>
        <v>2130526.7667237218</v>
      </c>
      <c r="E63" s="109">
        <f t="shared" ca="1" si="17"/>
        <v>1970567.5607998737</v>
      </c>
      <c r="F63" s="109">
        <f t="shared" ca="1" si="17"/>
        <v>1823003.717696693</v>
      </c>
      <c r="G63" s="109">
        <f t="shared" ca="1" si="17"/>
        <v>1686064.4712969416</v>
      </c>
      <c r="H63" s="109">
        <f t="shared" ca="1" si="17"/>
        <v>1559749.821600619</v>
      </c>
      <c r="I63" s="109">
        <f t="shared" ca="1" si="17"/>
        <v>1442584.1301766937</v>
      </c>
      <c r="J63" s="109">
        <f t="shared" ca="1" si="17"/>
        <v>1334567.3970251654</v>
      </c>
      <c r="K63" s="109">
        <f t="shared" ca="1" si="17"/>
        <v>1316859.7358527838</v>
      </c>
      <c r="L63" s="109">
        <f t="shared" ca="1" si="17"/>
        <v>1316564.6081665773</v>
      </c>
      <c r="M63" s="109">
        <f t="shared" ca="1" si="17"/>
        <v>1316859.7358527838</v>
      </c>
      <c r="N63" s="109">
        <f t="shared" ca="1" si="17"/>
        <v>1316564.6081665773</v>
      </c>
      <c r="O63" s="109">
        <f t="shared" ca="1" si="17"/>
        <v>1316859.7358527838</v>
      </c>
      <c r="P63" s="109">
        <f t="shared" ca="1" si="17"/>
        <v>1316564.6081665773</v>
      </c>
      <c r="Q63" s="109">
        <f t="shared" ca="1" si="17"/>
        <v>1316859.7358527838</v>
      </c>
      <c r="R63" s="109">
        <f t="shared" ca="1" si="17"/>
        <v>1316564.6081665773</v>
      </c>
      <c r="S63" s="109">
        <f t="shared" ca="1" si="17"/>
        <v>1316859.7358527838</v>
      </c>
      <c r="T63" s="109">
        <f t="shared" ca="1" si="17"/>
        <v>1316564.6081665773</v>
      </c>
      <c r="U63" s="109">
        <f t="shared" ca="1" si="17"/>
        <v>1316859.7358527838</v>
      </c>
      <c r="V63" s="109">
        <f t="shared" ca="1" si="17"/>
        <v>1316564.6081665773</v>
      </c>
      <c r="W63" s="110">
        <f t="shared" ca="1" si="17"/>
        <v>658429.86792639189</v>
      </c>
      <c r="X63" s="107">
        <f t="shared" ca="1" si="3"/>
        <v>29512768.620636124</v>
      </c>
    </row>
    <row r="64" spans="1:24" ht="15" customHeight="1" x14ac:dyDescent="0.25">
      <c r="A64" s="75">
        <f>IF('Cash Flow Analysis'!C80="","",'Cash Flow Analysis'!C80)</f>
        <v>13</v>
      </c>
      <c r="B64" s="1087">
        <f ca="1">IF(A64="","",IF(A64&lt;1,0,IF(A64=1,$B$44-'Cash Flow Analysis'!I80,-'Cash Flow Analysis'!I80)))</f>
        <v>30073511.224428207</v>
      </c>
      <c r="C64" s="108">
        <f t="shared" ref="C64:W64" ca="1" si="18">IF($B$64="","",IF(AND($B$42="Straight Line",C48&lt;=depr_length),$B$64/depr_length,IF(AND($B$42="MACRS",C48&lt;=depr_length+1),$B$64*INDEX(MACRS_Table,MATCH(C48,recovery_year,0),MATCH($B$43,recovery_period,0)),"")))</f>
        <v>1127756.6709160577</v>
      </c>
      <c r="D64" s="109">
        <f t="shared" ca="1" si="18"/>
        <v>2171006.7752914722</v>
      </c>
      <c r="E64" s="109">
        <f t="shared" ca="1" si="18"/>
        <v>2008008.3444550713</v>
      </c>
      <c r="F64" s="109">
        <f t="shared" ca="1" si="18"/>
        <v>1857640.7883329303</v>
      </c>
      <c r="G64" s="109">
        <f t="shared" ca="1" si="18"/>
        <v>1718099.6962515835</v>
      </c>
      <c r="H64" s="109">
        <f t="shared" ca="1" si="18"/>
        <v>1589385.0682110307</v>
      </c>
      <c r="I64" s="109">
        <f t="shared" ca="1" si="18"/>
        <v>1469993.2286500507</v>
      </c>
      <c r="J64" s="109">
        <f t="shared" ca="1" si="18"/>
        <v>1359924.1775686436</v>
      </c>
      <c r="K64" s="109">
        <f t="shared" ca="1" si="18"/>
        <v>1341880.0708339866</v>
      </c>
      <c r="L64" s="109">
        <f t="shared" ca="1" si="18"/>
        <v>1341579.3357217421</v>
      </c>
      <c r="M64" s="109">
        <f t="shared" ca="1" si="18"/>
        <v>1341880.0708339866</v>
      </c>
      <c r="N64" s="109">
        <f t="shared" ca="1" si="18"/>
        <v>1341579.3357217421</v>
      </c>
      <c r="O64" s="109">
        <f t="shared" ca="1" si="18"/>
        <v>1341880.0708339866</v>
      </c>
      <c r="P64" s="109">
        <f t="shared" ca="1" si="18"/>
        <v>1341579.3357217421</v>
      </c>
      <c r="Q64" s="109">
        <f t="shared" ca="1" si="18"/>
        <v>1341880.0708339866</v>
      </c>
      <c r="R64" s="109">
        <f t="shared" ca="1" si="18"/>
        <v>1341579.3357217421</v>
      </c>
      <c r="S64" s="109">
        <f t="shared" ca="1" si="18"/>
        <v>1341880.0708339866</v>
      </c>
      <c r="T64" s="109">
        <f t="shared" ca="1" si="18"/>
        <v>1341579.3357217421</v>
      </c>
      <c r="U64" s="109">
        <f t="shared" ca="1" si="18"/>
        <v>1341880.0708339866</v>
      </c>
      <c r="V64" s="109">
        <f t="shared" ca="1" si="18"/>
        <v>1341579.3357217421</v>
      </c>
      <c r="W64" s="110">
        <f t="shared" ca="1" si="18"/>
        <v>670940.03541699331</v>
      </c>
      <c r="X64" s="107">
        <f t="shared" ca="1" si="3"/>
        <v>30073511.224428199</v>
      </c>
    </row>
    <row r="65" spans="1:24" ht="15" customHeight="1" x14ac:dyDescent="0.25">
      <c r="A65" s="75">
        <f>IF('Cash Flow Analysis'!C81="","",'Cash Flow Analysis'!C81)</f>
        <v>14</v>
      </c>
      <c r="B65" s="1087">
        <f ca="1">IF(A65="","",IF(A65&lt;1,0,IF(A65=1,$B$44-'Cash Flow Analysis'!I81,-'Cash Flow Analysis'!I81)))</f>
        <v>30644907.937692333</v>
      </c>
      <c r="C65" s="108">
        <f t="shared" ref="C65:W65" ca="1" si="19">IF($B$65="","",IF(AND($B$42="Straight Line",C48&lt;=depr_length),$B$65/depr_length,IF(AND($B$42="MACRS",C48&lt;=depr_length+1),$B$65*INDEX(MACRS_Table,MATCH(C48,recovery_year,0),MATCH($B$43,recovery_period,0)),"")))</f>
        <v>1149184.0476634623</v>
      </c>
      <c r="D65" s="109">
        <f t="shared" ca="1" si="19"/>
        <v>2212255.9040220096</v>
      </c>
      <c r="E65" s="109">
        <f t="shared" ca="1" si="19"/>
        <v>2046160.5029997169</v>
      </c>
      <c r="F65" s="109">
        <f t="shared" ca="1" si="19"/>
        <v>1892935.9633112554</v>
      </c>
      <c r="G65" s="109">
        <f t="shared" ca="1" si="19"/>
        <v>1750743.590480363</v>
      </c>
      <c r="H65" s="109">
        <f t="shared" ca="1" si="19"/>
        <v>1619583.3845070398</v>
      </c>
      <c r="I65" s="109">
        <f t="shared" ca="1" si="19"/>
        <v>1497923.0999944012</v>
      </c>
      <c r="J65" s="109">
        <f t="shared" ca="1" si="19"/>
        <v>1385762.7369424475</v>
      </c>
      <c r="K65" s="109">
        <f t="shared" ca="1" si="19"/>
        <v>1367375.792179832</v>
      </c>
      <c r="L65" s="109">
        <f t="shared" ca="1" si="19"/>
        <v>1367069.3431004549</v>
      </c>
      <c r="M65" s="109">
        <f t="shared" ca="1" si="19"/>
        <v>1367375.792179832</v>
      </c>
      <c r="N65" s="109">
        <f t="shared" ca="1" si="19"/>
        <v>1367069.3431004549</v>
      </c>
      <c r="O65" s="109">
        <f t="shared" ca="1" si="19"/>
        <v>1367375.792179832</v>
      </c>
      <c r="P65" s="109">
        <f t="shared" ca="1" si="19"/>
        <v>1367069.3431004549</v>
      </c>
      <c r="Q65" s="109">
        <f t="shared" ca="1" si="19"/>
        <v>1367375.792179832</v>
      </c>
      <c r="R65" s="109">
        <f t="shared" ca="1" si="19"/>
        <v>1367069.3431004549</v>
      </c>
      <c r="S65" s="109">
        <f t="shared" ca="1" si="19"/>
        <v>1367375.792179832</v>
      </c>
      <c r="T65" s="109">
        <f t="shared" ca="1" si="19"/>
        <v>1367069.3431004549</v>
      </c>
      <c r="U65" s="109">
        <f t="shared" ca="1" si="19"/>
        <v>1367375.792179832</v>
      </c>
      <c r="V65" s="109">
        <f t="shared" ca="1" si="19"/>
        <v>1367069.3431004549</v>
      </c>
      <c r="W65" s="110">
        <f t="shared" ca="1" si="19"/>
        <v>683687.896089916</v>
      </c>
      <c r="X65" s="107">
        <f t="shared" ca="1" si="3"/>
        <v>30644907.937692322</v>
      </c>
    </row>
    <row r="66" spans="1:24" ht="15" customHeight="1" x14ac:dyDescent="0.25">
      <c r="A66" s="75">
        <f>IF('Cash Flow Analysis'!C82="","",'Cash Flow Analysis'!C82)</f>
        <v>15</v>
      </c>
      <c r="B66" s="1087">
        <f ca="1">IF(A66="","",IF(A66&lt;1,0,IF(A66=1,$B$44-'Cash Flow Analysis'!I82,-'Cash Flow Analysis'!I82)))</f>
        <v>31227161.188508496</v>
      </c>
      <c r="C66" s="108">
        <f t="shared" ref="C66:W66" ca="1" si="20">IF($B$66="","",IF(AND($B$42="Straight Line",C48&lt;=depr_length),$B$66/depr_length,IF(AND($B$42="MACRS",C48&lt;=depr_length+1),$B$66*INDEX(MACRS_Table,MATCH(C48,recovery_year,0),MATCH($B$43,recovery_period,0)),"")))</f>
        <v>1171018.5445690686</v>
      </c>
      <c r="D66" s="109">
        <f t="shared" ca="1" si="20"/>
        <v>2254288.7661984283</v>
      </c>
      <c r="E66" s="109">
        <f t="shared" ca="1" si="20"/>
        <v>2085037.5525567122</v>
      </c>
      <c r="F66" s="109">
        <f t="shared" ca="1" si="20"/>
        <v>1928901.7466141698</v>
      </c>
      <c r="G66" s="109">
        <f t="shared" ca="1" si="20"/>
        <v>1784007.7186994904</v>
      </c>
      <c r="H66" s="109">
        <f t="shared" ca="1" si="20"/>
        <v>1650355.4688126741</v>
      </c>
      <c r="I66" s="109">
        <f t="shared" ca="1" si="20"/>
        <v>1526383.6388942953</v>
      </c>
      <c r="J66" s="109">
        <f t="shared" ca="1" si="20"/>
        <v>1412092.2289443542</v>
      </c>
      <c r="K66" s="109">
        <f t="shared" ca="1" si="20"/>
        <v>1393355.9322312491</v>
      </c>
      <c r="L66" s="109">
        <f t="shared" ca="1" si="20"/>
        <v>1393043.6606193639</v>
      </c>
      <c r="M66" s="109">
        <f t="shared" ca="1" si="20"/>
        <v>1393355.9322312491</v>
      </c>
      <c r="N66" s="109">
        <f t="shared" ca="1" si="20"/>
        <v>1393043.6606193639</v>
      </c>
      <c r="O66" s="109">
        <f t="shared" ca="1" si="20"/>
        <v>1393355.9322312491</v>
      </c>
      <c r="P66" s="109">
        <f t="shared" ca="1" si="20"/>
        <v>1393043.6606193639</v>
      </c>
      <c r="Q66" s="109">
        <f t="shared" ca="1" si="20"/>
        <v>1393355.9322312491</v>
      </c>
      <c r="R66" s="109">
        <f t="shared" ca="1" si="20"/>
        <v>1393043.6606193639</v>
      </c>
      <c r="S66" s="109">
        <f t="shared" ca="1" si="20"/>
        <v>1393355.9322312491</v>
      </c>
      <c r="T66" s="109">
        <f t="shared" ca="1" si="20"/>
        <v>1393043.6606193639</v>
      </c>
      <c r="U66" s="109">
        <f t="shared" ca="1" si="20"/>
        <v>1393355.9322312491</v>
      </c>
      <c r="V66" s="109">
        <f t="shared" ca="1" si="20"/>
        <v>1393043.6606193639</v>
      </c>
      <c r="W66" s="110">
        <f t="shared" ca="1" si="20"/>
        <v>696677.96611562453</v>
      </c>
      <c r="X66" s="107">
        <f t="shared" ca="1" si="3"/>
        <v>31227161.188508485</v>
      </c>
    </row>
    <row r="67" spans="1:24" ht="15" customHeight="1" x14ac:dyDescent="0.25">
      <c r="A67" s="75">
        <f>IF('Cash Flow Analysis'!C83="","",'Cash Flow Analysis'!C83)</f>
        <v>16</v>
      </c>
      <c r="B67" s="1087">
        <f ca="1">IF(A67="","",IF(A67&lt;1,0,IF(A67=1,$B$44-'Cash Flow Analysis'!I83,-'Cash Flow Analysis'!I83)))</f>
        <v>31820477.251090154</v>
      </c>
      <c r="C67" s="108">
        <f t="shared" ref="C67:W67" ca="1" si="21">IF($B$67="","",IF(AND($B$42="Straight Line",C48&lt;=depr_length),$B$67/depr_length,IF(AND($B$42="MACRS",C48&lt;=depr_length+1),$B$67*INDEX(MACRS_Table,MATCH(C48,recovery_year,0),MATCH($B$43,recovery_period,0)),"")))</f>
        <v>1193267.8969158807</v>
      </c>
      <c r="D67" s="109">
        <f t="shared" ca="1" si="21"/>
        <v>2297120.2527561984</v>
      </c>
      <c r="E67" s="109">
        <f t="shared" ca="1" si="21"/>
        <v>2124653.2660552897</v>
      </c>
      <c r="F67" s="109">
        <f t="shared" ca="1" si="21"/>
        <v>1965550.8797998389</v>
      </c>
      <c r="G67" s="109">
        <f t="shared" ca="1" si="21"/>
        <v>1817903.8653547806</v>
      </c>
      <c r="H67" s="109">
        <f t="shared" ca="1" si="21"/>
        <v>1681712.2227201147</v>
      </c>
      <c r="I67" s="109">
        <f t="shared" ca="1" si="21"/>
        <v>1555384.9280332867</v>
      </c>
      <c r="J67" s="109">
        <f t="shared" ca="1" si="21"/>
        <v>1438921.9812942969</v>
      </c>
      <c r="K67" s="109">
        <f t="shared" ca="1" si="21"/>
        <v>1419829.6949436427</v>
      </c>
      <c r="L67" s="109">
        <f t="shared" ca="1" si="21"/>
        <v>1419511.4901711317</v>
      </c>
      <c r="M67" s="109">
        <f t="shared" ca="1" si="21"/>
        <v>1419829.6949436427</v>
      </c>
      <c r="N67" s="109">
        <f t="shared" ca="1" si="21"/>
        <v>1419511.4901711317</v>
      </c>
      <c r="O67" s="109">
        <f t="shared" ca="1" si="21"/>
        <v>1419829.6949436427</v>
      </c>
      <c r="P67" s="109">
        <f t="shared" ca="1" si="21"/>
        <v>1419511.4901711317</v>
      </c>
      <c r="Q67" s="109">
        <f t="shared" ca="1" si="21"/>
        <v>1419829.6949436427</v>
      </c>
      <c r="R67" s="109">
        <f t="shared" ca="1" si="21"/>
        <v>1419511.4901711317</v>
      </c>
      <c r="S67" s="109">
        <f t="shared" ca="1" si="21"/>
        <v>1419829.6949436427</v>
      </c>
      <c r="T67" s="109">
        <f t="shared" ca="1" si="21"/>
        <v>1419511.4901711317</v>
      </c>
      <c r="U67" s="109">
        <f t="shared" ca="1" si="21"/>
        <v>1419829.6949436427</v>
      </c>
      <c r="V67" s="109">
        <f t="shared" ca="1" si="21"/>
        <v>1419511.4901711317</v>
      </c>
      <c r="W67" s="110">
        <f t="shared" ca="1" si="21"/>
        <v>709914.84747182135</v>
      </c>
      <c r="X67" s="107">
        <f t="shared" ca="1" si="3"/>
        <v>31820477.251090158</v>
      </c>
    </row>
    <row r="68" spans="1:24" ht="15" customHeight="1" x14ac:dyDescent="0.25">
      <c r="A68" s="75">
        <f>IF('Cash Flow Analysis'!C84="","",'Cash Flow Analysis'!C84)</f>
        <v>17</v>
      </c>
      <c r="B68" s="1087">
        <f ca="1">IF(A68="","",IF(A68&lt;1,0,IF(A68=1,$B$44-'Cash Flow Analysis'!I84,-'Cash Flow Analysis'!I84)))</f>
        <v>32425066.318860866</v>
      </c>
      <c r="C68" s="108">
        <f t="shared" ref="C68:W68" ca="1" si="22">IF($B$68="","",IF(AND($B$42="Straight Line",C48&lt;=depr_length),$B$68/depr_length,IF(AND($B$42="MACRS",C48&lt;=depr_length+1),$B$68*INDEX(MACRS_Table,MATCH(C48,recovery_year,0),MATCH($B$43,recovery_period,0)),"")))</f>
        <v>1215939.9869572825</v>
      </c>
      <c r="D68" s="109">
        <f t="shared" ca="1" si="22"/>
        <v>2340765.5375585658</v>
      </c>
      <c r="E68" s="109">
        <f t="shared" ca="1" si="22"/>
        <v>2165021.6781103397</v>
      </c>
      <c r="F68" s="109">
        <f t="shared" ca="1" si="22"/>
        <v>2002896.3465160357</v>
      </c>
      <c r="G68" s="109">
        <f t="shared" ca="1" si="22"/>
        <v>1852444.0387965213</v>
      </c>
      <c r="H68" s="109">
        <f t="shared" ca="1" si="22"/>
        <v>1713664.7549517967</v>
      </c>
      <c r="I68" s="109">
        <f t="shared" ca="1" si="22"/>
        <v>1584937.2416659191</v>
      </c>
      <c r="J68" s="109">
        <f t="shared" ca="1" si="22"/>
        <v>1466261.4989388885</v>
      </c>
      <c r="K68" s="109">
        <f t="shared" ca="1" si="22"/>
        <v>1446806.4591475718</v>
      </c>
      <c r="L68" s="109">
        <f t="shared" ca="1" si="22"/>
        <v>1446482.2084843831</v>
      </c>
      <c r="M68" s="109">
        <f t="shared" ca="1" si="22"/>
        <v>1446806.4591475718</v>
      </c>
      <c r="N68" s="109">
        <f t="shared" ca="1" si="22"/>
        <v>1446482.2084843831</v>
      </c>
      <c r="O68" s="109">
        <f t="shared" ca="1" si="22"/>
        <v>1446806.4591475718</v>
      </c>
      <c r="P68" s="109">
        <f t="shared" ca="1" si="22"/>
        <v>1446482.2084843831</v>
      </c>
      <c r="Q68" s="109">
        <f t="shared" ca="1" si="22"/>
        <v>1446806.4591475718</v>
      </c>
      <c r="R68" s="109">
        <f t="shared" ca="1" si="22"/>
        <v>1446482.2084843831</v>
      </c>
      <c r="S68" s="109">
        <f t="shared" ca="1" si="22"/>
        <v>1446806.4591475718</v>
      </c>
      <c r="T68" s="109">
        <f t="shared" ca="1" si="22"/>
        <v>1446482.2084843831</v>
      </c>
      <c r="U68" s="109">
        <f t="shared" ca="1" si="22"/>
        <v>1446806.4591475718</v>
      </c>
      <c r="V68" s="109">
        <f t="shared" ca="1" si="22"/>
        <v>1446482.2084843831</v>
      </c>
      <c r="W68" s="110">
        <f t="shared" ca="1" si="22"/>
        <v>723403.22957378591</v>
      </c>
      <c r="X68" s="107">
        <f t="shared" ca="1" si="3"/>
        <v>32425066.318860859</v>
      </c>
    </row>
    <row r="69" spans="1:24" ht="15" customHeight="1" x14ac:dyDescent="0.25">
      <c r="A69" s="75">
        <f>IF('Cash Flow Analysis'!C85="","",'Cash Flow Analysis'!C85)</f>
        <v>18</v>
      </c>
      <c r="B69" s="1087">
        <f ca="1">IF(A69="","",IF(A69&lt;1,0,IF(A69=1,$B$44-'Cash Flow Analysis'!I85,-'Cash Flow Analysis'!I85)))</f>
        <v>33041142.578919221</v>
      </c>
      <c r="C69" s="108">
        <f t="shared" ref="C69:W69" ca="1" si="23">IF($B$69="","",IF(AND($B$42="Straight Line",C48&lt;=depr_length),$B$69/depr_length,IF(AND($B$42="MACRS",C48&lt;=depr_length+1),$B$69*INDEX(MACRS_Table,MATCH(C48,recovery_year,0),MATCH($B$43,recovery_period,0)),"")))</f>
        <v>1239042.8467094707</v>
      </c>
      <c r="D69" s="109">
        <f t="shared" ca="1" si="23"/>
        <v>2385240.0827721786</v>
      </c>
      <c r="E69" s="109">
        <f t="shared" ca="1" si="23"/>
        <v>2206157.0899944361</v>
      </c>
      <c r="F69" s="109">
        <f t="shared" ca="1" si="23"/>
        <v>2040951.3770998402</v>
      </c>
      <c r="G69" s="109">
        <f t="shared" ca="1" si="23"/>
        <v>1887640.4755336551</v>
      </c>
      <c r="H69" s="109">
        <f t="shared" ca="1" si="23"/>
        <v>1746224.385295881</v>
      </c>
      <c r="I69" s="109">
        <f t="shared" ca="1" si="23"/>
        <v>1615051.0492575716</v>
      </c>
      <c r="J69" s="109">
        <f t="shared" ca="1" si="23"/>
        <v>1494120.4674187272</v>
      </c>
      <c r="K69" s="109">
        <f t="shared" ca="1" si="23"/>
        <v>1474295.7818713756</v>
      </c>
      <c r="L69" s="109">
        <f t="shared" ca="1" si="23"/>
        <v>1473965.3704455863</v>
      </c>
      <c r="M69" s="109">
        <f t="shared" ca="1" si="23"/>
        <v>1474295.7818713756</v>
      </c>
      <c r="N69" s="109">
        <f t="shared" ca="1" si="23"/>
        <v>1473965.3704455863</v>
      </c>
      <c r="O69" s="109">
        <f t="shared" ca="1" si="23"/>
        <v>1474295.7818713756</v>
      </c>
      <c r="P69" s="109">
        <f t="shared" ca="1" si="23"/>
        <v>1473965.3704455863</v>
      </c>
      <c r="Q69" s="109">
        <f t="shared" ca="1" si="23"/>
        <v>1474295.7818713756</v>
      </c>
      <c r="R69" s="109">
        <f t="shared" ca="1" si="23"/>
        <v>1473965.3704455863</v>
      </c>
      <c r="S69" s="109">
        <f t="shared" ca="1" si="23"/>
        <v>1474295.7818713756</v>
      </c>
      <c r="T69" s="109">
        <f t="shared" ca="1" si="23"/>
        <v>1473965.3704455863</v>
      </c>
      <c r="U69" s="109">
        <f t="shared" ca="1" si="23"/>
        <v>1474295.7818713756</v>
      </c>
      <c r="V69" s="109">
        <f t="shared" ca="1" si="23"/>
        <v>1473965.3704455863</v>
      </c>
      <c r="W69" s="110">
        <f t="shared" ca="1" si="23"/>
        <v>737147.89093568781</v>
      </c>
      <c r="X69" s="107">
        <f t="shared" ca="1" si="3"/>
        <v>33041142.578919217</v>
      </c>
    </row>
    <row r="70" spans="1:24" ht="15" customHeight="1" x14ac:dyDescent="0.25">
      <c r="A70" s="75">
        <f>IF('Cash Flow Analysis'!C86="","",'Cash Flow Analysis'!C86)</f>
        <v>19</v>
      </c>
      <c r="B70" s="1087">
        <f ca="1">IF(A70="","",IF(A70&lt;1,0,IF(A70=1,$B$44-'Cash Flow Analysis'!I86,-'Cash Flow Analysis'!I86)))</f>
        <v>33668924.287918679</v>
      </c>
      <c r="C70" s="108">
        <f t="shared" ref="C70:W70" ca="1" si="24">IF($B$70="","",IF(AND($B$42="Straight Line",C48&lt;=depr_length),$B$70/depr_length,IF(AND($B$42="MACRS",C48&lt;=depr_length+1),$B$70*INDEX(MACRS_Table,MATCH(C48,recovery_year,0),MATCH($B$43,recovery_period,0)),"")))</f>
        <v>1262584.6607969503</v>
      </c>
      <c r="D70" s="109">
        <f t="shared" ca="1" si="24"/>
        <v>2430559.6443448495</v>
      </c>
      <c r="E70" s="109">
        <f t="shared" ca="1" si="24"/>
        <v>2248074.0747043299</v>
      </c>
      <c r="F70" s="109">
        <f t="shared" ca="1" si="24"/>
        <v>2079729.4532647368</v>
      </c>
      <c r="G70" s="109">
        <f t="shared" ca="1" si="24"/>
        <v>1923505.6445687942</v>
      </c>
      <c r="H70" s="109">
        <f t="shared" ca="1" si="24"/>
        <v>1779402.6486165023</v>
      </c>
      <c r="I70" s="109">
        <f t="shared" ca="1" si="24"/>
        <v>1645737.0191934651</v>
      </c>
      <c r="J70" s="109">
        <f t="shared" ca="1" si="24"/>
        <v>1522508.7562996829</v>
      </c>
      <c r="K70" s="109">
        <f t="shared" ca="1" si="24"/>
        <v>1502307.4017269316</v>
      </c>
      <c r="L70" s="109">
        <f t="shared" ca="1" si="24"/>
        <v>1501970.7124840522</v>
      </c>
      <c r="M70" s="109">
        <f t="shared" ca="1" si="24"/>
        <v>1502307.4017269316</v>
      </c>
      <c r="N70" s="109">
        <f t="shared" ca="1" si="24"/>
        <v>1501970.7124840522</v>
      </c>
      <c r="O70" s="109">
        <f t="shared" ca="1" si="24"/>
        <v>1502307.4017269316</v>
      </c>
      <c r="P70" s="109">
        <f t="shared" ca="1" si="24"/>
        <v>1501970.7124840522</v>
      </c>
      <c r="Q70" s="109">
        <f t="shared" ca="1" si="24"/>
        <v>1502307.4017269316</v>
      </c>
      <c r="R70" s="109">
        <f t="shared" ca="1" si="24"/>
        <v>1501970.7124840522</v>
      </c>
      <c r="S70" s="109">
        <f t="shared" ca="1" si="24"/>
        <v>1502307.4017269316</v>
      </c>
      <c r="T70" s="109">
        <f t="shared" ca="1" si="24"/>
        <v>1501970.7124840522</v>
      </c>
      <c r="U70" s="109">
        <f t="shared" ca="1" si="24"/>
        <v>1502307.4017269316</v>
      </c>
      <c r="V70" s="109">
        <f t="shared" ca="1" si="24"/>
        <v>1501970.7124840522</v>
      </c>
      <c r="W70" s="110">
        <f t="shared" ca="1" si="24"/>
        <v>751153.70086346578</v>
      </c>
      <c r="X70" s="107">
        <f t="shared" ca="1" si="3"/>
        <v>33668924.287918672</v>
      </c>
    </row>
    <row r="71" spans="1:24" ht="15" customHeight="1" x14ac:dyDescent="0.25">
      <c r="A71" s="75">
        <f>IF('Cash Flow Analysis'!C87="","",'Cash Flow Analysis'!C87)</f>
        <v>20</v>
      </c>
      <c r="B71" s="1087">
        <f ca="1">IF(A71="","",IF(A71&lt;1,0,IF(A71=1,$B$44-'Cash Flow Analysis'!I87,-'Cash Flow Analysis'!I87)))</f>
        <v>34308633.849389143</v>
      </c>
      <c r="C71" s="108">
        <f t="shared" ref="C71:W71" ca="1" si="25">IF($B$71="","",IF(AND($B$42="Straight Line",C48&lt;=depr_length),$B$71/depr_length,IF(AND($B$42="MACRS",C48&lt;=depr_length+1),$B$71*INDEX(MACRS_Table,MATCH(C48,recovery_year,0),MATCH($B$43,recovery_period,0)),"")))</f>
        <v>1286573.7693520929</v>
      </c>
      <c r="D71" s="109">
        <f t="shared" ca="1" si="25"/>
        <v>2476740.2775874026</v>
      </c>
      <c r="E71" s="109">
        <f t="shared" ca="1" si="25"/>
        <v>2290787.482123713</v>
      </c>
      <c r="F71" s="109">
        <f t="shared" ca="1" si="25"/>
        <v>2119244.3128767675</v>
      </c>
      <c r="G71" s="109">
        <f t="shared" ca="1" si="25"/>
        <v>1960052.2518156017</v>
      </c>
      <c r="H71" s="109">
        <f t="shared" ca="1" si="25"/>
        <v>1813211.2989402162</v>
      </c>
      <c r="I71" s="109">
        <f t="shared" ca="1" si="25"/>
        <v>1677006.0225581413</v>
      </c>
      <c r="J71" s="109">
        <f t="shared" ca="1" si="25"/>
        <v>1551436.4226693772</v>
      </c>
      <c r="K71" s="109">
        <f t="shared" ca="1" si="25"/>
        <v>1530851.2423597437</v>
      </c>
      <c r="L71" s="109">
        <f t="shared" ca="1" si="25"/>
        <v>1530508.1560212495</v>
      </c>
      <c r="M71" s="109">
        <f t="shared" ca="1" si="25"/>
        <v>1530851.2423597437</v>
      </c>
      <c r="N71" s="109">
        <f t="shared" ca="1" si="25"/>
        <v>1530508.1560212495</v>
      </c>
      <c r="O71" s="109">
        <f t="shared" ca="1" si="25"/>
        <v>1530851.2423597437</v>
      </c>
      <c r="P71" s="109">
        <f t="shared" ca="1" si="25"/>
        <v>1530508.1560212495</v>
      </c>
      <c r="Q71" s="109">
        <f t="shared" ca="1" si="25"/>
        <v>1530851.2423597437</v>
      </c>
      <c r="R71" s="109">
        <f t="shared" ca="1" si="25"/>
        <v>1530508.1560212495</v>
      </c>
      <c r="S71" s="109">
        <f t="shared" ca="1" si="25"/>
        <v>1530851.2423597437</v>
      </c>
      <c r="T71" s="109">
        <f t="shared" ca="1" si="25"/>
        <v>1530508.1560212495</v>
      </c>
      <c r="U71" s="109">
        <f t="shared" ca="1" si="25"/>
        <v>1530851.2423597437</v>
      </c>
      <c r="V71" s="109">
        <f t="shared" ca="1" si="25"/>
        <v>1530508.1560212495</v>
      </c>
      <c r="W71" s="110">
        <f t="shared" ca="1" si="25"/>
        <v>765425.62117987184</v>
      </c>
      <c r="X71" s="107">
        <f t="shared" ca="1" si="3"/>
        <v>34308633.849389136</v>
      </c>
    </row>
    <row r="72" spans="1:24" ht="15" customHeight="1" x14ac:dyDescent="0.25">
      <c r="A72" s="75">
        <f>IF('Cash Flow Analysis'!C88="","",'Cash Flow Analysis'!C88)</f>
        <v>21</v>
      </c>
      <c r="B72" s="1087">
        <f ca="1">IF(A72="","",IF(A72&lt;1,0,IF(A72=1,$B$44-'Cash Flow Analysis'!I88,-'Cash Flow Analysis'!I88)))</f>
        <v>34960497.892527528</v>
      </c>
      <c r="C72" s="108">
        <f t="shared" ref="C72:W72" ca="1" si="26">IF($B$72="","",IF(AND($B$42="Straight Line",C48&lt;=depr_length),$B$72/depr_length,IF(AND($B$42="MACRS",C48&lt;=depr_length+1),$B$72*INDEX(MACRS_Table,MATCH(C48,recovery_year,0),MATCH($B$43,recovery_period,0)),"")))</f>
        <v>1311018.6709697822</v>
      </c>
      <c r="D72" s="109">
        <f t="shared" ca="1" si="26"/>
        <v>2523798.3428615625</v>
      </c>
      <c r="E72" s="109">
        <f t="shared" ca="1" si="26"/>
        <v>2334312.4442840628</v>
      </c>
      <c r="F72" s="109">
        <f t="shared" ca="1" si="26"/>
        <v>2159509.9548214255</v>
      </c>
      <c r="G72" s="109">
        <f t="shared" ca="1" si="26"/>
        <v>1997293.2446000976</v>
      </c>
      <c r="H72" s="109">
        <f t="shared" ca="1" si="26"/>
        <v>1847662.31362008</v>
      </c>
      <c r="I72" s="109">
        <f t="shared" ca="1" si="26"/>
        <v>1708869.1369867455</v>
      </c>
      <c r="J72" s="109">
        <f t="shared" ca="1" si="26"/>
        <v>1580913.7147000949</v>
      </c>
      <c r="K72" s="109">
        <f t="shared" ca="1" si="26"/>
        <v>1559937.4159645783</v>
      </c>
      <c r="L72" s="109">
        <f t="shared" ca="1" si="26"/>
        <v>1559587.810985653</v>
      </c>
      <c r="M72" s="109">
        <f t="shared" ca="1" si="26"/>
        <v>1559937.4159645783</v>
      </c>
      <c r="N72" s="109">
        <f t="shared" ca="1" si="26"/>
        <v>1559587.810985653</v>
      </c>
      <c r="O72" s="109">
        <f t="shared" ca="1" si="26"/>
        <v>1559937.4159645783</v>
      </c>
      <c r="P72" s="109">
        <f t="shared" ca="1" si="26"/>
        <v>1559587.810985653</v>
      </c>
      <c r="Q72" s="109">
        <f t="shared" ca="1" si="26"/>
        <v>1559937.4159645783</v>
      </c>
      <c r="R72" s="109">
        <f t="shared" ca="1" si="26"/>
        <v>1559587.810985653</v>
      </c>
      <c r="S72" s="109">
        <f t="shared" ca="1" si="26"/>
        <v>1559937.4159645783</v>
      </c>
      <c r="T72" s="109">
        <f t="shared" ca="1" si="26"/>
        <v>1559587.810985653</v>
      </c>
      <c r="U72" s="109">
        <f t="shared" ca="1" si="26"/>
        <v>1559937.4159645783</v>
      </c>
      <c r="V72" s="109">
        <f t="shared" ca="1" si="26"/>
        <v>1559587.810985653</v>
      </c>
      <c r="W72" s="110">
        <f t="shared" ca="1" si="26"/>
        <v>779968.70798228914</v>
      </c>
      <c r="X72" s="107">
        <f t="shared" ca="1" si="3"/>
        <v>34960497.892527528</v>
      </c>
    </row>
    <row r="73" spans="1:24" ht="15" customHeight="1" x14ac:dyDescent="0.25">
      <c r="A73" s="75">
        <f>IF('Cash Flow Analysis'!C89="","",'Cash Flow Analysis'!C89)</f>
        <v>22</v>
      </c>
      <c r="B73" s="1087">
        <f ca="1">IF(A73="","",IF(A73&lt;1,0,IF(A73=1,$B$44-'Cash Flow Analysis'!I89,-'Cash Flow Analysis'!I89)))</f>
        <v>35624747.352485552</v>
      </c>
      <c r="C73" s="108">
        <f t="shared" ref="C73:W73" ca="1" si="27">IF($B$73="","",IF(AND($B$42="Straight Line",C48&lt;=depr_length),$B$73/depr_length,IF(AND($B$42="MACRS",C48&lt;=depr_length+1),$B$73*INDEX(MACRS_Table,MATCH(C48,recovery_year,0),MATCH($B$43,recovery_period,0)),"")))</f>
        <v>1335928.0257182082</v>
      </c>
      <c r="D73" s="109">
        <f t="shared" ca="1" si="27"/>
        <v>2571750.511375932</v>
      </c>
      <c r="E73" s="109">
        <f t="shared" ca="1" si="27"/>
        <v>2378664.3807254601</v>
      </c>
      <c r="F73" s="109">
        <f t="shared" ca="1" si="27"/>
        <v>2200540.6439630324</v>
      </c>
      <c r="G73" s="109">
        <f t="shared" ca="1" si="27"/>
        <v>2035241.8162474995</v>
      </c>
      <c r="H73" s="109">
        <f t="shared" ca="1" si="27"/>
        <v>1882767.8975788616</v>
      </c>
      <c r="I73" s="109">
        <f t="shared" ca="1" si="27"/>
        <v>1741337.6505894938</v>
      </c>
      <c r="J73" s="109">
        <f t="shared" ca="1" si="27"/>
        <v>1610951.0752793967</v>
      </c>
      <c r="K73" s="109">
        <f t="shared" ca="1" si="27"/>
        <v>1589576.2268679054</v>
      </c>
      <c r="L73" s="109">
        <f t="shared" ca="1" si="27"/>
        <v>1589219.9793943805</v>
      </c>
      <c r="M73" s="109">
        <f t="shared" ca="1" si="27"/>
        <v>1589576.2268679054</v>
      </c>
      <c r="N73" s="109">
        <f t="shared" ca="1" si="27"/>
        <v>1589219.9793943805</v>
      </c>
      <c r="O73" s="109">
        <f t="shared" ca="1" si="27"/>
        <v>1589576.2268679054</v>
      </c>
      <c r="P73" s="109">
        <f t="shared" ca="1" si="27"/>
        <v>1589219.9793943805</v>
      </c>
      <c r="Q73" s="109">
        <f t="shared" ca="1" si="27"/>
        <v>1589576.2268679054</v>
      </c>
      <c r="R73" s="109">
        <f t="shared" ca="1" si="27"/>
        <v>1589219.9793943805</v>
      </c>
      <c r="S73" s="109">
        <f t="shared" ca="1" si="27"/>
        <v>1589576.2268679054</v>
      </c>
      <c r="T73" s="109">
        <f t="shared" ca="1" si="27"/>
        <v>1589219.9793943805</v>
      </c>
      <c r="U73" s="109">
        <f t="shared" ca="1" si="27"/>
        <v>1589576.2268679054</v>
      </c>
      <c r="V73" s="109">
        <f t="shared" ca="1" si="27"/>
        <v>1589219.9793943805</v>
      </c>
      <c r="W73" s="110">
        <f t="shared" ca="1" si="27"/>
        <v>794788.11343395268</v>
      </c>
      <c r="X73" s="107">
        <f t="shared" ca="1" si="3"/>
        <v>35624747.352485552</v>
      </c>
    </row>
    <row r="74" spans="1:24" ht="15" customHeight="1" x14ac:dyDescent="0.25">
      <c r="A74" s="75">
        <f>IF('Cash Flow Analysis'!C90="","",'Cash Flow Analysis'!C90)</f>
        <v>23</v>
      </c>
      <c r="B74" s="1087">
        <f ca="1">IF(A74="","",IF(A74&lt;1,0,IF(A74=1,$B$44-'Cash Flow Analysis'!I90,-'Cash Flow Analysis'!I90)))</f>
        <v>36301617.552182779</v>
      </c>
      <c r="C74" s="108">
        <f t="shared" ref="C74:W74" ca="1" si="28">IF($B$74="","",IF(AND($B$42="Straight Line",C48&lt;=depr_length),$B$74/depr_length,IF(AND($B$42="MACRS",C48&lt;=depr_length+1),$B$74*INDEX(MACRS_Table,MATCH(C48,recovery_year,0),MATCH($B$43,recovery_period,0)),"")))</f>
        <v>1361310.6582068542</v>
      </c>
      <c r="D74" s="109">
        <f t="shared" ca="1" si="28"/>
        <v>2620613.7710920749</v>
      </c>
      <c r="E74" s="109">
        <f t="shared" ca="1" si="28"/>
        <v>2423859.0039592441</v>
      </c>
      <c r="F74" s="109">
        <f t="shared" ca="1" si="28"/>
        <v>2242350.91619833</v>
      </c>
      <c r="G74" s="109">
        <f t="shared" ca="1" si="28"/>
        <v>2073911.4107562022</v>
      </c>
      <c r="H74" s="109">
        <f t="shared" ca="1" si="28"/>
        <v>1918540.48763286</v>
      </c>
      <c r="I74" s="109">
        <f t="shared" ca="1" si="28"/>
        <v>1774423.0659506943</v>
      </c>
      <c r="J74" s="109">
        <f t="shared" ca="1" si="28"/>
        <v>1641559.1457097053</v>
      </c>
      <c r="K74" s="109">
        <f t="shared" ca="1" si="28"/>
        <v>1619778.1751783956</v>
      </c>
      <c r="L74" s="109">
        <f t="shared" ca="1" si="28"/>
        <v>1619415.1590028736</v>
      </c>
      <c r="M74" s="109">
        <f t="shared" ca="1" si="28"/>
        <v>1619778.1751783956</v>
      </c>
      <c r="N74" s="109">
        <f t="shared" ca="1" si="28"/>
        <v>1619415.1590028736</v>
      </c>
      <c r="O74" s="109">
        <f t="shared" ca="1" si="28"/>
        <v>1619778.1751783956</v>
      </c>
      <c r="P74" s="109">
        <f t="shared" ca="1" si="28"/>
        <v>1619415.1590028736</v>
      </c>
      <c r="Q74" s="109">
        <f t="shared" ca="1" si="28"/>
        <v>1619778.1751783956</v>
      </c>
      <c r="R74" s="109">
        <f t="shared" ca="1" si="28"/>
        <v>1619415.1590028736</v>
      </c>
      <c r="S74" s="109">
        <f t="shared" ca="1" si="28"/>
        <v>1619778.1751783956</v>
      </c>
      <c r="T74" s="109">
        <f t="shared" ca="1" si="28"/>
        <v>1619415.1590028736</v>
      </c>
      <c r="U74" s="109">
        <f t="shared" ca="1" si="28"/>
        <v>1619778.1751783956</v>
      </c>
      <c r="V74" s="109">
        <f t="shared" ca="1" si="28"/>
        <v>1619415.1590028736</v>
      </c>
      <c r="W74" s="110">
        <f t="shared" ca="1" si="28"/>
        <v>809889.08758919779</v>
      </c>
      <c r="X74" s="107">
        <f t="shared" ca="1" si="3"/>
        <v>36301617.552182786</v>
      </c>
    </row>
    <row r="75" spans="1:24" ht="15" customHeight="1" x14ac:dyDescent="0.25">
      <c r="A75" s="75">
        <f>IF('Cash Flow Analysis'!C91="","",'Cash Flow Analysis'!C91)</f>
        <v>24</v>
      </c>
      <c r="B75" s="1087">
        <f ca="1">IF(A75="","",IF(A75&lt;1,0,IF(A75=1,$B$44-'Cash Flow Analysis'!I91,-'Cash Flow Analysis'!I91)))</f>
        <v>36991348.285674244</v>
      </c>
      <c r="C75" s="108">
        <f t="shared" ref="C75:W75" ca="1" si="29">IF($B$75="","",IF(AND($B$42="Straight Line",C48&lt;=depr_length),$B$75/depr_length,IF(AND($B$42="MACRS",C48&lt;=depr_length+1),$B$75*INDEX(MACRS_Table,MATCH(C48,recovery_year,0),MATCH($B$43,recovery_period,0)),"")))</f>
        <v>1387175.5607127841</v>
      </c>
      <c r="D75" s="109">
        <f t="shared" ca="1" si="29"/>
        <v>2670405.4327428238</v>
      </c>
      <c r="E75" s="109">
        <f t="shared" ca="1" si="29"/>
        <v>2469912.3250344694</v>
      </c>
      <c r="F75" s="109">
        <f t="shared" ca="1" si="29"/>
        <v>2284955.5836060978</v>
      </c>
      <c r="G75" s="109">
        <f t="shared" ca="1" si="29"/>
        <v>2113315.7275605695</v>
      </c>
      <c r="H75" s="109">
        <f t="shared" ca="1" si="29"/>
        <v>1954992.756897884</v>
      </c>
      <c r="I75" s="109">
        <f t="shared" ca="1" si="29"/>
        <v>1808137.1042037571</v>
      </c>
      <c r="J75" s="109">
        <f t="shared" ca="1" si="29"/>
        <v>1672748.7694781895</v>
      </c>
      <c r="K75" s="109">
        <f t="shared" ca="1" si="29"/>
        <v>1650553.9605067847</v>
      </c>
      <c r="L75" s="109">
        <f t="shared" ca="1" si="29"/>
        <v>1650184.047023928</v>
      </c>
      <c r="M75" s="109">
        <f t="shared" ca="1" si="29"/>
        <v>1650553.9605067847</v>
      </c>
      <c r="N75" s="109">
        <f t="shared" ca="1" si="29"/>
        <v>1650184.047023928</v>
      </c>
      <c r="O75" s="109">
        <f t="shared" ca="1" si="29"/>
        <v>1650553.9605067847</v>
      </c>
      <c r="P75" s="109">
        <f t="shared" ca="1" si="29"/>
        <v>1650184.047023928</v>
      </c>
      <c r="Q75" s="109">
        <f t="shared" ca="1" si="29"/>
        <v>1650553.9605067847</v>
      </c>
      <c r="R75" s="109">
        <f t="shared" ca="1" si="29"/>
        <v>1650184.047023928</v>
      </c>
      <c r="S75" s="109">
        <f t="shared" ca="1" si="29"/>
        <v>1650553.9605067847</v>
      </c>
      <c r="T75" s="109">
        <f t="shared" ca="1" si="29"/>
        <v>1650184.047023928</v>
      </c>
      <c r="U75" s="109">
        <f t="shared" ca="1" si="29"/>
        <v>1650553.9605067847</v>
      </c>
      <c r="V75" s="109">
        <f t="shared" ca="1" si="29"/>
        <v>1650184.047023928</v>
      </c>
      <c r="W75" s="110">
        <f t="shared" ca="1" si="29"/>
        <v>825276.98025339236</v>
      </c>
      <c r="X75" s="107">
        <f t="shared" ca="1" si="3"/>
        <v>36991348.285674252</v>
      </c>
    </row>
    <row r="76" spans="1:24" ht="15" customHeight="1" x14ac:dyDescent="0.25">
      <c r="A76" s="75">
        <f>IF('Cash Flow Analysis'!C92="","",'Cash Flow Analysis'!C92)</f>
        <v>25</v>
      </c>
      <c r="B76" s="1087">
        <f ca="1">IF(A76="","",IF(A76&lt;1,0,IF(A76=1,$B$44-'Cash Flow Analysis'!I92,-'Cash Flow Analysis'!I92)))</f>
        <v>37694183.903102055</v>
      </c>
      <c r="C76" s="108">
        <f t="shared" ref="C76:W76" ca="1" si="30">IF($B$76="","",IF(AND($B$42="Straight Line",C48&lt;=depr_length),$B$76/depr_length,IF(AND($B$42="MACRS",C48&lt;=depr_length+1),$B$76*INDEX(MACRS_Table,MATCH(C48,recovery_year,0),MATCH($B$43,recovery_period,0)),"")))</f>
        <v>1413531.8963663271</v>
      </c>
      <c r="D76" s="109">
        <f t="shared" ca="1" si="30"/>
        <v>2721143.1359649375</v>
      </c>
      <c r="E76" s="109">
        <f t="shared" ca="1" si="30"/>
        <v>2516840.6592101241</v>
      </c>
      <c r="F76" s="109">
        <f t="shared" ca="1" si="30"/>
        <v>2328369.739694614</v>
      </c>
      <c r="G76" s="109">
        <f t="shared" ca="1" si="30"/>
        <v>2153468.7263842206</v>
      </c>
      <c r="H76" s="109">
        <f t="shared" ca="1" si="30"/>
        <v>1992137.6192789436</v>
      </c>
      <c r="I76" s="109">
        <f t="shared" ca="1" si="30"/>
        <v>1842491.7091836284</v>
      </c>
      <c r="J76" s="109">
        <f t="shared" ca="1" si="30"/>
        <v>1704530.9960982751</v>
      </c>
      <c r="K76" s="109">
        <f t="shared" ca="1" si="30"/>
        <v>1681914.4857564138</v>
      </c>
      <c r="L76" s="109">
        <f t="shared" ca="1" si="30"/>
        <v>1681537.5439173826</v>
      </c>
      <c r="M76" s="109">
        <f t="shared" ca="1" si="30"/>
        <v>1681914.4857564138</v>
      </c>
      <c r="N76" s="109">
        <f t="shared" ca="1" si="30"/>
        <v>1681537.5439173826</v>
      </c>
      <c r="O76" s="109">
        <f t="shared" ca="1" si="30"/>
        <v>1681914.4857564138</v>
      </c>
      <c r="P76" s="109">
        <f t="shared" ca="1" si="30"/>
        <v>1681537.5439173826</v>
      </c>
      <c r="Q76" s="109">
        <f t="shared" ca="1" si="30"/>
        <v>1681914.4857564138</v>
      </c>
      <c r="R76" s="109">
        <f t="shared" ca="1" si="30"/>
        <v>1681537.5439173826</v>
      </c>
      <c r="S76" s="109">
        <f t="shared" ca="1" si="30"/>
        <v>1681914.4857564138</v>
      </c>
      <c r="T76" s="109">
        <f t="shared" ca="1" si="30"/>
        <v>1681537.5439173826</v>
      </c>
      <c r="U76" s="109">
        <f t="shared" ca="1" si="30"/>
        <v>1681914.4857564138</v>
      </c>
      <c r="V76" s="109">
        <f t="shared" ca="1" si="30"/>
        <v>1681537.5439173826</v>
      </c>
      <c r="W76" s="110">
        <f t="shared" ca="1" si="30"/>
        <v>840957.24287820689</v>
      </c>
      <c r="X76" s="107">
        <f t="shared" ca="1" si="3"/>
        <v>37694183.903102048</v>
      </c>
    </row>
    <row r="77" spans="1:24" ht="15" customHeight="1" x14ac:dyDescent="0.25">
      <c r="A77" s="75">
        <f>IF('Cash Flow Analysis'!C93="","",'Cash Flow Analysis'!C93)</f>
        <v>26</v>
      </c>
      <c r="B77" s="1087">
        <f ca="1">IF(A77="","",IF(A77&lt;1,0,IF(A77=1,$B$44-'Cash Flow Analysis'!I93,-'Cash Flow Analysis'!I93)))</f>
        <v>38410373.397260994</v>
      </c>
      <c r="C77" s="108">
        <f t="shared" ref="C77:W77" ca="1" si="31">IF($B$77="","",IF(AND($B$42="Straight Line",C48&lt;=depr_length),$B$77/depr_length,IF(AND($B$42="MACRS",C48&lt;=depr_length+1),$B$77*INDEX(MACRS_Table,MATCH(C48,recovery_year,0),MATCH($B$43,recovery_period,0)),"")))</f>
        <v>1440389.0023972872</v>
      </c>
      <c r="D77" s="109">
        <f t="shared" ca="1" si="31"/>
        <v>2772844.8555482714</v>
      </c>
      <c r="E77" s="109">
        <f t="shared" ca="1" si="31"/>
        <v>2564660.6317351162</v>
      </c>
      <c r="F77" s="109">
        <f t="shared" ca="1" si="31"/>
        <v>2372608.7647488117</v>
      </c>
      <c r="G77" s="109">
        <f t="shared" ca="1" si="31"/>
        <v>2194384.6321855206</v>
      </c>
      <c r="H77" s="109">
        <f t="shared" ca="1" si="31"/>
        <v>2029988.2340452436</v>
      </c>
      <c r="I77" s="109">
        <f t="shared" ca="1" si="31"/>
        <v>1877499.0516581174</v>
      </c>
      <c r="J77" s="109">
        <f t="shared" ca="1" si="31"/>
        <v>1736917.0850241422</v>
      </c>
      <c r="K77" s="109">
        <f t="shared" ca="1" si="31"/>
        <v>1713870.8609857855</v>
      </c>
      <c r="L77" s="109">
        <f t="shared" ca="1" si="31"/>
        <v>1713486.7572518128</v>
      </c>
      <c r="M77" s="109">
        <f t="shared" ca="1" si="31"/>
        <v>1713870.8609857855</v>
      </c>
      <c r="N77" s="109">
        <f t="shared" ca="1" si="31"/>
        <v>1713486.7572518128</v>
      </c>
      <c r="O77" s="109">
        <f t="shared" ca="1" si="31"/>
        <v>1713870.8609857855</v>
      </c>
      <c r="P77" s="109">
        <f t="shared" ca="1" si="31"/>
        <v>1713486.7572518128</v>
      </c>
      <c r="Q77" s="109">
        <f t="shared" ca="1" si="31"/>
        <v>1713870.8609857855</v>
      </c>
      <c r="R77" s="109">
        <f t="shared" ca="1" si="31"/>
        <v>1713486.7572518128</v>
      </c>
      <c r="S77" s="109">
        <f t="shared" ca="1" si="31"/>
        <v>1713870.8609857855</v>
      </c>
      <c r="T77" s="109">
        <f t="shared" ca="1" si="31"/>
        <v>1713486.7572518128</v>
      </c>
      <c r="U77" s="109">
        <f t="shared" ca="1" si="31"/>
        <v>1713870.8609857855</v>
      </c>
      <c r="V77" s="109">
        <f t="shared" ca="1" si="31"/>
        <v>1713486.7572518128</v>
      </c>
      <c r="W77" s="110">
        <f t="shared" ca="1" si="31"/>
        <v>856935.43049289274</v>
      </c>
      <c r="X77" s="107">
        <f t="shared" ca="1" si="3"/>
        <v>38410373.397261001</v>
      </c>
    </row>
    <row r="78" spans="1:24" ht="15" customHeight="1" x14ac:dyDescent="0.25">
      <c r="A78" s="75">
        <f>IF('Cash Flow Analysis'!C94="","",'Cash Flow Analysis'!C94)</f>
        <v>27</v>
      </c>
      <c r="B78" s="1087">
        <f ca="1">IF(A78="","",IF(A78&lt;1,0,IF(A78=1,$B$44-'Cash Flow Analysis'!I94,-'Cash Flow Analysis'!I94)))</f>
        <v>39140170.491808951</v>
      </c>
      <c r="C78" s="108">
        <f t="shared" ref="C78:W78" ca="1" si="32">IF($B$78="","",IF(AND($B$42="Straight Line",C48&lt;=depr_length),$B$78/depr_length,IF(AND($B$42="MACRS",C48&lt;=depr_length+1),$B$78*INDEX(MACRS_Table,MATCH(C48,recovery_year,0),MATCH($B$43,recovery_period,0)),"")))</f>
        <v>1467756.3934428357</v>
      </c>
      <c r="D78" s="109">
        <f t="shared" ca="1" si="32"/>
        <v>2825528.9078036882</v>
      </c>
      <c r="E78" s="109">
        <f t="shared" ca="1" si="32"/>
        <v>2613389.1837380836</v>
      </c>
      <c r="F78" s="109">
        <f t="shared" ca="1" si="32"/>
        <v>2417688.3312790389</v>
      </c>
      <c r="G78" s="109">
        <f t="shared" ca="1" si="32"/>
        <v>2236077.9401970454</v>
      </c>
      <c r="H78" s="109">
        <f t="shared" ca="1" si="32"/>
        <v>2068558.0104921032</v>
      </c>
      <c r="I78" s="109">
        <f t="shared" ca="1" si="32"/>
        <v>1913171.5336396215</v>
      </c>
      <c r="J78" s="109">
        <f t="shared" ca="1" si="32"/>
        <v>1769918.509639601</v>
      </c>
      <c r="K78" s="109">
        <f t="shared" ca="1" si="32"/>
        <v>1746434.4073445154</v>
      </c>
      <c r="L78" s="109">
        <f t="shared" ca="1" si="32"/>
        <v>1746043.0056395971</v>
      </c>
      <c r="M78" s="109">
        <f t="shared" ca="1" si="32"/>
        <v>1746434.4073445154</v>
      </c>
      <c r="N78" s="109">
        <f t="shared" ca="1" si="32"/>
        <v>1746043.0056395971</v>
      </c>
      <c r="O78" s="109">
        <f t="shared" ca="1" si="32"/>
        <v>1746434.4073445154</v>
      </c>
      <c r="P78" s="109">
        <f t="shared" ca="1" si="32"/>
        <v>1746043.0056395971</v>
      </c>
      <c r="Q78" s="109">
        <f t="shared" ca="1" si="32"/>
        <v>1746434.4073445154</v>
      </c>
      <c r="R78" s="109">
        <f t="shared" ca="1" si="32"/>
        <v>1746043.0056395971</v>
      </c>
      <c r="S78" s="109">
        <f t="shared" ca="1" si="32"/>
        <v>1746434.4073445154</v>
      </c>
      <c r="T78" s="109">
        <f t="shared" ca="1" si="32"/>
        <v>1746043.0056395971</v>
      </c>
      <c r="U78" s="109">
        <f t="shared" ca="1" si="32"/>
        <v>1746434.4073445154</v>
      </c>
      <c r="V78" s="109">
        <f t="shared" ca="1" si="32"/>
        <v>1746043.0056395971</v>
      </c>
      <c r="W78" s="110">
        <f t="shared" ca="1" si="32"/>
        <v>873217.20367225772</v>
      </c>
      <c r="X78" s="107">
        <f t="shared" ca="1" si="3"/>
        <v>39140170.491808958</v>
      </c>
    </row>
    <row r="79" spans="1:24" ht="15" customHeight="1" x14ac:dyDescent="0.25">
      <c r="A79" s="75">
        <f>IF('Cash Flow Analysis'!C95="","",'Cash Flow Analysis'!C95)</f>
        <v>28</v>
      </c>
      <c r="B79" s="1087">
        <f ca="1">IF(A79="","",IF(A79&lt;1,0,IF(A79=1,$B$44-'Cash Flow Analysis'!I95,-'Cash Flow Analysis'!I95)))</f>
        <v>39883833.731153317</v>
      </c>
      <c r="C79" s="108">
        <f t="shared" ref="C79:W79" ca="1" si="33">IF($B$79="","",IF(AND($B$42="Straight Line",C48&lt;=depr_length),$B$79/depr_length,IF(AND($B$42="MACRS",C48&lt;=depr_length+1),$B$79*INDEX(MACRS_Table,MATCH(C48,recovery_year,0),MATCH($B$43,recovery_period,0)),"")))</f>
        <v>1495643.7649182493</v>
      </c>
      <c r="D79" s="109">
        <f t="shared" ca="1" si="33"/>
        <v>2879213.957051958</v>
      </c>
      <c r="E79" s="109">
        <f t="shared" ca="1" si="33"/>
        <v>2663043.578229107</v>
      </c>
      <c r="F79" s="109">
        <f t="shared" ca="1" si="33"/>
        <v>2463624.4095733403</v>
      </c>
      <c r="G79" s="109">
        <f t="shared" ca="1" si="33"/>
        <v>2278563.4210607889</v>
      </c>
      <c r="H79" s="109">
        <f t="shared" ca="1" si="33"/>
        <v>2107860.6126914527</v>
      </c>
      <c r="I79" s="109">
        <f t="shared" ca="1" si="33"/>
        <v>1949521.7927787742</v>
      </c>
      <c r="J79" s="109">
        <f t="shared" ca="1" si="33"/>
        <v>1803546.9613227532</v>
      </c>
      <c r="K79" s="109">
        <f t="shared" ca="1" si="33"/>
        <v>1779616.661084061</v>
      </c>
      <c r="L79" s="109">
        <f t="shared" ca="1" si="33"/>
        <v>1779217.8227467493</v>
      </c>
      <c r="M79" s="109">
        <f t="shared" ca="1" si="33"/>
        <v>1779616.661084061</v>
      </c>
      <c r="N79" s="109">
        <f t="shared" ca="1" si="33"/>
        <v>1779217.8227467493</v>
      </c>
      <c r="O79" s="109">
        <f t="shared" ca="1" si="33"/>
        <v>1779616.661084061</v>
      </c>
      <c r="P79" s="109">
        <f t="shared" ca="1" si="33"/>
        <v>1779217.8227467493</v>
      </c>
      <c r="Q79" s="109">
        <f t="shared" ca="1" si="33"/>
        <v>1779616.661084061</v>
      </c>
      <c r="R79" s="109">
        <f t="shared" ca="1" si="33"/>
        <v>1779217.8227467493</v>
      </c>
      <c r="S79" s="109">
        <f t="shared" ca="1" si="33"/>
        <v>1779616.661084061</v>
      </c>
      <c r="T79" s="109">
        <f t="shared" ca="1" si="33"/>
        <v>1779217.8227467493</v>
      </c>
      <c r="U79" s="109">
        <f t="shared" ca="1" si="33"/>
        <v>1779616.661084061</v>
      </c>
      <c r="V79" s="109">
        <f t="shared" ca="1" si="33"/>
        <v>1779217.8227467493</v>
      </c>
      <c r="W79" s="110">
        <f t="shared" ca="1" si="33"/>
        <v>889808.33054203051</v>
      </c>
      <c r="X79" s="107">
        <f t="shared" ca="1" si="3"/>
        <v>39883833.731153309</v>
      </c>
    </row>
    <row r="80" spans="1:24" ht="15" customHeight="1" x14ac:dyDescent="0.25">
      <c r="A80" s="75">
        <f>IF('Cash Flow Analysis'!C96="","",'Cash Flow Analysis'!C96)</f>
        <v>29</v>
      </c>
      <c r="B80" s="1087">
        <f ca="1">IF(A80="","",IF(A80&lt;1,0,IF(A80=1,$B$44-'Cash Flow Analysis'!I96,-'Cash Flow Analysis'!I96)))</f>
        <v>40641626.572045229</v>
      </c>
      <c r="C80" s="108">
        <f t="shared" ref="C80:W80" ca="1" si="34">IF($B$80="","",IF(AND($B$42="Straight Line",C48&lt;=depr_length),$B$80/depr_length,IF(AND($B$42="MACRS",C48&lt;=depr_length+1),$B$80*INDEX(MACRS_Table,MATCH(C48,recovery_year,0),MATCH($B$43,recovery_period,0)),"")))</f>
        <v>1524060.9964516961</v>
      </c>
      <c r="D80" s="109">
        <f t="shared" ca="1" si="34"/>
        <v>2933919.0222359453</v>
      </c>
      <c r="E80" s="109">
        <f t="shared" ca="1" si="34"/>
        <v>2713641.4062154596</v>
      </c>
      <c r="F80" s="109">
        <f t="shared" ca="1" si="34"/>
        <v>2510433.2733552339</v>
      </c>
      <c r="G80" s="109">
        <f t="shared" ca="1" si="34"/>
        <v>2321856.1260609441</v>
      </c>
      <c r="H80" s="109">
        <f t="shared" ca="1" si="34"/>
        <v>2147909.9643325903</v>
      </c>
      <c r="I80" s="109">
        <f t="shared" ca="1" si="34"/>
        <v>1986562.7068415708</v>
      </c>
      <c r="J80" s="109">
        <f t="shared" ca="1" si="34"/>
        <v>1837814.3535878854</v>
      </c>
      <c r="K80" s="109">
        <f t="shared" ca="1" si="34"/>
        <v>1813429.3776446581</v>
      </c>
      <c r="L80" s="109">
        <f t="shared" ca="1" si="34"/>
        <v>1813022.9613789376</v>
      </c>
      <c r="M80" s="109">
        <f t="shared" ca="1" si="34"/>
        <v>1813429.3776446581</v>
      </c>
      <c r="N80" s="109">
        <f t="shared" ca="1" si="34"/>
        <v>1813022.9613789376</v>
      </c>
      <c r="O80" s="109">
        <f t="shared" ca="1" si="34"/>
        <v>1813429.3776446581</v>
      </c>
      <c r="P80" s="109">
        <f t="shared" ca="1" si="34"/>
        <v>1813022.9613789376</v>
      </c>
      <c r="Q80" s="109">
        <f t="shared" ca="1" si="34"/>
        <v>1813429.3776446581</v>
      </c>
      <c r="R80" s="109">
        <f t="shared" ca="1" si="34"/>
        <v>1813022.9613789376</v>
      </c>
      <c r="S80" s="109">
        <f t="shared" ca="1" si="34"/>
        <v>1813429.3776446581</v>
      </c>
      <c r="T80" s="109">
        <f t="shared" ca="1" si="34"/>
        <v>1813022.9613789376</v>
      </c>
      <c r="U80" s="109">
        <f t="shared" ca="1" si="34"/>
        <v>1813429.3776446581</v>
      </c>
      <c r="V80" s="109">
        <f t="shared" ca="1" si="34"/>
        <v>1813022.9613789376</v>
      </c>
      <c r="W80" s="110">
        <f t="shared" ca="1" si="34"/>
        <v>906714.68882232904</v>
      </c>
      <c r="X80" s="107">
        <f t="shared" ca="1" si="3"/>
        <v>40641626.572045237</v>
      </c>
    </row>
    <row r="81" spans="1:24" ht="15" customHeight="1" x14ac:dyDescent="0.25">
      <c r="A81" s="75">
        <f>IF('Cash Flow Analysis'!C97="","",'Cash Flow Analysis'!C97)</f>
        <v>30</v>
      </c>
      <c r="B81" s="1087">
        <f ca="1">IF(A81="","",IF(A81&lt;1,0,IF(A81=1,$B$44-'Cash Flow Analysis'!I97,-'Cash Flow Analysis'!I97)))</f>
        <v>41413817.476914078</v>
      </c>
      <c r="C81" s="108">
        <f t="shared" ref="C81:W81" ca="1" si="35">IF($B$81="","",IF(AND($B$42="Straight Line",C48&lt;=depr_length),$B$81/depr_length,IF(AND($B$42="MACRS",C48&lt;=depr_length+1),$B$81*INDEX(MACRS_Table,MATCH(C48,recovery_year,0),MATCH($B$43,recovery_period,0)),"")))</f>
        <v>1553018.1553842779</v>
      </c>
      <c r="D81" s="109">
        <f t="shared" ca="1" si="35"/>
        <v>2989663.4836584274</v>
      </c>
      <c r="E81" s="109">
        <f t="shared" ca="1" si="35"/>
        <v>2765200.5929335528</v>
      </c>
      <c r="F81" s="109">
        <f t="shared" ca="1" si="35"/>
        <v>2558131.5055489824</v>
      </c>
      <c r="G81" s="109">
        <f t="shared" ca="1" si="35"/>
        <v>2365971.3924561013</v>
      </c>
      <c r="H81" s="109">
        <f t="shared" ca="1" si="35"/>
        <v>2188720.2536549089</v>
      </c>
      <c r="I81" s="109">
        <f t="shared" ca="1" si="35"/>
        <v>2024307.3982715602</v>
      </c>
      <c r="J81" s="109">
        <f t="shared" ca="1" si="35"/>
        <v>1872732.8263060548</v>
      </c>
      <c r="K81" s="109">
        <f t="shared" ca="1" si="35"/>
        <v>1847884.535819906</v>
      </c>
      <c r="L81" s="109">
        <f t="shared" ca="1" si="35"/>
        <v>1847470.3976451368</v>
      </c>
      <c r="M81" s="109">
        <f t="shared" ca="1" si="35"/>
        <v>1847884.535819906</v>
      </c>
      <c r="N81" s="109">
        <f t="shared" ca="1" si="35"/>
        <v>1847470.3976451368</v>
      </c>
      <c r="O81" s="109">
        <f t="shared" ca="1" si="35"/>
        <v>1847884.535819906</v>
      </c>
      <c r="P81" s="109">
        <f t="shared" ca="1" si="35"/>
        <v>1847470.3976451368</v>
      </c>
      <c r="Q81" s="109">
        <f t="shared" ca="1" si="35"/>
        <v>1847884.535819906</v>
      </c>
      <c r="R81" s="109">
        <f t="shared" ca="1" si="35"/>
        <v>1847470.3976451368</v>
      </c>
      <c r="S81" s="109">
        <f t="shared" ca="1" si="35"/>
        <v>1847884.535819906</v>
      </c>
      <c r="T81" s="109">
        <f t="shared" ca="1" si="35"/>
        <v>1847470.3976451368</v>
      </c>
      <c r="U81" s="109">
        <f t="shared" ca="1" si="35"/>
        <v>1847884.535819906</v>
      </c>
      <c r="V81" s="109">
        <f t="shared" ca="1" si="35"/>
        <v>1847470.3976451368</v>
      </c>
      <c r="W81" s="110">
        <f t="shared" ca="1" si="35"/>
        <v>923942.26790995302</v>
      </c>
      <c r="X81" s="107">
        <f t="shared" ca="1" si="3"/>
        <v>41413817.476914078</v>
      </c>
    </row>
    <row r="82" spans="1:24" ht="15" customHeight="1" x14ac:dyDescent="0.25">
      <c r="A82" s="75">
        <f>IF('Cash Flow Analysis'!C98="","",'Cash Flow Analysis'!C98)</f>
        <v>31</v>
      </c>
      <c r="B82" s="1087">
        <f ca="1">IF(A82="","",IF(A82&lt;1,0,IF(A82=1,$B$44-'Cash Flow Analysis'!I98,-'Cash Flow Analysis'!I98)))</f>
        <v>42200680.008975461</v>
      </c>
      <c r="C82" s="108">
        <f t="shared" ref="C82:W82" ca="1" si="36">IF($B$82="","",IF(AND($B$42="Straight Line",C48&lt;=depr_length),$B$82/depr_length,IF(AND($B$42="MACRS",C48&lt;=depr_length+1),$B$82*INDEX(MACRS_Table,MATCH(C48,recovery_year,0),MATCH($B$43,recovery_period,0)),"")))</f>
        <v>1582525.5003365797</v>
      </c>
      <c r="D82" s="109">
        <f t="shared" ca="1" si="36"/>
        <v>3046467.0898479386</v>
      </c>
      <c r="E82" s="109">
        <f t="shared" ca="1" si="36"/>
        <v>2817739.4041992915</v>
      </c>
      <c r="F82" s="109">
        <f t="shared" ca="1" si="36"/>
        <v>2606736.0041544139</v>
      </c>
      <c r="G82" s="109">
        <f t="shared" ca="1" si="36"/>
        <v>2410924.8489127681</v>
      </c>
      <c r="H82" s="109">
        <f t="shared" ca="1" si="36"/>
        <v>2230305.9384743529</v>
      </c>
      <c r="I82" s="109">
        <f t="shared" ca="1" si="36"/>
        <v>2062769.2388387206</v>
      </c>
      <c r="J82" s="109">
        <f t="shared" ca="1" si="36"/>
        <v>1908314.7500058706</v>
      </c>
      <c r="K82" s="109">
        <f t="shared" ca="1" si="36"/>
        <v>1882994.3420004852</v>
      </c>
      <c r="L82" s="109">
        <f t="shared" ca="1" si="36"/>
        <v>1882572.3352003952</v>
      </c>
      <c r="M82" s="109">
        <f t="shared" ca="1" si="36"/>
        <v>1882994.3420004852</v>
      </c>
      <c r="N82" s="109">
        <f t="shared" ca="1" si="36"/>
        <v>1882572.3352003952</v>
      </c>
      <c r="O82" s="109">
        <f t="shared" ca="1" si="36"/>
        <v>1882994.3420004852</v>
      </c>
      <c r="P82" s="109">
        <f t="shared" ca="1" si="36"/>
        <v>1882572.3352003952</v>
      </c>
      <c r="Q82" s="109">
        <f t="shared" ca="1" si="36"/>
        <v>1882994.3420004852</v>
      </c>
      <c r="R82" s="109">
        <f t="shared" ca="1" si="36"/>
        <v>1882572.3352003952</v>
      </c>
      <c r="S82" s="109">
        <f t="shared" ca="1" si="36"/>
        <v>1882994.3420004852</v>
      </c>
      <c r="T82" s="109">
        <f t="shared" ca="1" si="36"/>
        <v>1882572.3352003952</v>
      </c>
      <c r="U82" s="109">
        <f t="shared" ca="1" si="36"/>
        <v>1882994.3420004852</v>
      </c>
      <c r="V82" s="109">
        <f t="shared" ca="1" si="36"/>
        <v>1882572.3352003952</v>
      </c>
      <c r="W82" s="110">
        <f t="shared" ca="1" si="36"/>
        <v>941497.17100024258</v>
      </c>
      <c r="X82" s="107">
        <f t="shared" ca="1" si="3"/>
        <v>42200680.008975446</v>
      </c>
    </row>
    <row r="83" spans="1:24" ht="15" customHeight="1" x14ac:dyDescent="0.25">
      <c r="A83" s="75">
        <f>IF('Cash Flow Analysis'!C99="","",'Cash Flow Analysis'!C99)</f>
        <v>32</v>
      </c>
      <c r="B83" s="1087">
        <f ca="1">IF(A83="","",IF(A83&lt;1,0,IF(A83=1,$B$44-'Cash Flow Analysis'!I99,-'Cash Flow Analysis'!I99)))</f>
        <v>43002492.929145992</v>
      </c>
      <c r="C83" s="108">
        <f t="shared" ref="C83:W83" ca="1" si="37">IF($B$83="","",IF(AND($B$42="Straight Line",C48&lt;=depr_length),$B$83/depr_length,IF(AND($B$42="MACRS",C48&lt;=depr_length+1),$B$83*INDEX(MACRS_Table,MATCH(C48,recovery_year,0),MATCH($B$43,recovery_period,0)),"")))</f>
        <v>1612593.4848429747</v>
      </c>
      <c r="D83" s="109">
        <f t="shared" ca="1" si="37"/>
        <v>3104349.9645550493</v>
      </c>
      <c r="E83" s="109">
        <f t="shared" ca="1" si="37"/>
        <v>2871276.4528790778</v>
      </c>
      <c r="F83" s="109">
        <f t="shared" ca="1" si="37"/>
        <v>2656263.9882333479</v>
      </c>
      <c r="G83" s="109">
        <f t="shared" ca="1" si="37"/>
        <v>2456732.4210421103</v>
      </c>
      <c r="H83" s="109">
        <f t="shared" ca="1" si="37"/>
        <v>2272681.7513053659</v>
      </c>
      <c r="I83" s="109">
        <f t="shared" ca="1" si="37"/>
        <v>2101961.854376656</v>
      </c>
      <c r="J83" s="109">
        <f t="shared" ca="1" si="37"/>
        <v>1944572.7302559819</v>
      </c>
      <c r="K83" s="109">
        <f t="shared" ca="1" si="37"/>
        <v>1918771.2344984941</v>
      </c>
      <c r="L83" s="109">
        <f t="shared" ca="1" si="37"/>
        <v>1918341.2095692025</v>
      </c>
      <c r="M83" s="109">
        <f t="shared" ca="1" si="37"/>
        <v>1918771.2344984941</v>
      </c>
      <c r="N83" s="109">
        <f t="shared" ca="1" si="37"/>
        <v>1918341.2095692025</v>
      </c>
      <c r="O83" s="109">
        <f t="shared" ca="1" si="37"/>
        <v>1918771.2344984941</v>
      </c>
      <c r="P83" s="109">
        <f t="shared" ca="1" si="37"/>
        <v>1918341.2095692025</v>
      </c>
      <c r="Q83" s="109">
        <f t="shared" ca="1" si="37"/>
        <v>1918771.2344984941</v>
      </c>
      <c r="R83" s="109">
        <f t="shared" ca="1" si="37"/>
        <v>1918341.2095692025</v>
      </c>
      <c r="S83" s="109">
        <f t="shared" ca="1" si="37"/>
        <v>1918771.2344984941</v>
      </c>
      <c r="T83" s="109">
        <f t="shared" ca="1" si="37"/>
        <v>1918341.2095692025</v>
      </c>
      <c r="U83" s="109">
        <f t="shared" ca="1" si="37"/>
        <v>1918771.2344984941</v>
      </c>
      <c r="V83" s="109">
        <f t="shared" ca="1" si="37"/>
        <v>1918341.2095692025</v>
      </c>
      <c r="W83" s="110">
        <f t="shared" ca="1" si="37"/>
        <v>959385.61724924704</v>
      </c>
      <c r="X83" s="107">
        <f t="shared" ca="1" si="3"/>
        <v>43002492.929145977</v>
      </c>
    </row>
    <row r="84" spans="1:24" ht="15" customHeight="1" x14ac:dyDescent="0.25">
      <c r="A84" s="75">
        <f>IF('Cash Flow Analysis'!C100="","",'Cash Flow Analysis'!C100)</f>
        <v>33</v>
      </c>
      <c r="B84" s="1087">
        <f ca="1">IF(A84="","",IF(A84&lt;1,0,IF(A84=1,$B$44-'Cash Flow Analysis'!I100,-'Cash Flow Analysis'!I100)))</f>
        <v>43819540.29479976</v>
      </c>
      <c r="C84" s="108">
        <f t="shared" ref="C84:W84" ca="1" si="38">IF($B$84="","",IF(AND($B$42="Straight Line",C48&lt;=depr_length),$B$84/depr_length,IF(AND($B$42="MACRS",C48&lt;=depr_length+1),$B$84*INDEX(MACRS_Table,MATCH(C48,recovery_year,0),MATCH($B$43,recovery_period,0)),"")))</f>
        <v>1643232.761054991</v>
      </c>
      <c r="D84" s="109">
        <f t="shared" ca="1" si="38"/>
        <v>3163332.613881595</v>
      </c>
      <c r="E84" s="109">
        <f t="shared" ca="1" si="38"/>
        <v>2925830.7054837798</v>
      </c>
      <c r="F84" s="109">
        <f t="shared" ca="1" si="38"/>
        <v>2706733.0040097809</v>
      </c>
      <c r="G84" s="109">
        <f t="shared" ca="1" si="38"/>
        <v>2503410.3370419103</v>
      </c>
      <c r="H84" s="109">
        <f t="shared" ca="1" si="38"/>
        <v>2315862.7045801673</v>
      </c>
      <c r="I84" s="109">
        <f t="shared" ca="1" si="38"/>
        <v>2141899.1296098121</v>
      </c>
      <c r="J84" s="109">
        <f t="shared" ca="1" si="38"/>
        <v>1981519.6121308452</v>
      </c>
      <c r="K84" s="109">
        <f t="shared" ca="1" si="38"/>
        <v>1955227.8879539652</v>
      </c>
      <c r="L84" s="109">
        <f t="shared" ca="1" si="38"/>
        <v>1954789.692551017</v>
      </c>
      <c r="M84" s="109">
        <f t="shared" ca="1" si="38"/>
        <v>1955227.8879539652</v>
      </c>
      <c r="N84" s="109">
        <f t="shared" ca="1" si="38"/>
        <v>1954789.692551017</v>
      </c>
      <c r="O84" s="109">
        <f t="shared" ca="1" si="38"/>
        <v>1955227.8879539652</v>
      </c>
      <c r="P84" s="109">
        <f t="shared" ca="1" si="38"/>
        <v>1954789.692551017</v>
      </c>
      <c r="Q84" s="109">
        <f t="shared" ca="1" si="38"/>
        <v>1955227.8879539652</v>
      </c>
      <c r="R84" s="109">
        <f t="shared" ca="1" si="38"/>
        <v>1954789.692551017</v>
      </c>
      <c r="S84" s="109">
        <f t="shared" ca="1" si="38"/>
        <v>1955227.8879539652</v>
      </c>
      <c r="T84" s="109">
        <f t="shared" ca="1" si="38"/>
        <v>1954789.692551017</v>
      </c>
      <c r="U84" s="109">
        <f t="shared" ca="1" si="38"/>
        <v>1955227.8879539652</v>
      </c>
      <c r="V84" s="109">
        <f t="shared" ca="1" si="38"/>
        <v>1954789.692551017</v>
      </c>
      <c r="W84" s="110">
        <f t="shared" ca="1" si="38"/>
        <v>977613.94397698261</v>
      </c>
      <c r="X84" s="107">
        <f t="shared" ca="1" si="3"/>
        <v>43819540.294799775</v>
      </c>
    </row>
    <row r="85" spans="1:24" ht="15" customHeight="1" x14ac:dyDescent="0.25">
      <c r="A85" s="75">
        <f>IF('Cash Flow Analysis'!C101="","",'Cash Flow Analysis'!C101)</f>
        <v>34</v>
      </c>
      <c r="B85" s="1087">
        <f ca="1">IF(A85="","",IF(A85&lt;1,0,IF(A85=1,$B$44-'Cash Flow Analysis'!I101,-'Cash Flow Analysis'!I101)))</f>
        <v>44652111.560400948</v>
      </c>
      <c r="C85" s="108">
        <f t="shared" ref="C85:W85" ca="1" si="39">IF($B$85="","",IF(AND($B$42="Straight Line",C48&lt;=depr_length),$B$85/depr_length,IF(AND($B$42="MACRS",C48&lt;=depr_length+1),$B$85*INDEX(MACRS_Table,MATCH(C48,recovery_year,0),MATCH($B$43,recovery_period,0)),"")))</f>
        <v>1674454.1835150355</v>
      </c>
      <c r="D85" s="109">
        <f t="shared" ca="1" si="39"/>
        <v>3223435.9335453445</v>
      </c>
      <c r="E85" s="109">
        <f t="shared" ca="1" si="39"/>
        <v>2981421.4888879713</v>
      </c>
      <c r="F85" s="109">
        <f t="shared" ca="1" si="39"/>
        <v>2758160.9310859665</v>
      </c>
      <c r="G85" s="109">
        <f t="shared" ca="1" si="39"/>
        <v>2550975.1334457062</v>
      </c>
      <c r="H85" s="109">
        <f t="shared" ca="1" si="39"/>
        <v>2359864.0959671903</v>
      </c>
      <c r="I85" s="109">
        <f t="shared" ca="1" si="39"/>
        <v>2182595.2130723982</v>
      </c>
      <c r="J85" s="109">
        <f t="shared" ca="1" si="39"/>
        <v>2019168.484761331</v>
      </c>
      <c r="K85" s="109">
        <f t="shared" ca="1" si="39"/>
        <v>1992377.2178250903</v>
      </c>
      <c r="L85" s="109">
        <f t="shared" ca="1" si="39"/>
        <v>1991930.6967094862</v>
      </c>
      <c r="M85" s="109">
        <f t="shared" ca="1" si="39"/>
        <v>1992377.2178250903</v>
      </c>
      <c r="N85" s="109">
        <f t="shared" ca="1" si="39"/>
        <v>1991930.6967094862</v>
      </c>
      <c r="O85" s="109">
        <f t="shared" ca="1" si="39"/>
        <v>1992377.2178250903</v>
      </c>
      <c r="P85" s="109">
        <f t="shared" ca="1" si="39"/>
        <v>1991930.6967094862</v>
      </c>
      <c r="Q85" s="109">
        <f t="shared" ca="1" si="39"/>
        <v>1992377.2178250903</v>
      </c>
      <c r="R85" s="109">
        <f t="shared" ca="1" si="39"/>
        <v>1991930.6967094862</v>
      </c>
      <c r="S85" s="109">
        <f t="shared" ca="1" si="39"/>
        <v>1992377.2178250903</v>
      </c>
      <c r="T85" s="109">
        <f t="shared" ca="1" si="39"/>
        <v>1991930.6967094862</v>
      </c>
      <c r="U85" s="109">
        <f t="shared" ca="1" si="39"/>
        <v>1992377.2178250903</v>
      </c>
      <c r="V85" s="109">
        <f t="shared" ca="1" si="39"/>
        <v>1991930.6967094862</v>
      </c>
      <c r="W85" s="110">
        <f t="shared" ca="1" si="39"/>
        <v>996188.60891254514</v>
      </c>
      <c r="X85" s="107">
        <f t="shared" ca="1" si="3"/>
        <v>44652111.56040094</v>
      </c>
    </row>
    <row r="86" spans="1:24" ht="15" customHeight="1" x14ac:dyDescent="0.25">
      <c r="A86" s="75">
        <f>IF('Cash Flow Analysis'!C102="","",'Cash Flow Analysis'!C102)</f>
        <v>35</v>
      </c>
      <c r="B86" s="1087">
        <f ca="1">IF(A86="","",IF(A86&lt;1,0,IF(A86=1,$B$44-'Cash Flow Analysis'!I102,-'Cash Flow Analysis'!I102)))</f>
        <v>45500501.68004857</v>
      </c>
      <c r="C86" s="108">
        <f t="shared" ref="C86:W86" ca="1" si="40">IF($B$86="","",IF(AND($B$42="Straight Line",C48&lt;=depr_length),$B$86/depr_length,IF(AND($B$42="MACRS",C48&lt;=depr_length+1),$B$86*INDEX(MACRS_Table,MATCH(C48,recovery_year,0),MATCH($B$43,recovery_period,0)),"")))</f>
        <v>1706268.8130018213</v>
      </c>
      <c r="D86" s="109">
        <f t="shared" ca="1" si="40"/>
        <v>3284681.2162827062</v>
      </c>
      <c r="E86" s="109">
        <f t="shared" ca="1" si="40"/>
        <v>3038068.4971768428</v>
      </c>
      <c r="F86" s="109">
        <f t="shared" ca="1" si="40"/>
        <v>2810565.9887766</v>
      </c>
      <c r="G86" s="109">
        <f t="shared" ca="1" si="40"/>
        <v>2599443.660981175</v>
      </c>
      <c r="H86" s="109">
        <f t="shared" ca="1" si="40"/>
        <v>2404701.5137905669</v>
      </c>
      <c r="I86" s="109">
        <f t="shared" ca="1" si="40"/>
        <v>2224064.5221207743</v>
      </c>
      <c r="J86" s="109">
        <f t="shared" ca="1" si="40"/>
        <v>2057532.6859717965</v>
      </c>
      <c r="K86" s="109">
        <f t="shared" ca="1" si="40"/>
        <v>2030232.3849637671</v>
      </c>
      <c r="L86" s="109">
        <f t="shared" ca="1" si="40"/>
        <v>2029777.3799469667</v>
      </c>
      <c r="M86" s="109">
        <f t="shared" ca="1" si="40"/>
        <v>2030232.3849637671</v>
      </c>
      <c r="N86" s="109">
        <f t="shared" ca="1" si="40"/>
        <v>2029777.3799469667</v>
      </c>
      <c r="O86" s="109">
        <f t="shared" ca="1" si="40"/>
        <v>2030232.3849637671</v>
      </c>
      <c r="P86" s="109">
        <f t="shared" ca="1" si="40"/>
        <v>2029777.3799469667</v>
      </c>
      <c r="Q86" s="109">
        <f t="shared" ca="1" si="40"/>
        <v>2030232.3849637671</v>
      </c>
      <c r="R86" s="109">
        <f t="shared" ca="1" si="40"/>
        <v>2029777.3799469667</v>
      </c>
      <c r="S86" s="109">
        <f t="shared" ca="1" si="40"/>
        <v>2030232.3849637671</v>
      </c>
      <c r="T86" s="109">
        <f t="shared" ca="1" si="40"/>
        <v>2029777.3799469667</v>
      </c>
      <c r="U86" s="109">
        <f t="shared" ca="1" si="40"/>
        <v>2030232.3849637671</v>
      </c>
      <c r="V86" s="109">
        <f t="shared" ca="1" si="40"/>
        <v>2029777.3799469667</v>
      </c>
      <c r="W86" s="110">
        <f t="shared" ca="1" si="40"/>
        <v>1015116.1924818836</v>
      </c>
      <c r="X86" s="107">
        <f t="shared" ca="1" si="3"/>
        <v>45500501.68004857</v>
      </c>
    </row>
    <row r="87" spans="1:24" ht="15" customHeight="1" x14ac:dyDescent="0.25">
      <c r="A87" s="75">
        <f>IF('Cash Flow Analysis'!C103="","",'Cash Flow Analysis'!C103)</f>
        <v>36</v>
      </c>
      <c r="B87" s="1087">
        <f ca="1">IF(A87="","",IF(A87&lt;1,0,IF(A87=1,$B$44-'Cash Flow Analysis'!I103,-'Cash Flow Analysis'!I103)))</f>
        <v>46365011.211969495</v>
      </c>
      <c r="C87" s="108">
        <f t="shared" ref="C87:W87" ca="1" si="41">IF($B$87="","",IF(AND($B$42="Straight Line",C48&lt;=depr_length),$B$87/depr_length,IF(AND($B$42="MACRS",C48&lt;=depr_length+1),$B$87*INDEX(MACRS_Table,MATCH(C48,recovery_year,0),MATCH($B$43,recovery_period,0)),"")))</f>
        <v>1738687.920448856</v>
      </c>
      <c r="D87" s="109">
        <f t="shared" ca="1" si="41"/>
        <v>3347090.1593920779</v>
      </c>
      <c r="E87" s="109">
        <f t="shared" ca="1" si="41"/>
        <v>3095791.7986232028</v>
      </c>
      <c r="F87" s="109">
        <f t="shared" ca="1" si="41"/>
        <v>2863966.7425633557</v>
      </c>
      <c r="G87" s="109">
        <f t="shared" ca="1" si="41"/>
        <v>2648833.0905398172</v>
      </c>
      <c r="H87" s="109">
        <f t="shared" ca="1" si="41"/>
        <v>2450390.8425525879</v>
      </c>
      <c r="I87" s="109">
        <f t="shared" ca="1" si="41"/>
        <v>2266321.7480410687</v>
      </c>
      <c r="J87" s="109">
        <f t="shared" ca="1" si="41"/>
        <v>2096625.8070052606</v>
      </c>
      <c r="K87" s="109">
        <f t="shared" ca="1" si="41"/>
        <v>2068806.8002780788</v>
      </c>
      <c r="L87" s="109">
        <f t="shared" ca="1" si="41"/>
        <v>2068343.150165959</v>
      </c>
      <c r="M87" s="109">
        <f t="shared" ca="1" si="41"/>
        <v>2068806.8002780788</v>
      </c>
      <c r="N87" s="109">
        <f t="shared" ca="1" si="41"/>
        <v>2068343.150165959</v>
      </c>
      <c r="O87" s="109">
        <f t="shared" ca="1" si="41"/>
        <v>2068806.8002780788</v>
      </c>
      <c r="P87" s="109">
        <f t="shared" ca="1" si="41"/>
        <v>2068343.150165959</v>
      </c>
      <c r="Q87" s="109">
        <f t="shared" ca="1" si="41"/>
        <v>2068806.8002780788</v>
      </c>
      <c r="R87" s="109">
        <f t="shared" ca="1" si="41"/>
        <v>2068343.150165959</v>
      </c>
      <c r="S87" s="109">
        <f t="shared" ca="1" si="41"/>
        <v>2068806.8002780788</v>
      </c>
      <c r="T87" s="109">
        <f t="shared" ca="1" si="41"/>
        <v>2068343.150165959</v>
      </c>
      <c r="U87" s="109">
        <f t="shared" ca="1" si="41"/>
        <v>2068806.8002780788</v>
      </c>
      <c r="V87" s="109">
        <f t="shared" ca="1" si="41"/>
        <v>2068343.150165959</v>
      </c>
      <c r="W87" s="110">
        <f t="shared" ca="1" si="41"/>
        <v>1034403.4001390394</v>
      </c>
      <c r="X87" s="107">
        <f t="shared" ca="1" si="3"/>
        <v>46365011.211969502</v>
      </c>
    </row>
    <row r="88" spans="1:24" ht="15" customHeight="1" x14ac:dyDescent="0.25">
      <c r="A88" s="75">
        <f>IF('Cash Flow Analysis'!C104="","",'Cash Flow Analysis'!C104)</f>
        <v>37</v>
      </c>
      <c r="B88" s="1087">
        <f ca="1">IF(A88="","",IF(A88&lt;1,0,IF(A88=1,$B$44-'Cash Flow Analysis'!I104,-'Cash Flow Analysis'!I104)))</f>
        <v>47245946.424996912</v>
      </c>
      <c r="C88" s="108">
        <f t="shared" ref="C88:W88" ca="1" si="42">IF($B$88="","",IF(AND($B$42="Straight Line",C48&lt;=depr_length),$B$88/depr_length,IF(AND($B$42="MACRS",C48&lt;=depr_length+1),$B$88*INDEX(MACRS_Table,MATCH(C48,recovery_year,0),MATCH($B$43,recovery_period,0)),"")))</f>
        <v>1771722.9909373841</v>
      </c>
      <c r="D88" s="109">
        <f t="shared" ca="1" si="42"/>
        <v>3410684.8724205275</v>
      </c>
      <c r="E88" s="109">
        <f t="shared" ca="1" si="42"/>
        <v>3154611.8427970437</v>
      </c>
      <c r="F88" s="109">
        <f t="shared" ca="1" si="42"/>
        <v>2918382.110672059</v>
      </c>
      <c r="G88" s="109">
        <f t="shared" ca="1" si="42"/>
        <v>2699160.9192600735</v>
      </c>
      <c r="H88" s="109">
        <f t="shared" ca="1" si="42"/>
        <v>2496948.2685610871</v>
      </c>
      <c r="I88" s="109">
        <f t="shared" ca="1" si="42"/>
        <v>2309381.8612538492</v>
      </c>
      <c r="J88" s="109">
        <f t="shared" ca="1" si="42"/>
        <v>2136461.6973383604</v>
      </c>
      <c r="K88" s="109">
        <f t="shared" ca="1" si="42"/>
        <v>2108114.1294833622</v>
      </c>
      <c r="L88" s="109">
        <f t="shared" ca="1" si="42"/>
        <v>2107641.6700191121</v>
      </c>
      <c r="M88" s="109">
        <f t="shared" ca="1" si="42"/>
        <v>2108114.1294833622</v>
      </c>
      <c r="N88" s="109">
        <f t="shared" ca="1" si="42"/>
        <v>2107641.6700191121</v>
      </c>
      <c r="O88" s="109">
        <f t="shared" ca="1" si="42"/>
        <v>2108114.1294833622</v>
      </c>
      <c r="P88" s="109">
        <f t="shared" ca="1" si="42"/>
        <v>2107641.6700191121</v>
      </c>
      <c r="Q88" s="109">
        <f t="shared" ca="1" si="42"/>
        <v>2108114.1294833622</v>
      </c>
      <c r="R88" s="109">
        <f t="shared" ca="1" si="42"/>
        <v>2107641.6700191121</v>
      </c>
      <c r="S88" s="109">
        <f t="shared" ca="1" si="42"/>
        <v>2108114.1294833622</v>
      </c>
      <c r="T88" s="109">
        <f t="shared" ca="1" si="42"/>
        <v>2107641.6700191121</v>
      </c>
      <c r="U88" s="109">
        <f t="shared" ca="1" si="42"/>
        <v>2108114.1294833622</v>
      </c>
      <c r="V88" s="109">
        <f t="shared" ca="1" si="42"/>
        <v>2107641.6700191121</v>
      </c>
      <c r="W88" s="110">
        <f t="shared" ca="1" si="42"/>
        <v>1054057.0647416811</v>
      </c>
      <c r="X88" s="107">
        <f t="shared" ca="1" si="3"/>
        <v>47245946.424996912</v>
      </c>
    </row>
    <row r="89" spans="1:24" ht="15" customHeight="1" x14ac:dyDescent="0.25">
      <c r="A89" s="75">
        <f>IF('Cash Flow Analysis'!C105="","",'Cash Flow Analysis'!C105)</f>
        <v>38</v>
      </c>
      <c r="B89" s="1087">
        <f ca="1">IF(A89="","",IF(A89&lt;1,0,IF(A89=1,$B$44-'Cash Flow Analysis'!I105,-'Cash Flow Analysis'!I105)))</f>
        <v>48143619.407071836</v>
      </c>
      <c r="C89" s="108">
        <f t="shared" ref="C89:W89" ca="1" si="43">IF($B$89="","",IF(AND($B$42="Straight Line",C48&lt;=depr_length),$B$89/depr_length,IF(AND($B$42="MACRS",C48&lt;=depr_length+1),$B$89*INDEX(MACRS_Table,MATCH(C48,recovery_year,0),MATCH($B$43,recovery_period,0)),"")))</f>
        <v>1805385.7277651939</v>
      </c>
      <c r="D89" s="109">
        <f t="shared" ca="1" si="43"/>
        <v>3475487.8849965162</v>
      </c>
      <c r="E89" s="109">
        <f t="shared" ca="1" si="43"/>
        <v>3214549.4678101861</v>
      </c>
      <c r="F89" s="109">
        <f t="shared" ca="1" si="43"/>
        <v>2973831.3707748274</v>
      </c>
      <c r="G89" s="109">
        <f t="shared" ca="1" si="43"/>
        <v>2750444.9767260142</v>
      </c>
      <c r="H89" s="109">
        <f t="shared" ca="1" si="43"/>
        <v>2544390.2856637468</v>
      </c>
      <c r="I89" s="109">
        <f t="shared" ca="1" si="43"/>
        <v>2353260.1166176712</v>
      </c>
      <c r="J89" s="109">
        <f t="shared" ca="1" si="43"/>
        <v>2177054.4695877885</v>
      </c>
      <c r="K89" s="109">
        <f t="shared" ca="1" si="43"/>
        <v>2148168.2979435455</v>
      </c>
      <c r="L89" s="109">
        <f t="shared" ca="1" si="43"/>
        <v>2147686.8617494744</v>
      </c>
      <c r="M89" s="109">
        <f t="shared" ca="1" si="43"/>
        <v>2148168.2979435455</v>
      </c>
      <c r="N89" s="109">
        <f t="shared" ca="1" si="43"/>
        <v>2147686.8617494744</v>
      </c>
      <c r="O89" s="109">
        <f t="shared" ca="1" si="43"/>
        <v>2148168.2979435455</v>
      </c>
      <c r="P89" s="109">
        <f t="shared" ca="1" si="43"/>
        <v>2147686.8617494744</v>
      </c>
      <c r="Q89" s="109">
        <f t="shared" ca="1" si="43"/>
        <v>2148168.2979435455</v>
      </c>
      <c r="R89" s="109">
        <f t="shared" ca="1" si="43"/>
        <v>2147686.8617494744</v>
      </c>
      <c r="S89" s="109">
        <f t="shared" ca="1" si="43"/>
        <v>2148168.2979435455</v>
      </c>
      <c r="T89" s="109">
        <f t="shared" ca="1" si="43"/>
        <v>2147686.8617494744</v>
      </c>
      <c r="U89" s="109">
        <f t="shared" ca="1" si="43"/>
        <v>2148168.2979435455</v>
      </c>
      <c r="V89" s="109">
        <f t="shared" ca="1" si="43"/>
        <v>2147686.8617494744</v>
      </c>
      <c r="W89" s="110">
        <f t="shared" ca="1" si="43"/>
        <v>1074084.1489717728</v>
      </c>
      <c r="X89" s="107">
        <f t="shared" ca="1" si="3"/>
        <v>48143619.407071851</v>
      </c>
    </row>
    <row r="90" spans="1:24" ht="15" customHeight="1" x14ac:dyDescent="0.25">
      <c r="A90" s="75">
        <f>IF('Cash Flow Analysis'!C106="","",'Cash Flow Analysis'!C106)</f>
        <v>39</v>
      </c>
      <c r="B90" s="1087">
        <f ca="1">IF(A90="","",IF(A90&lt;1,0,IF(A90=1,$B$44-'Cash Flow Analysis'!I106,-'Cash Flow Analysis'!I106)))</f>
        <v>49058348.175806209</v>
      </c>
      <c r="C90" s="108">
        <f t="shared" ref="C90:W90" ca="1" si="44">IF($B$90="","",IF(AND($B$42="Straight Line",C48&lt;=depr_length),$B$90/depr_length,IF(AND($B$42="MACRS",C48&lt;=depr_length+1),$B$90*INDEX(MACRS_Table,MATCH(C48,recovery_year,0),MATCH($B$43,recovery_period,0)),"")))</f>
        <v>1839688.0565927329</v>
      </c>
      <c r="D90" s="109">
        <f t="shared" ca="1" si="44"/>
        <v>3541522.1548114503</v>
      </c>
      <c r="E90" s="109">
        <f t="shared" ca="1" si="44"/>
        <v>3275625.9076985805</v>
      </c>
      <c r="F90" s="109">
        <f t="shared" ca="1" si="44"/>
        <v>3030334.1668195496</v>
      </c>
      <c r="G90" s="109">
        <f t="shared" ca="1" si="44"/>
        <v>2802703.4312838088</v>
      </c>
      <c r="H90" s="109">
        <f t="shared" ca="1" si="44"/>
        <v>2592733.7010913584</v>
      </c>
      <c r="I90" s="109">
        <f t="shared" ca="1" si="44"/>
        <v>2397972.0588334077</v>
      </c>
      <c r="J90" s="109">
        <f t="shared" ca="1" si="44"/>
        <v>2218418.504509957</v>
      </c>
      <c r="K90" s="109">
        <f t="shared" ca="1" si="44"/>
        <v>2188983.4956044732</v>
      </c>
      <c r="L90" s="109">
        <f t="shared" ca="1" si="44"/>
        <v>2188492.9121227148</v>
      </c>
      <c r="M90" s="109">
        <f t="shared" ca="1" si="44"/>
        <v>2188983.4956044732</v>
      </c>
      <c r="N90" s="109">
        <f t="shared" ca="1" si="44"/>
        <v>2188492.9121227148</v>
      </c>
      <c r="O90" s="109">
        <f t="shared" ca="1" si="44"/>
        <v>2188983.4956044732</v>
      </c>
      <c r="P90" s="109">
        <f t="shared" ca="1" si="44"/>
        <v>2188492.9121227148</v>
      </c>
      <c r="Q90" s="109">
        <f t="shared" ca="1" si="44"/>
        <v>2188983.4956044732</v>
      </c>
      <c r="R90" s="109">
        <f t="shared" ca="1" si="44"/>
        <v>2188492.9121227148</v>
      </c>
      <c r="S90" s="109">
        <f t="shared" ca="1" si="44"/>
        <v>2188983.4956044732</v>
      </c>
      <c r="T90" s="109">
        <f t="shared" ca="1" si="44"/>
        <v>2188492.9121227148</v>
      </c>
      <c r="U90" s="109">
        <f t="shared" ca="1" si="44"/>
        <v>2188983.4956044732</v>
      </c>
      <c r="V90" s="109">
        <f t="shared" ca="1" si="44"/>
        <v>2188492.9121227148</v>
      </c>
      <c r="W90" s="110">
        <f t="shared" ca="1" si="44"/>
        <v>1094491.7478022366</v>
      </c>
      <c r="X90" s="107">
        <f t="shared" ca="1" si="3"/>
        <v>49058348.175806195</v>
      </c>
    </row>
    <row r="91" spans="1:24" ht="15" customHeight="1" x14ac:dyDescent="0.25">
      <c r="A91" s="75">
        <f>IF('Cash Flow Analysis'!C107="","",'Cash Flow Analysis'!C107)</f>
        <v>40</v>
      </c>
      <c r="B91" s="1087">
        <f ca="1">IF(A91="","",IF(A91&lt;1,0,IF(A91=1,$B$44-'Cash Flow Analysis'!I107,-'Cash Flow Analysis'!I107)))</f>
        <v>49990456.791146532</v>
      </c>
      <c r="C91" s="108">
        <f t="shared" ref="C91:W91" ca="1" si="45">IF($B$91="","",IF(AND($B$42="Straight Line",C48&lt;=depr_length),$B$91/depr_length,IF(AND($B$42="MACRS",C48&lt;=depr_length+1),$B$91*INDEX(MACRS_Table,MATCH(C48,recovery_year,0),MATCH($B$43,recovery_period,0)),"")))</f>
        <v>1874642.1296679948</v>
      </c>
      <c r="D91" s="109">
        <f t="shared" ca="1" si="45"/>
        <v>3608811.0757528683</v>
      </c>
      <c r="E91" s="109">
        <f t="shared" ca="1" si="45"/>
        <v>3337862.7999448539</v>
      </c>
      <c r="F91" s="109">
        <f t="shared" ca="1" si="45"/>
        <v>3087910.515989121</v>
      </c>
      <c r="G91" s="109">
        <f t="shared" ca="1" si="45"/>
        <v>2855954.7964782012</v>
      </c>
      <c r="H91" s="109">
        <f t="shared" ca="1" si="45"/>
        <v>2641995.6414120942</v>
      </c>
      <c r="I91" s="109">
        <f t="shared" ca="1" si="45"/>
        <v>2443533.5279512424</v>
      </c>
      <c r="J91" s="109">
        <f t="shared" ca="1" si="45"/>
        <v>2260568.4560956461</v>
      </c>
      <c r="K91" s="109">
        <f t="shared" ca="1" si="45"/>
        <v>2230574.182020958</v>
      </c>
      <c r="L91" s="109">
        <f t="shared" ca="1" si="45"/>
        <v>2230074.2774530468</v>
      </c>
      <c r="M91" s="109">
        <f t="shared" ca="1" si="45"/>
        <v>2230574.182020958</v>
      </c>
      <c r="N91" s="109">
        <f t="shared" ca="1" si="45"/>
        <v>2230074.2774530468</v>
      </c>
      <c r="O91" s="109">
        <f t="shared" ca="1" si="45"/>
        <v>2230574.182020958</v>
      </c>
      <c r="P91" s="109">
        <f t="shared" ca="1" si="45"/>
        <v>2230074.2774530468</v>
      </c>
      <c r="Q91" s="109">
        <f t="shared" ca="1" si="45"/>
        <v>2230574.182020958</v>
      </c>
      <c r="R91" s="109">
        <f t="shared" ca="1" si="45"/>
        <v>2230074.2774530468</v>
      </c>
      <c r="S91" s="109">
        <f t="shared" ca="1" si="45"/>
        <v>2230574.182020958</v>
      </c>
      <c r="T91" s="109">
        <f t="shared" ca="1" si="45"/>
        <v>2230074.2774530468</v>
      </c>
      <c r="U91" s="109">
        <f t="shared" ca="1" si="45"/>
        <v>2230574.182020958</v>
      </c>
      <c r="V91" s="109">
        <f t="shared" ca="1" si="45"/>
        <v>2230074.2774530468</v>
      </c>
      <c r="W91" s="110">
        <f t="shared" ca="1" si="45"/>
        <v>1115287.091010479</v>
      </c>
      <c r="X91" s="107">
        <f t="shared" ca="1" si="3"/>
        <v>49990456.791146532</v>
      </c>
    </row>
    <row r="92" spans="1:24" ht="15" customHeight="1" thickBot="1" x14ac:dyDescent="0.3">
      <c r="A92" s="79" t="str">
        <f>IF('Cash Flow Analysis'!C108="","",'Cash Flow Analysis'!C108)</f>
        <v/>
      </c>
      <c r="B92" s="1087"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5">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3">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4">
      <c r="A95" s="98" t="s">
        <v>59</v>
      </c>
      <c r="B95" s="64"/>
      <c r="C95" s="65"/>
    </row>
    <row r="96" spans="1:24" ht="31.15" customHeight="1" thickTop="1" x14ac:dyDescent="0.3">
      <c r="A96" s="116" t="s">
        <v>56</v>
      </c>
      <c r="B96" s="117" t="s">
        <v>60</v>
      </c>
      <c r="C96" s="118" t="s">
        <v>61</v>
      </c>
    </row>
    <row r="97" spans="1:3" ht="15" customHeight="1" x14ac:dyDescent="0.25">
      <c r="A97" s="94">
        <f>IF('Cash Flow Analysis'!C65="","",'Cash Flow Analysis'!C65)</f>
        <v>-3</v>
      </c>
      <c r="B97" s="109">
        <f>C49</f>
        <v>0</v>
      </c>
      <c r="C97" s="119">
        <f t="shared" ref="C97:C140" si="47">IF(A97="",B97,0)</f>
        <v>0</v>
      </c>
    </row>
    <row r="98" spans="1:3" ht="15" customHeight="1" x14ac:dyDescent="0.25">
      <c r="A98" s="94">
        <f>IF('Cash Flow Analysis'!C66="","",'Cash Flow Analysis'!C66)</f>
        <v>-2</v>
      </c>
      <c r="B98" s="109">
        <f>SUM(D49,C50)</f>
        <v>0</v>
      </c>
      <c r="C98" s="119">
        <f t="shared" si="47"/>
        <v>0</v>
      </c>
    </row>
    <row r="99" spans="1:3" ht="15" customHeight="1" x14ac:dyDescent="0.25">
      <c r="A99" s="94">
        <f>IF('Cash Flow Analysis'!C67="","",'Cash Flow Analysis'!C67)</f>
        <v>-1</v>
      </c>
      <c r="B99" s="109">
        <f>SUM(E49,D50,C51)</f>
        <v>0</v>
      </c>
      <c r="C99" s="119">
        <f t="shared" si="47"/>
        <v>0</v>
      </c>
    </row>
    <row r="100" spans="1:3" ht="15" customHeight="1" x14ac:dyDescent="0.25">
      <c r="A100" s="94">
        <f>IF('Cash Flow Analysis'!C68="","",'Cash Flow Analysis'!C68)</f>
        <v>1</v>
      </c>
      <c r="B100" s="109">
        <f ca="1">SUM(F49,E50,D51,C52)</f>
        <v>24825041.877358593</v>
      </c>
      <c r="C100" s="119">
        <f t="shared" si="47"/>
        <v>0</v>
      </c>
    </row>
    <row r="101" spans="1:3" ht="15" customHeight="1" x14ac:dyDescent="0.25">
      <c r="A101" s="94">
        <f>IF('Cash Flow Analysis'!C69="","",'Cash Flow Analysis'!C69)</f>
        <v>2</v>
      </c>
      <c r="B101" s="109">
        <f ca="1">SUM(G49,F50,E51,D52,C53)</f>
        <v>48706712.920637675</v>
      </c>
      <c r="C101" s="119">
        <f t="shared" si="47"/>
        <v>0</v>
      </c>
    </row>
    <row r="102" spans="1:3" ht="15" customHeight="1" x14ac:dyDescent="0.25">
      <c r="A102" s="94">
        <f>IF('Cash Flow Analysis'!C70="","",'Cash Flow Analysis'!C70)</f>
        <v>3</v>
      </c>
      <c r="B102" s="109">
        <f ca="1">SUM(H49,G50,F51,E52,D53,C54)</f>
        <v>46901088.87029136</v>
      </c>
      <c r="C102" s="119">
        <f t="shared" si="47"/>
        <v>0</v>
      </c>
    </row>
    <row r="103" spans="1:3" ht="15" customHeight="1" x14ac:dyDescent="0.25">
      <c r="A103" s="94">
        <f>IF('Cash Flow Analysis'!C71="","",'Cash Flow Analysis'!C71)</f>
        <v>4</v>
      </c>
      <c r="B103" s="109">
        <f ca="1">SUM(I49,H50,G51,F52,E53,D54,C55)</f>
        <v>45274855.587354265</v>
      </c>
      <c r="C103" s="119">
        <f t="shared" si="47"/>
        <v>0</v>
      </c>
    </row>
    <row r="104" spans="1:3" ht="15" customHeight="1" x14ac:dyDescent="0.25">
      <c r="A104" s="94">
        <f>IF('Cash Flow Analysis'!C72="","",'Cash Flow Analysis'!C72)</f>
        <v>5</v>
      </c>
      <c r="B104" s="109">
        <f ca="1">SUM(J49,I50,H51,G52,F53,E54,D55,C56)</f>
        <v>43796687.40629591</v>
      </c>
      <c r="C104" s="119">
        <f t="shared" si="47"/>
        <v>0</v>
      </c>
    </row>
    <row r="105" spans="1:3" ht="15" customHeight="1" x14ac:dyDescent="0.25">
      <c r="A105" s="94">
        <f>IF('Cash Flow Analysis'!C73="","",'Cash Flow Analysis'!C73)</f>
        <v>6</v>
      </c>
      <c r="B105" s="109">
        <f ca="1">SUM(K49,J50,I51,H52,G53,F54,E55,D56,C57)</f>
        <v>42473671.258531295</v>
      </c>
      <c r="C105" s="119">
        <f t="shared" si="47"/>
        <v>0</v>
      </c>
    </row>
    <row r="106" spans="1:3" ht="15" customHeight="1" x14ac:dyDescent="0.25">
      <c r="A106" s="94">
        <f>IF('Cash Flow Analysis'!C74="","",'Cash Flow Analysis'!C74)</f>
        <v>7</v>
      </c>
      <c r="B106" s="109">
        <f ca="1">SUM(L49,K50,J51,I52,H53,G54,F55,E56,D57,C58)</f>
        <v>41279928.671335824</v>
      </c>
      <c r="C106" s="119">
        <f t="shared" si="47"/>
        <v>0</v>
      </c>
    </row>
    <row r="107" spans="1:3" ht="15" customHeight="1" x14ac:dyDescent="0.25">
      <c r="A107" s="94">
        <f>IF('Cash Flow Analysis'!C75="","",'Cash Flow Analysis'!C75)</f>
        <v>8</v>
      </c>
      <c r="B107" s="109">
        <f ca="1">SUM(M49,L50,K51,J52,I53,H54,G55,F56,E57,D58,C59)</f>
        <v>40221595.968161933</v>
      </c>
      <c r="C107" s="119">
        <f t="shared" si="47"/>
        <v>0</v>
      </c>
    </row>
    <row r="108" spans="1:3" ht="15" customHeight="1" x14ac:dyDescent="0.25">
      <c r="A108" s="94">
        <f>IF('Cash Flow Analysis'!C76="","",'Cash Flow Analysis'!C76)</f>
        <v>9</v>
      </c>
      <c r="B108" s="109">
        <f ca="1">SUM(N49,M50,L51,K52,J53,I54,H55,G56,F57,E58,D59,C60)</f>
        <v>41125429.133613952</v>
      </c>
      <c r="C108" s="119">
        <f t="shared" si="47"/>
        <v>0</v>
      </c>
    </row>
    <row r="109" spans="1:3" ht="15" customHeight="1" x14ac:dyDescent="0.25">
      <c r="A109" s="94">
        <f>IF('Cash Flow Analysis'!C77="","",'Cash Flow Analysis'!C77)</f>
        <v>10</v>
      </c>
      <c r="B109" s="109">
        <f ca="1">SUM(O49,N50,M51,L52,K53,J54,I55,H56,G57,F58,E59,D60,C61)</f>
        <v>42429892.963947833</v>
      </c>
      <c r="C109" s="119">
        <f t="shared" si="47"/>
        <v>0</v>
      </c>
    </row>
    <row r="110" spans="1:3" ht="15" customHeight="1" x14ac:dyDescent="0.25">
      <c r="A110" s="94">
        <f>IF('Cash Flow Analysis'!C78="","",'Cash Flow Analysis'!C78)</f>
        <v>11</v>
      </c>
      <c r="B110" s="109">
        <f ca="1">SUM(P49,O50,N51,M52,L53,K54,J55,I56,H57,G58,F59,E60,D61,C62)</f>
        <v>43772262.915657118</v>
      </c>
      <c r="C110" s="119">
        <f t="shared" si="47"/>
        <v>0</v>
      </c>
    </row>
    <row r="111" spans="1:3" ht="15" customHeight="1" x14ac:dyDescent="0.25">
      <c r="A111" s="94">
        <f>IF('Cash Flow Analysis'!C79="","",'Cash Flow Analysis'!C79)</f>
        <v>12</v>
      </c>
      <c r="B111" s="109">
        <f ca="1">SUM(Q49,P50,O51,N52,M53,L54,K55,J56,I57,H58,G59,F60,E61,D62,C63)</f>
        <v>45127016.587849796</v>
      </c>
      <c r="C111" s="119">
        <f t="shared" si="47"/>
        <v>0</v>
      </c>
    </row>
    <row r="112" spans="1:3" ht="15" customHeight="1" x14ac:dyDescent="0.25">
      <c r="A112" s="94">
        <f>IF('Cash Flow Analysis'!C80="","",'Cash Flow Analysis'!C80)</f>
        <v>13</v>
      </c>
      <c r="B112" s="109">
        <f ca="1">SUM(R49,Q50,P51,O52,N53,M54,L55,K56,J57,I58,H59,G60,F61,E62,D63,C64)</f>
        <v>46520631.888413228</v>
      </c>
      <c r="C112" s="119">
        <f t="shared" si="47"/>
        <v>0</v>
      </c>
    </row>
    <row r="113" spans="1:3" ht="15" customHeight="1" x14ac:dyDescent="0.25">
      <c r="A113" s="94">
        <f>IF('Cash Flow Analysis'!C81="","",'Cash Flow Analysis'!C81)</f>
        <v>14</v>
      </c>
      <c r="B113" s="109">
        <f ca="1">SUM(S49,R50,Q51,P52,O53,N54,M55,L56,K57,J58,I59,H60,G61,F62,E63,D64,C65)</f>
        <v>47927604.571088292</v>
      </c>
      <c r="C113" s="119">
        <f t="shared" si="47"/>
        <v>0</v>
      </c>
    </row>
    <row r="114" spans="1:3" ht="15" customHeight="1" x14ac:dyDescent="0.25">
      <c r="A114" s="94">
        <f>IF('Cash Flow Analysis'!C82="","",'Cash Flow Analysis'!C82)</f>
        <v>15</v>
      </c>
      <c r="B114" s="109">
        <f ca="1">SUM(T49,S50,R51,Q52,P53,O54,N55,M56,L57,K58,J59,I60,H61,G62,F63,E64,D65,C66)</f>
        <v>49374431.043333232</v>
      </c>
      <c r="C114" s="119">
        <f t="shared" si="47"/>
        <v>0</v>
      </c>
    </row>
    <row r="115" spans="1:3" ht="15" customHeight="1" x14ac:dyDescent="0.25">
      <c r="A115" s="94">
        <f>IF('Cash Flow Analysis'!C83="","",'Cash Flow Analysis'!C83)</f>
        <v>16</v>
      </c>
      <c r="B115" s="109">
        <f ca="1">SUM(U49,T50,S51,R52,Q53,P54,O55,N56,M57,L58,K59,J60,I61,H62,G63,F64,E65,D66,C67)</f>
        <v>50835625.909951769</v>
      </c>
      <c r="C115" s="119">
        <f t="shared" si="47"/>
        <v>0</v>
      </c>
    </row>
    <row r="116" spans="1:3" ht="15" customHeight="1" x14ac:dyDescent="0.25">
      <c r="A116" s="94">
        <f>IF('Cash Flow Analysis'!C84="","",'Cash Flow Analysis'!C84)</f>
        <v>17</v>
      </c>
      <c r="B116" s="109">
        <f ca="1">SUM(V49,U50,T51,S52,R53,Q54,P55,O56,N57,M58,L59,K60,J61,I62,H63,G64,F65,E66,D67,C68)</f>
        <v>52337704.78763514</v>
      </c>
      <c r="C116" s="119">
        <f t="shared" si="47"/>
        <v>0</v>
      </c>
    </row>
    <row r="117" spans="1:3" ht="15" customHeight="1" x14ac:dyDescent="0.25">
      <c r="A117" s="94">
        <f>IF('Cash Flow Analysis'!C85="","",'Cash Flow Analysis'!C85)</f>
        <v>18</v>
      </c>
      <c r="B117" s="109">
        <f t="shared" ref="B117:B140" ca="1" si="48">SUM(W49,V50,U51,T52,S53,R54,Q55,P56,O57,N58,M59,L60,K61,J62,I63,H64,G65,F66,E67,D68,C69)</f>
        <v>53855201.855395406</v>
      </c>
      <c r="C117" s="119">
        <f t="shared" si="47"/>
        <v>0</v>
      </c>
    </row>
    <row r="118" spans="1:3" ht="15" customHeight="1" x14ac:dyDescent="0.25">
      <c r="A118" s="94">
        <f>IF('Cash Flow Analysis'!C86="","",'Cash Flow Analysis'!C86)</f>
        <v>19</v>
      </c>
      <c r="B118" s="109">
        <f t="shared" ca="1" si="48"/>
        <v>55414652.676042184</v>
      </c>
      <c r="C118" s="119">
        <f t="shared" si="47"/>
        <v>0</v>
      </c>
    </row>
    <row r="119" spans="1:3" ht="15" customHeight="1" x14ac:dyDescent="0.25">
      <c r="A119" s="94">
        <f>IF('Cash Flow Analysis'!C87="","",'Cash Flow Analysis'!C87)</f>
        <v>20</v>
      </c>
      <c r="B119" s="109">
        <f t="shared" ca="1" si="48"/>
        <v>56990611.753682204</v>
      </c>
      <c r="C119" s="119">
        <f t="shared" si="47"/>
        <v>0</v>
      </c>
    </row>
    <row r="120" spans="1:3" ht="15" customHeight="1" x14ac:dyDescent="0.25">
      <c r="A120" s="94">
        <f>IF('Cash Flow Analysis'!C88="","",'Cash Flow Analysis'!C88)</f>
        <v>21</v>
      </c>
      <c r="B120" s="109">
        <f t="shared" ca="1" si="48"/>
        <v>43840390.448159903</v>
      </c>
      <c r="C120" s="119">
        <f t="shared" si="47"/>
        <v>0</v>
      </c>
    </row>
    <row r="121" spans="1:3" ht="15" customHeight="1" x14ac:dyDescent="0.25">
      <c r="A121" s="94">
        <f>IF('Cash Flow Analysis'!C89="","",'Cash Flow Analysis'!C89)</f>
        <v>22</v>
      </c>
      <c r="B121" s="109">
        <f t="shared" ca="1" si="48"/>
        <v>30168963.29641965</v>
      </c>
      <c r="C121" s="119">
        <f t="shared" si="47"/>
        <v>0</v>
      </c>
    </row>
    <row r="122" spans="1:3" ht="15" customHeight="1" x14ac:dyDescent="0.25">
      <c r="A122" s="94">
        <f>IF('Cash Flow Analysis'!C90="","",'Cash Flow Analysis'!C90)</f>
        <v>23</v>
      </c>
      <c r="B122" s="109">
        <f t="shared" ca="1" si="48"/>
        <v>30742173.599051613</v>
      </c>
      <c r="C122" s="119">
        <f t="shared" si="47"/>
        <v>0</v>
      </c>
    </row>
    <row r="123" spans="1:3" ht="15" customHeight="1" x14ac:dyDescent="0.25">
      <c r="A123" s="94">
        <f>IF('Cash Flow Analysis'!C91="","",'Cash Flow Analysis'!C91)</f>
        <v>24</v>
      </c>
      <c r="B123" s="109">
        <f t="shared" ca="1" si="48"/>
        <v>31326274.897433605</v>
      </c>
      <c r="C123" s="119">
        <f t="shared" si="47"/>
        <v>0</v>
      </c>
    </row>
    <row r="124" spans="1:3" ht="15" customHeight="1" x14ac:dyDescent="0.25">
      <c r="A124" s="94">
        <f>IF('Cash Flow Analysis'!C92="","",'Cash Flow Analysis'!C92)</f>
        <v>25</v>
      </c>
      <c r="B124" s="109">
        <f t="shared" ca="1" si="48"/>
        <v>31921474.120484833</v>
      </c>
      <c r="C124" s="119">
        <f t="shared" si="47"/>
        <v>0</v>
      </c>
    </row>
    <row r="125" spans="1:3" ht="15" customHeight="1" x14ac:dyDescent="0.25">
      <c r="A125" s="94">
        <f>IF('Cash Flow Analysis'!C93="","",'Cash Flow Analysis'!C93)</f>
        <v>26</v>
      </c>
      <c r="B125" s="109">
        <f t="shared" ca="1" si="48"/>
        <v>32527982.128774043</v>
      </c>
      <c r="C125" s="119">
        <f t="shared" si="47"/>
        <v>0</v>
      </c>
    </row>
    <row r="126" spans="1:3" ht="15" customHeight="1" x14ac:dyDescent="0.25">
      <c r="A126" s="94">
        <f>IF('Cash Flow Analysis'!C94="","",'Cash Flow Analysis'!C94)</f>
        <v>27</v>
      </c>
      <c r="B126" s="109">
        <f t="shared" ca="1" si="48"/>
        <v>33146013.789220747</v>
      </c>
      <c r="C126" s="119">
        <f t="shared" si="47"/>
        <v>0</v>
      </c>
    </row>
    <row r="127" spans="1:3" ht="15" customHeight="1" x14ac:dyDescent="0.25">
      <c r="A127" s="94">
        <f>IF('Cash Flow Analysis'!C95="","",'Cash Flow Analysis'!C95)</f>
        <v>28</v>
      </c>
      <c r="B127" s="109">
        <f t="shared" ca="1" si="48"/>
        <v>33775788.051215939</v>
      </c>
      <c r="C127" s="119">
        <f t="shared" si="47"/>
        <v>0</v>
      </c>
    </row>
    <row r="128" spans="1:3" ht="15" customHeight="1" x14ac:dyDescent="0.25">
      <c r="A128" s="94">
        <f>IF('Cash Flow Analysis'!C96="","",'Cash Flow Analysis'!C96)</f>
        <v>29</v>
      </c>
      <c r="B128" s="109">
        <f t="shared" ca="1" si="48"/>
        <v>34417528.02418904</v>
      </c>
      <c r="C128" s="119">
        <f t="shared" si="47"/>
        <v>0</v>
      </c>
    </row>
    <row r="129" spans="1:3" ht="15" customHeight="1" x14ac:dyDescent="0.25">
      <c r="A129" s="94">
        <f>IF('Cash Flow Analysis'!C97="","",'Cash Flow Analysis'!C97)</f>
        <v>30</v>
      </c>
      <c r="B129" s="109">
        <f t="shared" ca="1" si="48"/>
        <v>35071461.056648634</v>
      </c>
      <c r="C129" s="119">
        <f t="shared" si="47"/>
        <v>0</v>
      </c>
    </row>
    <row r="130" spans="1:3" ht="15" customHeight="1" x14ac:dyDescent="0.25">
      <c r="A130" s="94">
        <f>IF('Cash Flow Analysis'!C98="","",'Cash Flow Analysis'!C98)</f>
        <v>31</v>
      </c>
      <c r="B130" s="109">
        <f t="shared" ca="1" si="48"/>
        <v>35737818.816724956</v>
      </c>
      <c r="C130" s="119">
        <f t="shared" si="47"/>
        <v>0</v>
      </c>
    </row>
    <row r="131" spans="1:3" ht="15" customHeight="1" x14ac:dyDescent="0.25">
      <c r="A131" s="94">
        <f>IF('Cash Flow Analysis'!C99="","",'Cash Flow Analysis'!C99)</f>
        <v>32</v>
      </c>
      <c r="B131" s="109">
        <f t="shared" ca="1" si="48"/>
        <v>36416837.374242738</v>
      </c>
      <c r="C131" s="119">
        <f t="shared" si="47"/>
        <v>0</v>
      </c>
    </row>
    <row r="132" spans="1:3" ht="15" customHeight="1" x14ac:dyDescent="0.25">
      <c r="A132" s="94">
        <f>IF('Cash Flow Analysis'!C100="","",'Cash Flow Analysis'!C100)</f>
        <v>33</v>
      </c>
      <c r="B132" s="109">
        <f t="shared" ca="1" si="48"/>
        <v>37108757.284353331</v>
      </c>
      <c r="C132" s="119">
        <f t="shared" si="47"/>
        <v>0</v>
      </c>
    </row>
    <row r="133" spans="1:3" ht="15" customHeight="1" x14ac:dyDescent="0.25">
      <c r="A133" s="94">
        <f>IF('Cash Flow Analysis'!C101="","",'Cash Flow Analysis'!C101)</f>
        <v>34</v>
      </c>
      <c r="B133" s="109">
        <f t="shared" ca="1" si="48"/>
        <v>37813823.672756054</v>
      </c>
      <c r="C133" s="119">
        <f t="shared" si="47"/>
        <v>0</v>
      </c>
    </row>
    <row r="134" spans="1:3" ht="15" customHeight="1" x14ac:dyDescent="0.25">
      <c r="A134" s="94">
        <f>IF('Cash Flow Analysis'!C102="","",'Cash Flow Analysis'!C102)</f>
        <v>35</v>
      </c>
      <c r="B134" s="109">
        <f t="shared" ca="1" si="48"/>
        <v>38532286.322538413</v>
      </c>
      <c r="C134" s="119">
        <f t="shared" si="47"/>
        <v>0</v>
      </c>
    </row>
    <row r="135" spans="1:3" ht="15" customHeight="1" x14ac:dyDescent="0.25">
      <c r="A135" s="94">
        <f>IF('Cash Flow Analysis'!C103="","",'Cash Flow Analysis'!C103)</f>
        <v>36</v>
      </c>
      <c r="B135" s="109">
        <f t="shared" ca="1" si="48"/>
        <v>39264399.762666635</v>
      </c>
      <c r="C135" s="119">
        <f t="shared" si="47"/>
        <v>0</v>
      </c>
    </row>
    <row r="136" spans="1:3" ht="15" customHeight="1" x14ac:dyDescent="0.25">
      <c r="A136" s="94">
        <f>IF('Cash Flow Analysis'!C104="","",'Cash Flow Analysis'!C104)</f>
        <v>37</v>
      </c>
      <c r="B136" s="109">
        <f t="shared" ca="1" si="48"/>
        <v>40010423.358157314</v>
      </c>
      <c r="C136" s="119">
        <f t="shared" si="47"/>
        <v>0</v>
      </c>
    </row>
    <row r="137" spans="1:3" ht="15" customHeight="1" x14ac:dyDescent="0.25">
      <c r="A137" s="94">
        <f>IF('Cash Flow Analysis'!C105="","",'Cash Flow Analysis'!C105)</f>
        <v>38</v>
      </c>
      <c r="B137" s="109">
        <f t="shared" ca="1" si="48"/>
        <v>40770621.401962295</v>
      </c>
      <c r="C137" s="119">
        <f t="shared" si="47"/>
        <v>0</v>
      </c>
    </row>
    <row r="138" spans="1:3" ht="15" customHeight="1" x14ac:dyDescent="0.25">
      <c r="A138" s="94">
        <f>IF('Cash Flow Analysis'!C106="","",'Cash Flow Analysis'!C106)</f>
        <v>39</v>
      </c>
      <c r="B138" s="109">
        <f t="shared" ca="1" si="48"/>
        <v>41545263.208599575</v>
      </c>
      <c r="C138" s="119">
        <f t="shared" si="47"/>
        <v>0</v>
      </c>
    </row>
    <row r="139" spans="1:3" ht="15" customHeight="1" x14ac:dyDescent="0.25">
      <c r="A139" s="94">
        <f>IF('Cash Flow Analysis'!C107="","",'Cash Flow Analysis'!C107)</f>
        <v>40</v>
      </c>
      <c r="B139" s="109">
        <f t="shared" ca="1" si="48"/>
        <v>42334623.209562965</v>
      </c>
      <c r="C139" s="119">
        <f t="shared" si="47"/>
        <v>0</v>
      </c>
    </row>
    <row r="140" spans="1:3" ht="15" customHeight="1" thickBot="1" x14ac:dyDescent="0.3">
      <c r="A140" s="120" t="str">
        <f>IF('Cash Flow Analysis'!C108="","",'Cash Flow Analysis'!C108)</f>
        <v/>
      </c>
      <c r="B140" s="121">
        <f t="shared" ca="1" si="48"/>
        <v>41228720.720412977</v>
      </c>
      <c r="C140" s="122">
        <f t="shared" ca="1" si="47"/>
        <v>41228720.720412977</v>
      </c>
    </row>
    <row r="141" spans="1:3" ht="15" customHeight="1" thickTop="1" thickBot="1" x14ac:dyDescent="0.35">
      <c r="A141" s="123" t="s">
        <v>62</v>
      </c>
      <c r="B141" s="124">
        <f ca="1">SUM(B97:B140)</f>
        <v>1686892273.1901524</v>
      </c>
      <c r="C141" s="125">
        <f ca="1">SUM(C97:C140)</f>
        <v>41228720.720412977</v>
      </c>
    </row>
    <row r="142" spans="1:3" ht="15" customHeight="1" thickTop="1" x14ac:dyDescent="0.3">
      <c r="A142" s="126"/>
      <c r="B142" s="127"/>
      <c r="C142" s="128"/>
    </row>
    <row r="143" spans="1:3" ht="15" customHeight="1" thickBot="1" x14ac:dyDescent="0.3">
      <c r="A143" s="38" t="str">
        <f>IF('Cash Flow Analysis'!C109="","",'Cash Flow Analysis'!C109)</f>
        <v/>
      </c>
      <c r="B143" s="115"/>
    </row>
    <row r="144" spans="1:3" ht="31.5" customHeight="1" thickTop="1" x14ac:dyDescent="0.35">
      <c r="A144" s="1694" t="s">
        <v>63</v>
      </c>
      <c r="B144" s="1695"/>
    </row>
    <row r="145" spans="1:2" ht="16.5" customHeight="1" thickBot="1" x14ac:dyDescent="0.35">
      <c r="A145" s="129" t="s">
        <v>64</v>
      </c>
      <c r="B145" s="130" t="s">
        <v>60</v>
      </c>
    </row>
    <row r="146" spans="1:2" ht="15" customHeight="1" thickTop="1" x14ac:dyDescent="0.25">
      <c r="A146" s="131">
        <v>1</v>
      </c>
      <c r="B146" s="105">
        <f ca="1">SUM(D92,E91,F90,G89,H88,I87,J86,K85,L84,M83,N82,O81,P80,Q79,R78,S77,T76,U75,V74,W73)</f>
        <v>38334687.927908637</v>
      </c>
    </row>
    <row r="147" spans="1:2" ht="15" customHeight="1" x14ac:dyDescent="0.25">
      <c r="A147" s="94">
        <v>2</v>
      </c>
      <c r="B147" s="110">
        <f ca="1">SUM(E92,F91,G90,H89,I88,J87,K86,L85,M84,N83,O82,P81,Q80,R79,S78,T77,U76,V75,W74)</f>
        <v>35661764.805395104</v>
      </c>
    </row>
    <row r="148" spans="1:2" ht="15" customHeight="1" x14ac:dyDescent="0.25">
      <c r="A148" s="94">
        <v>3</v>
      </c>
      <c r="B148" s="110">
        <f ca="1">SUM(F92,G91,H90,I89,J88,K87,L86,M85,N84,O83,P82,Q81,R80,S79,T78,U77,V76,W75)</f>
        <v>33192757.520904697</v>
      </c>
    </row>
    <row r="149" spans="1:2" ht="15" customHeight="1" x14ac:dyDescent="0.25">
      <c r="A149" s="94">
        <v>4</v>
      </c>
      <c r="B149" s="110">
        <f ca="1">SUM(G92,H91,I90,J89,K88,L87,M86,N85,O84,P83,Q82,R81,S80,T79,U78,V77,W76)</f>
        <v>30913201.976190597</v>
      </c>
    </row>
    <row r="150" spans="1:2" ht="15" customHeight="1" x14ac:dyDescent="0.25">
      <c r="A150" s="94">
        <v>5</v>
      </c>
      <c r="B150" s="110">
        <f ca="1">SUM(H92,I91,J90,K89,L88,M87,N86,O85,P84,Q83,R82,S81,T80,U79,V78,W77)</f>
        <v>28808359.255139295</v>
      </c>
    </row>
    <row r="151" spans="1:2" ht="15" customHeight="1" x14ac:dyDescent="0.25">
      <c r="A151" s="94">
        <v>6</v>
      </c>
      <c r="B151" s="110">
        <f ca="1">SUM(I92,J91,K90,L89,M88,N87,O86,P85,Q84,R83,S82,T81,U80,V79,W78)</f>
        <v>26865757.41600462</v>
      </c>
    </row>
    <row r="152" spans="1:2" ht="15" customHeight="1" x14ac:dyDescent="0.25">
      <c r="A152" s="94">
        <v>7</v>
      </c>
      <c r="B152" s="110">
        <f ca="1">SUM(J92,K91,L90,M89,N88,O87,P86,Q85,R84,S83,T82,U81,V80,W79)</f>
        <v>25072687.550147247</v>
      </c>
    </row>
    <row r="153" spans="1:2" ht="15" customHeight="1" x14ac:dyDescent="0.25">
      <c r="A153" s="94">
        <v>8</v>
      </c>
      <c r="B153" s="110">
        <f ca="1">SUM(K92,L91,M90,N89,O88,P87,Q86,R85,S84,T83,U82,V81,W80)</f>
        <v>23276113.522120688</v>
      </c>
    </row>
    <row r="154" spans="1:2" ht="15" customHeight="1" x14ac:dyDescent="0.25">
      <c r="A154" s="94">
        <v>9</v>
      </c>
      <c r="B154" s="110">
        <f ca="1">SUM(L92,M91,N90,O89,P88,Q87,R86,S85,T84,U83,V82,W81)</f>
        <v>21445913.990316324</v>
      </c>
    </row>
    <row r="155" spans="1:2" ht="15" customHeight="1" x14ac:dyDescent="0.25">
      <c r="A155" s="94">
        <v>10</v>
      </c>
      <c r="B155" s="110">
        <f ca="1">SUM(M92,N91,O90,P89,Q88,R87,S86,T85,U84,V83,W82)</f>
        <v>19580431.264652979</v>
      </c>
    </row>
    <row r="156" spans="1:2" ht="15" customHeight="1" x14ac:dyDescent="0.25">
      <c r="A156" s="94">
        <v>11</v>
      </c>
      <c r="B156" s="110">
        <f ca="1">SUM(N92,O91,P90,Q89,R88,S87,T86,U85,V84,W83)</f>
        <v>17680013.76995673</v>
      </c>
    </row>
    <row r="157" spans="1:2" ht="15" customHeight="1" x14ac:dyDescent="0.25">
      <c r="A157" s="94">
        <v>12</v>
      </c>
      <c r="B157" s="110">
        <f ca="1">SUM(O92,P91,Q90,R89,S88,T87,U86,V85,W84)</f>
        <v>15742978.940106552</v>
      </c>
    </row>
    <row r="158" spans="1:2" ht="15" customHeight="1" x14ac:dyDescent="0.25">
      <c r="A158" s="94">
        <v>13</v>
      </c>
      <c r="B158" s="110">
        <f ca="1">SUM(P92,Q91,R90,S89,T88,U87,V86,W85)</f>
        <v>13769649.851243919</v>
      </c>
    </row>
    <row r="159" spans="1:2" ht="15" customHeight="1" x14ac:dyDescent="0.25">
      <c r="A159" s="94">
        <v>14</v>
      </c>
      <c r="B159" s="110">
        <f ca="1">SUM(Q92,R91,S90,T89,U88,V87,W86)</f>
        <v>11758318.106938198</v>
      </c>
    </row>
    <row r="160" spans="1:2" ht="15" customHeight="1" x14ac:dyDescent="0.25">
      <c r="A160" s="94">
        <v>15</v>
      </c>
      <c r="B160" s="110">
        <f ca="1">SUM(R92,S91,T90,U89,V88,W87)</f>
        <v>9709280.4622453693</v>
      </c>
    </row>
    <row r="161" spans="1:2" ht="15" customHeight="1" x14ac:dyDescent="0.25">
      <c r="A161" s="94">
        <v>16</v>
      </c>
      <c r="B161" s="110">
        <f ca="1">SUM(S92,T91,U90,V89,W88)</f>
        <v>7620801.6995486757</v>
      </c>
    </row>
    <row r="162" spans="1:2" ht="15" customHeight="1" x14ac:dyDescent="0.25">
      <c r="A162" s="94">
        <v>17</v>
      </c>
      <c r="B162" s="110">
        <f ca="1">SUM(T92,U91,V90,W89)</f>
        <v>5493151.2431154456</v>
      </c>
    </row>
    <row r="163" spans="1:2" ht="15" customHeight="1" x14ac:dyDescent="0.25">
      <c r="A163" s="94">
        <v>18</v>
      </c>
      <c r="B163" s="110">
        <f ca="1">SUM(U92,V91,W90)</f>
        <v>3324566.0252552833</v>
      </c>
    </row>
    <row r="164" spans="1:2" ht="15" customHeight="1" x14ac:dyDescent="0.25">
      <c r="A164" s="94">
        <v>19</v>
      </c>
      <c r="B164" s="110">
        <f ca="1">SUM(V92,W91)</f>
        <v>1115287.091010479</v>
      </c>
    </row>
    <row r="165" spans="1:2" ht="15" customHeight="1" thickBot="1" x14ac:dyDescent="0.3">
      <c r="A165" s="96">
        <v>20</v>
      </c>
      <c r="B165" s="97">
        <f>SUM(W92)</f>
        <v>0</v>
      </c>
    </row>
    <row r="166" spans="1:2" ht="14" thickTop="1" thickBot="1" x14ac:dyDescent="0.35">
      <c r="A166" s="123" t="s">
        <v>62</v>
      </c>
      <c r="B166" s="132">
        <f ca="1">SUM(B146:B165)</f>
        <v>369365722.41820073</v>
      </c>
    </row>
    <row r="167" spans="1:2" ht="13" thickTop="1" x14ac:dyDescent="0.25"/>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5" x14ac:dyDescent="0.25"/>
  <cols>
    <col min="1" max="1" width="33" customWidth="1"/>
    <col min="2" max="2" width="10" customWidth="1"/>
    <col min="3" max="3" width="14" customWidth="1"/>
    <col min="4" max="4" width="11.1796875" customWidth="1"/>
    <col min="5" max="5" width="60.81640625" customWidth="1"/>
    <col min="7" max="8" width="14" customWidth="1"/>
    <col min="11" max="11" width="14.1796875" customWidth="1"/>
    <col min="12" max="12" width="18.26953125" customWidth="1"/>
    <col min="15" max="15" width="12.453125" bestFit="1" customWidth="1"/>
    <col min="16" max="16" width="14.26953125" customWidth="1"/>
  </cols>
  <sheetData>
    <row r="1" spans="1:5" s="2" customFormat="1" ht="14" x14ac:dyDescent="0.3">
      <c r="A1" s="2" t="s">
        <v>284</v>
      </c>
      <c r="B1" s="2" t="s">
        <v>285</v>
      </c>
      <c r="C1" s="2" t="s">
        <v>286</v>
      </c>
    </row>
    <row r="2" spans="1:5" ht="14" x14ac:dyDescent="0.3">
      <c r="A2" s="2" t="s">
        <v>287</v>
      </c>
    </row>
    <row r="3" spans="1:5" x14ac:dyDescent="0.25">
      <c r="A3" t="s">
        <v>288</v>
      </c>
      <c r="B3" t="s">
        <v>289</v>
      </c>
      <c r="C3">
        <v>1.6093</v>
      </c>
      <c r="D3" t="s">
        <v>642</v>
      </c>
    </row>
    <row r="4" spans="1:5" x14ac:dyDescent="0.25">
      <c r="A4" t="s">
        <v>290</v>
      </c>
      <c r="B4" t="s">
        <v>291</v>
      </c>
      <c r="C4">
        <v>3.7850000000000001</v>
      </c>
      <c r="D4" t="s">
        <v>643</v>
      </c>
    </row>
    <row r="5" spans="1:5" x14ac:dyDescent="0.25">
      <c r="A5" t="s">
        <v>292</v>
      </c>
      <c r="B5" t="s">
        <v>293</v>
      </c>
      <c r="C5">
        <v>1.8263969224024776E-2</v>
      </c>
      <c r="D5" t="s">
        <v>644</v>
      </c>
    </row>
    <row r="6" spans="1:5" x14ac:dyDescent="0.25">
      <c r="A6" t="s">
        <v>850</v>
      </c>
      <c r="B6" t="s">
        <v>1008</v>
      </c>
      <c r="C6">
        <v>2.6852999999999998E-2</v>
      </c>
      <c r="D6" t="s">
        <v>645</v>
      </c>
      <c r="E6" t="s">
        <v>709</v>
      </c>
    </row>
    <row r="7" spans="1:5" x14ac:dyDescent="0.25">
      <c r="A7" t="s">
        <v>858</v>
      </c>
      <c r="B7" t="s">
        <v>268</v>
      </c>
      <c r="C7">
        <f>1/2.205</f>
        <v>0.45351473922902491</v>
      </c>
      <c r="D7" t="s">
        <v>646</v>
      </c>
    </row>
    <row r="8" spans="1:5" x14ac:dyDescent="0.25">
      <c r="A8" t="s">
        <v>915</v>
      </c>
      <c r="B8" t="s">
        <v>1008</v>
      </c>
      <c r="C8">
        <v>2.8316999999999998E-2</v>
      </c>
      <c r="D8" t="s">
        <v>647</v>
      </c>
      <c r="E8" t="s">
        <v>710</v>
      </c>
    </row>
    <row r="9" spans="1:5" x14ac:dyDescent="0.25">
      <c r="A9" t="s">
        <v>377</v>
      </c>
      <c r="B9" t="s">
        <v>415</v>
      </c>
      <c r="C9">
        <v>145.03800000000001</v>
      </c>
      <c r="D9" t="s">
        <v>551</v>
      </c>
    </row>
    <row r="11" spans="1:5" ht="14" x14ac:dyDescent="0.3">
      <c r="A11" s="2" t="s">
        <v>294</v>
      </c>
    </row>
    <row r="12" spans="1:5" x14ac:dyDescent="0.25">
      <c r="A12" t="s">
        <v>295</v>
      </c>
      <c r="B12" t="s">
        <v>296</v>
      </c>
      <c r="C12">
        <v>0.27777777777777779</v>
      </c>
    </row>
    <row r="13" spans="1:5" x14ac:dyDescent="0.25">
      <c r="A13" t="s">
        <v>297</v>
      </c>
      <c r="B13" t="s">
        <v>296</v>
      </c>
      <c r="C13">
        <v>34.022625288888882</v>
      </c>
    </row>
    <row r="14" spans="1:5" x14ac:dyDescent="0.25">
      <c r="A14" t="s">
        <v>298</v>
      </c>
      <c r="B14" t="s">
        <v>299</v>
      </c>
      <c r="C14">
        <v>0.97933196399532141</v>
      </c>
    </row>
    <row r="15" spans="1:5" x14ac:dyDescent="0.25">
      <c r="A15" t="s">
        <v>298</v>
      </c>
      <c r="B15" t="s">
        <v>296</v>
      </c>
      <c r="C15">
        <f>kgH2_to_GJ*MJ_to_kWh*1000</f>
        <v>33.392121748655818</v>
      </c>
    </row>
    <row r="16" spans="1:5" x14ac:dyDescent="0.25">
      <c r="A16" t="s">
        <v>298</v>
      </c>
      <c r="B16" t="s">
        <v>1074</v>
      </c>
      <c r="C16">
        <f>H2_LHV_MJ_p_kg/1000</f>
        <v>0.12021163829516093</v>
      </c>
    </row>
    <row r="17" spans="1:3" x14ac:dyDescent="0.25">
      <c r="A17" t="s">
        <v>300</v>
      </c>
      <c r="B17" t="s">
        <v>296</v>
      </c>
      <c r="C17">
        <v>2.9308323563892143E-4</v>
      </c>
    </row>
    <row r="18" spans="1:3" x14ac:dyDescent="0.25">
      <c r="A18" t="s">
        <v>1073</v>
      </c>
      <c r="B18" t="s">
        <v>1074</v>
      </c>
      <c r="C18">
        <v>1.0549999999999999</v>
      </c>
    </row>
    <row r="21" spans="1:3" ht="14" x14ac:dyDescent="0.3">
      <c r="A21" s="2" t="s">
        <v>537</v>
      </c>
      <c r="C21" s="463" t="s">
        <v>840</v>
      </c>
    </row>
    <row r="22" spans="1:3" x14ac:dyDescent="0.25">
      <c r="A22" t="s">
        <v>403</v>
      </c>
      <c r="B22">
        <v>1</v>
      </c>
    </row>
    <row r="23" spans="1:3" x14ac:dyDescent="0.25">
      <c r="A23" t="s">
        <v>404</v>
      </c>
      <c r="B23">
        <v>25</v>
      </c>
    </row>
    <row r="24" spans="1:3" x14ac:dyDescent="0.25">
      <c r="A24" t="s">
        <v>405</v>
      </c>
      <c r="B24">
        <v>298</v>
      </c>
    </row>
    <row r="27" spans="1:3" ht="14" x14ac:dyDescent="0.3">
      <c r="A27" s="2" t="s">
        <v>704</v>
      </c>
    </row>
    <row r="28" spans="1:3" x14ac:dyDescent="0.25">
      <c r="A28" t="s">
        <v>705</v>
      </c>
      <c r="B28" t="s">
        <v>706</v>
      </c>
    </row>
    <row r="29" spans="1:3" x14ac:dyDescent="0.25">
      <c r="A29" t="s">
        <v>864</v>
      </c>
      <c r="B29">
        <f>mmBTU_to_GJ</f>
        <v>1.0549999999999999</v>
      </c>
    </row>
    <row r="30" spans="1:3" x14ac:dyDescent="0.25">
      <c r="A30" t="s">
        <v>296</v>
      </c>
      <c r="B30">
        <f>1/MJ_to_kWh/1000</f>
        <v>3.5999999999999995E-3</v>
      </c>
    </row>
    <row r="31" spans="1:3" x14ac:dyDescent="0.25">
      <c r="A31" t="s">
        <v>1074</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topLeftCell="E1" workbookViewId="0">
      <selection activeCell="G32" sqref="G32:H32"/>
    </sheetView>
  </sheetViews>
  <sheetFormatPr defaultRowHeight="12.5" x14ac:dyDescent="0.25"/>
  <cols>
    <col min="1" max="1" width="17" customWidth="1"/>
    <col min="3" max="3" width="13.7265625" customWidth="1"/>
    <col min="5" max="5" width="16" customWidth="1"/>
    <col min="7" max="7" width="56.453125" customWidth="1"/>
    <col min="8" max="8" width="18.81640625" customWidth="1"/>
    <col min="10" max="10" width="22.26953125" customWidth="1"/>
    <col min="11" max="11" width="33.81640625" customWidth="1"/>
    <col min="13" max="13" width="21" customWidth="1"/>
    <col min="15" max="15" width="20.7265625" customWidth="1"/>
    <col min="16" max="16" width="17.1796875" customWidth="1"/>
    <col min="18" max="18" width="21" customWidth="1"/>
    <col min="20" max="20" width="14.54296875" customWidth="1"/>
    <col min="22" max="22" width="18.54296875" customWidth="1"/>
    <col min="25" max="25" width="22.54296875" customWidth="1"/>
    <col min="26" max="26" width="15.1796875" customWidth="1"/>
    <col min="28" max="28" width="18.7265625" customWidth="1"/>
    <col min="29" max="29" width="18.54296875" customWidth="1"/>
  </cols>
  <sheetData>
    <row r="1" spans="1:29" ht="13" x14ac:dyDescent="0.3">
      <c r="A1" s="1" t="s">
        <v>1091</v>
      </c>
    </row>
    <row r="2" spans="1:29" ht="13" x14ac:dyDescent="0.3">
      <c r="J2" s="1" t="s">
        <v>814</v>
      </c>
    </row>
    <row r="3" spans="1:29" ht="13" x14ac:dyDescent="0.3">
      <c r="A3" s="1" t="s">
        <v>1005</v>
      </c>
      <c r="C3" s="1" t="s">
        <v>22</v>
      </c>
      <c r="E3" s="1" t="s">
        <v>166</v>
      </c>
      <c r="G3" s="1" t="s">
        <v>11</v>
      </c>
      <c r="J3" s="977" t="s">
        <v>1117</v>
      </c>
      <c r="M3" s="1" t="s">
        <v>75</v>
      </c>
      <c r="O3" s="1" t="s">
        <v>439</v>
      </c>
      <c r="R3" s="1" t="s">
        <v>666</v>
      </c>
      <c r="T3" s="1" t="s">
        <v>434</v>
      </c>
      <c r="V3" s="1" t="s">
        <v>436</v>
      </c>
      <c r="Y3" s="1" t="s">
        <v>346</v>
      </c>
      <c r="AB3" s="1" t="s">
        <v>1066</v>
      </c>
    </row>
    <row r="4" spans="1:29" ht="13" x14ac:dyDescent="0.3">
      <c r="A4" t="s">
        <v>1006</v>
      </c>
      <c r="C4" t="s">
        <v>23</v>
      </c>
      <c r="E4" s="1">
        <v>100000</v>
      </c>
      <c r="G4" t="s">
        <v>324</v>
      </c>
      <c r="H4" t="s">
        <v>8</v>
      </c>
      <c r="J4" s="977" t="s">
        <v>1105</v>
      </c>
      <c r="M4" t="s">
        <v>1042</v>
      </c>
      <c r="O4" t="str">
        <f>M7</f>
        <v>ref_year</v>
      </c>
      <c r="P4">
        <v>2016</v>
      </c>
      <c r="R4" s="463" t="s">
        <v>1042</v>
      </c>
      <c r="T4">
        <v>1</v>
      </c>
      <c r="U4" t="s">
        <v>435</v>
      </c>
      <c r="V4" t="s">
        <v>417</v>
      </c>
      <c r="W4">
        <v>1.1000000000000001</v>
      </c>
      <c r="Y4" t="s">
        <v>339</v>
      </c>
      <c r="Z4">
        <v>0.9</v>
      </c>
      <c r="AB4" t="s">
        <v>27</v>
      </c>
      <c r="AC4" s="463" t="s">
        <v>825</v>
      </c>
    </row>
    <row r="5" spans="1:29" x14ac:dyDescent="0.25">
      <c r="A5" t="s">
        <v>1007</v>
      </c>
      <c r="C5" t="s">
        <v>282</v>
      </c>
      <c r="G5" t="s">
        <v>335</v>
      </c>
      <c r="H5" t="s">
        <v>26</v>
      </c>
      <c r="J5" s="977" t="s">
        <v>1106</v>
      </c>
      <c r="M5" t="s">
        <v>8</v>
      </c>
      <c r="O5" t="str">
        <f>M18</f>
        <v>depr_type</v>
      </c>
      <c r="P5" t="s">
        <v>438</v>
      </c>
      <c r="R5" s="463" t="s">
        <v>936</v>
      </c>
      <c r="T5">
        <v>1.2</v>
      </c>
      <c r="U5" t="s">
        <v>424</v>
      </c>
      <c r="V5" t="s">
        <v>418</v>
      </c>
      <c r="W5">
        <v>1</v>
      </c>
      <c r="Y5" t="s">
        <v>340</v>
      </c>
      <c r="Z5">
        <v>0.04</v>
      </c>
      <c r="AB5" t="s">
        <v>179</v>
      </c>
      <c r="AC5" s="463" t="s">
        <v>825</v>
      </c>
    </row>
    <row r="6" spans="1:29" x14ac:dyDescent="0.25">
      <c r="G6" t="s">
        <v>373</v>
      </c>
      <c r="H6" t="s">
        <v>182</v>
      </c>
      <c r="J6" s="977" t="s">
        <v>1107</v>
      </c>
      <c r="M6" t="s">
        <v>26</v>
      </c>
      <c r="O6" t="str">
        <f>M19</f>
        <v>equity</v>
      </c>
      <c r="P6" s="1493">
        <v>0.4</v>
      </c>
      <c r="R6" s="463" t="s">
        <v>937</v>
      </c>
      <c r="V6" t="s">
        <v>419</v>
      </c>
      <c r="W6">
        <v>1.05</v>
      </c>
      <c r="Y6" t="s">
        <v>550</v>
      </c>
      <c r="Z6">
        <v>14.7</v>
      </c>
      <c r="AB6" t="s">
        <v>171</v>
      </c>
      <c r="AC6" s="463" t="s">
        <v>825</v>
      </c>
    </row>
    <row r="7" spans="1:29" ht="13" x14ac:dyDescent="0.3">
      <c r="A7" s="1" t="s">
        <v>270</v>
      </c>
      <c r="C7" s="1" t="s">
        <v>1057</v>
      </c>
      <c r="G7" t="s">
        <v>374</v>
      </c>
      <c r="H7" t="s">
        <v>10</v>
      </c>
      <c r="J7" s="1396" t="s">
        <v>1290</v>
      </c>
      <c r="M7" t="s">
        <v>1025</v>
      </c>
      <c r="O7" t="str">
        <f t="shared" ref="O7:O13" si="0">M25</f>
        <v>decom_percent</v>
      </c>
      <c r="P7">
        <v>0.1</v>
      </c>
      <c r="R7" s="463" t="s">
        <v>938</v>
      </c>
      <c r="V7" t="s">
        <v>420</v>
      </c>
      <c r="W7">
        <v>1.1000000000000001</v>
      </c>
      <c r="Y7" t="s">
        <v>962</v>
      </c>
      <c r="Z7">
        <v>0</v>
      </c>
      <c r="AB7" t="s">
        <v>173</v>
      </c>
      <c r="AC7" s="463" t="s">
        <v>825</v>
      </c>
    </row>
    <row r="8" spans="1:29" x14ac:dyDescent="0.25">
      <c r="A8" t="s">
        <v>248</v>
      </c>
      <c r="C8" t="s">
        <v>1052</v>
      </c>
      <c r="G8" t="s">
        <v>378</v>
      </c>
      <c r="H8" t="s">
        <v>181</v>
      </c>
      <c r="M8" t="s">
        <v>182</v>
      </c>
      <c r="O8" t="str">
        <f t="shared" si="0"/>
        <v>salvage_perct</v>
      </c>
      <c r="P8">
        <v>0.1</v>
      </c>
      <c r="R8" s="463" t="s">
        <v>939</v>
      </c>
      <c r="V8" t="s">
        <v>422</v>
      </c>
      <c r="W8">
        <v>1.1000000000000001</v>
      </c>
      <c r="Y8" s="305" t="s">
        <v>1270</v>
      </c>
      <c r="Z8" s="305">
        <v>1</v>
      </c>
      <c r="AB8" t="s">
        <v>29</v>
      </c>
      <c r="AC8" s="463" t="s">
        <v>825</v>
      </c>
    </row>
    <row r="9" spans="1:29" x14ac:dyDescent="0.25">
      <c r="A9" t="s">
        <v>271</v>
      </c>
      <c r="C9" t="s">
        <v>271</v>
      </c>
      <c r="G9" t="s">
        <v>379</v>
      </c>
      <c r="H9" t="s">
        <v>170</v>
      </c>
      <c r="M9" t="s">
        <v>10</v>
      </c>
      <c r="O9" t="str">
        <f t="shared" si="0"/>
        <v>inflation_rate</v>
      </c>
      <c r="P9">
        <v>1.9E-2</v>
      </c>
      <c r="R9" s="463" t="s">
        <v>940</v>
      </c>
      <c r="V9" t="s">
        <v>421</v>
      </c>
      <c r="W9">
        <v>1.3</v>
      </c>
      <c r="Y9" s="305" t="s">
        <v>345</v>
      </c>
      <c r="Z9" s="305">
        <v>100</v>
      </c>
      <c r="AB9" t="s">
        <v>159</v>
      </c>
      <c r="AC9" s="463" t="s">
        <v>825</v>
      </c>
    </row>
    <row r="10" spans="1:29" x14ac:dyDescent="0.25">
      <c r="A10" t="s">
        <v>272</v>
      </c>
      <c r="C10" t="s">
        <v>1058</v>
      </c>
      <c r="G10" t="s">
        <v>325</v>
      </c>
      <c r="H10" t="s">
        <v>18</v>
      </c>
      <c r="M10" t="s">
        <v>161</v>
      </c>
      <c r="O10" t="str">
        <f t="shared" si="0"/>
        <v>real_irr</v>
      </c>
      <c r="P10" s="1493">
        <v>0.08</v>
      </c>
      <c r="R10" s="463" t="s">
        <v>941</v>
      </c>
      <c r="V10" t="s">
        <v>423</v>
      </c>
      <c r="W10">
        <v>1.5</v>
      </c>
      <c r="Y10" s="305" t="s">
        <v>1252</v>
      </c>
      <c r="Z10" s="305">
        <v>0.75</v>
      </c>
      <c r="AB10" t="s">
        <v>169</v>
      </c>
      <c r="AC10" s="463" t="s">
        <v>825</v>
      </c>
    </row>
    <row r="11" spans="1:29" ht="13" x14ac:dyDescent="0.3">
      <c r="C11" t="s">
        <v>1071</v>
      </c>
      <c r="G11" t="s">
        <v>326</v>
      </c>
      <c r="H11" t="s">
        <v>178</v>
      </c>
      <c r="J11" s="1" t="s">
        <v>693</v>
      </c>
      <c r="K11" s="1" t="s">
        <v>694</v>
      </c>
      <c r="M11" t="s">
        <v>162</v>
      </c>
      <c r="O11" t="str">
        <f t="shared" si="0"/>
        <v>state_tax_rate</v>
      </c>
      <c r="P11">
        <v>0.06</v>
      </c>
      <c r="R11" s="463" t="s">
        <v>942</v>
      </c>
      <c r="Y11" s="305" t="s">
        <v>1253</v>
      </c>
      <c r="Z11" s="1336" t="s">
        <v>23</v>
      </c>
      <c r="AB11" t="s">
        <v>1093</v>
      </c>
      <c r="AC11" t="s">
        <v>839</v>
      </c>
    </row>
    <row r="12" spans="1:29" x14ac:dyDescent="0.25">
      <c r="C12" t="s">
        <v>272</v>
      </c>
      <c r="G12" t="s">
        <v>327</v>
      </c>
      <c r="H12" t="s">
        <v>30</v>
      </c>
      <c r="J12" s="891" t="str">
        <f>TMP_PriceTable</f>
        <v>AEO_2017_Reference_Case</v>
      </c>
      <c r="K12" t="str">
        <f>J12&amp;"_Feeds"</f>
        <v>AEO_2017_Reference_Case_Feeds</v>
      </c>
      <c r="M12" t="s">
        <v>163</v>
      </c>
      <c r="O12" t="str">
        <f t="shared" si="0"/>
        <v>fed_tax_rate</v>
      </c>
      <c r="P12" s="1493">
        <v>0.21</v>
      </c>
      <c r="R12" s="463" t="s">
        <v>943</v>
      </c>
      <c r="Y12" s="305" t="s">
        <v>1254</v>
      </c>
      <c r="Z12" s="1336" t="s">
        <v>23</v>
      </c>
      <c r="AB12" t="s">
        <v>1094</v>
      </c>
      <c r="AC12" t="s">
        <v>1062</v>
      </c>
    </row>
    <row r="13" spans="1:29" ht="13" x14ac:dyDescent="0.3">
      <c r="G13" t="s">
        <v>328</v>
      </c>
      <c r="H13" t="s">
        <v>174</v>
      </c>
      <c r="K13" s="1" t="s">
        <v>695</v>
      </c>
      <c r="M13" t="s">
        <v>164</v>
      </c>
      <c r="O13" t="str">
        <f t="shared" si="0"/>
        <v>WorkingCap</v>
      </c>
      <c r="P13">
        <v>0.15</v>
      </c>
      <c r="R13" s="463" t="s">
        <v>944</v>
      </c>
      <c r="Y13" s="305" t="s">
        <v>1255</v>
      </c>
      <c r="Z13" s="305">
        <v>0</v>
      </c>
      <c r="AB13" t="s">
        <v>1022</v>
      </c>
      <c r="AC13">
        <v>0.25</v>
      </c>
    </row>
    <row r="14" spans="1:29" ht="13" x14ac:dyDescent="0.3">
      <c r="A14" s="1" t="s">
        <v>16</v>
      </c>
      <c r="C14" s="1" t="s">
        <v>199</v>
      </c>
      <c r="G14" t="s">
        <v>329</v>
      </c>
      <c r="H14" t="s">
        <v>184</v>
      </c>
      <c r="K14" t="str">
        <f>J12&amp;"_Years"</f>
        <v>AEO_2017_Reference_Case_Years</v>
      </c>
      <c r="M14" t="s">
        <v>181</v>
      </c>
      <c r="O14" t="s">
        <v>160</v>
      </c>
      <c r="P14">
        <v>0.2</v>
      </c>
      <c r="R14" t="s">
        <v>8</v>
      </c>
      <c r="Y14" s="305" t="s">
        <v>1256</v>
      </c>
      <c r="Z14" s="305">
        <v>53</v>
      </c>
      <c r="AB14" t="s">
        <v>1023</v>
      </c>
      <c r="AC14" t="s">
        <v>839</v>
      </c>
    </row>
    <row r="15" spans="1:29" x14ac:dyDescent="0.25">
      <c r="A15" t="s">
        <v>191</v>
      </c>
      <c r="C15" s="779" t="s">
        <v>200</v>
      </c>
      <c r="G15" t="s">
        <v>330</v>
      </c>
      <c r="H15" t="s">
        <v>28</v>
      </c>
      <c r="M15" t="s">
        <v>170</v>
      </c>
      <c r="O15" t="s">
        <v>186</v>
      </c>
      <c r="P15">
        <v>0.02</v>
      </c>
      <c r="R15" t="s">
        <v>26</v>
      </c>
      <c r="Y15" s="1332"/>
      <c r="Z15" s="1332"/>
      <c r="AB15" t="s">
        <v>31</v>
      </c>
      <c r="AC15" t="s">
        <v>1062</v>
      </c>
    </row>
    <row r="16" spans="1:29" ht="14" x14ac:dyDescent="0.25">
      <c r="A16" t="s">
        <v>192</v>
      </c>
      <c r="C16" s="780" t="s">
        <v>201</v>
      </c>
      <c r="G16" t="s">
        <v>331</v>
      </c>
      <c r="H16" t="s">
        <v>189</v>
      </c>
      <c r="M16" t="s">
        <v>7</v>
      </c>
      <c r="O16" t="s">
        <v>177</v>
      </c>
      <c r="P16">
        <v>0</v>
      </c>
      <c r="R16" t="s">
        <v>1025</v>
      </c>
      <c r="Y16" s="1332"/>
      <c r="Z16" s="1333"/>
      <c r="AB16" t="s">
        <v>175</v>
      </c>
      <c r="AC16" t="s">
        <v>1062</v>
      </c>
    </row>
    <row r="17" spans="1:29" x14ac:dyDescent="0.25">
      <c r="A17" t="s">
        <v>243</v>
      </c>
      <c r="C17" s="836" t="s">
        <v>501</v>
      </c>
      <c r="G17" t="s">
        <v>12</v>
      </c>
      <c r="H17" t="s">
        <v>246</v>
      </c>
      <c r="M17" t="s">
        <v>24</v>
      </c>
      <c r="O17" t="s">
        <v>156</v>
      </c>
      <c r="P17">
        <v>0</v>
      </c>
      <c r="R17" t="s">
        <v>182</v>
      </c>
      <c r="AB17" t="s">
        <v>1024</v>
      </c>
      <c r="AC17" t="s">
        <v>1062</v>
      </c>
    </row>
    <row r="18" spans="1:29" x14ac:dyDescent="0.25">
      <c r="A18" t="s">
        <v>244</v>
      </c>
      <c r="C18" s="781" t="s">
        <v>1032</v>
      </c>
      <c r="G18" t="s">
        <v>117</v>
      </c>
      <c r="H18" t="s">
        <v>974</v>
      </c>
      <c r="M18" t="s">
        <v>25</v>
      </c>
      <c r="O18" t="s">
        <v>185</v>
      </c>
      <c r="P18">
        <v>0</v>
      </c>
      <c r="R18" t="s">
        <v>10</v>
      </c>
      <c r="Y18" s="1332"/>
      <c r="Z18" s="1332"/>
      <c r="AB18" t="s">
        <v>172</v>
      </c>
      <c r="AC18" t="s">
        <v>1062</v>
      </c>
    </row>
    <row r="19" spans="1:29" x14ac:dyDescent="0.25">
      <c r="A19" t="s">
        <v>245</v>
      </c>
      <c r="C19" s="480" t="s">
        <v>202</v>
      </c>
      <c r="G19" t="s">
        <v>634</v>
      </c>
      <c r="H19" t="s">
        <v>635</v>
      </c>
      <c r="M19" t="s">
        <v>247</v>
      </c>
      <c r="O19" t="s">
        <v>964</v>
      </c>
      <c r="P19">
        <v>0</v>
      </c>
      <c r="R19" t="s">
        <v>161</v>
      </c>
      <c r="Y19" s="1332"/>
      <c r="Z19" s="1332"/>
      <c r="AB19" t="s">
        <v>157</v>
      </c>
      <c r="AC19" t="s">
        <v>1061</v>
      </c>
    </row>
    <row r="20" spans="1:29" x14ac:dyDescent="0.25">
      <c r="A20" t="s">
        <v>17</v>
      </c>
      <c r="G20" t="s">
        <v>352</v>
      </c>
      <c r="H20" t="s">
        <v>1093</v>
      </c>
      <c r="M20" t="s">
        <v>13</v>
      </c>
      <c r="O20" t="s">
        <v>965</v>
      </c>
      <c r="P20">
        <v>0</v>
      </c>
      <c r="R20" t="s">
        <v>162</v>
      </c>
      <c r="Y20" s="1332"/>
      <c r="Z20" s="1332"/>
      <c r="AB20" t="s">
        <v>158</v>
      </c>
      <c r="AC20" t="s">
        <v>1062</v>
      </c>
    </row>
    <row r="21" spans="1:29" x14ac:dyDescent="0.25">
      <c r="G21" t="s">
        <v>662</v>
      </c>
      <c r="H21" t="s">
        <v>1022</v>
      </c>
      <c r="M21" t="s">
        <v>14</v>
      </c>
      <c r="R21" t="s">
        <v>163</v>
      </c>
      <c r="AB21" t="s">
        <v>187</v>
      </c>
      <c r="AC21" t="s">
        <v>1061</v>
      </c>
    </row>
    <row r="22" spans="1:29" x14ac:dyDescent="0.25">
      <c r="G22" t="s">
        <v>332</v>
      </c>
      <c r="H22" t="s">
        <v>160</v>
      </c>
      <c r="M22" t="s">
        <v>165</v>
      </c>
      <c r="R22" t="s">
        <v>164</v>
      </c>
      <c r="AB22" t="s">
        <v>280</v>
      </c>
      <c r="AC22" t="s">
        <v>1061</v>
      </c>
    </row>
    <row r="23" spans="1:29" ht="13" x14ac:dyDescent="0.3">
      <c r="A23" s="1" t="s">
        <v>838</v>
      </c>
      <c r="G23" t="s">
        <v>333</v>
      </c>
      <c r="H23" t="s">
        <v>186</v>
      </c>
      <c r="M23" t="s">
        <v>167</v>
      </c>
      <c r="R23" t="s">
        <v>181</v>
      </c>
      <c r="AB23" t="s">
        <v>188</v>
      </c>
      <c r="AC23" t="s">
        <v>1061</v>
      </c>
    </row>
    <row r="24" spans="1:29" x14ac:dyDescent="0.25">
      <c r="A24" s="463" t="s">
        <v>1061</v>
      </c>
      <c r="G24" t="s">
        <v>359</v>
      </c>
      <c r="H24" t="s">
        <v>175</v>
      </c>
      <c r="M24" t="s">
        <v>168</v>
      </c>
      <c r="R24" t="s">
        <v>170</v>
      </c>
      <c r="AB24" t="s">
        <v>180</v>
      </c>
      <c r="AC24" t="s">
        <v>1061</v>
      </c>
    </row>
    <row r="25" spans="1:29" x14ac:dyDescent="0.25">
      <c r="A25" s="463" t="s">
        <v>1062</v>
      </c>
      <c r="G25" t="s">
        <v>360</v>
      </c>
      <c r="H25" t="s">
        <v>1024</v>
      </c>
      <c r="M25" t="s">
        <v>18</v>
      </c>
      <c r="R25" t="s">
        <v>7</v>
      </c>
      <c r="AB25" t="s">
        <v>177</v>
      </c>
      <c r="AC25" t="s">
        <v>1061</v>
      </c>
    </row>
    <row r="26" spans="1:29" x14ac:dyDescent="0.25">
      <c r="A26" s="463" t="s">
        <v>839</v>
      </c>
      <c r="G26" t="s">
        <v>361</v>
      </c>
      <c r="H26" t="s">
        <v>172</v>
      </c>
      <c r="M26" t="s">
        <v>178</v>
      </c>
      <c r="R26" t="s">
        <v>24</v>
      </c>
      <c r="AB26" t="s">
        <v>156</v>
      </c>
      <c r="AC26" t="s">
        <v>1061</v>
      </c>
    </row>
    <row r="27" spans="1:29" x14ac:dyDescent="0.25">
      <c r="A27" s="463" t="s">
        <v>825</v>
      </c>
      <c r="G27" t="s">
        <v>365</v>
      </c>
      <c r="H27" t="s">
        <v>188</v>
      </c>
      <c r="M27" t="s">
        <v>30</v>
      </c>
      <c r="R27" t="s">
        <v>25</v>
      </c>
      <c r="AB27" t="s">
        <v>185</v>
      </c>
      <c r="AC27" t="s">
        <v>1061</v>
      </c>
    </row>
    <row r="28" spans="1:29" x14ac:dyDescent="0.25">
      <c r="A28">
        <v>0.1</v>
      </c>
      <c r="G28" t="s">
        <v>366</v>
      </c>
      <c r="H28" t="s">
        <v>180</v>
      </c>
      <c r="M28" t="s">
        <v>174</v>
      </c>
      <c r="R28" t="s">
        <v>247</v>
      </c>
      <c r="AB28" t="s">
        <v>1065</v>
      </c>
      <c r="AC28" t="s">
        <v>825</v>
      </c>
    </row>
    <row r="29" spans="1:29" x14ac:dyDescent="0.25">
      <c r="A29">
        <v>0.2</v>
      </c>
      <c r="G29" t="s">
        <v>1000</v>
      </c>
      <c r="H29" t="s">
        <v>9</v>
      </c>
      <c r="M29" t="s">
        <v>184</v>
      </c>
      <c r="R29" t="s">
        <v>13</v>
      </c>
    </row>
    <row r="30" spans="1:29" x14ac:dyDescent="0.25">
      <c r="A30">
        <v>0.25</v>
      </c>
      <c r="G30" t="s">
        <v>835</v>
      </c>
      <c r="H30" t="s">
        <v>836</v>
      </c>
      <c r="M30" t="s">
        <v>28</v>
      </c>
      <c r="R30" t="s">
        <v>14</v>
      </c>
    </row>
    <row r="31" spans="1:29" x14ac:dyDescent="0.25">
      <c r="A31">
        <v>0.3</v>
      </c>
      <c r="G31" t="s">
        <v>835</v>
      </c>
      <c r="H31" t="s">
        <v>836</v>
      </c>
      <c r="M31" t="s">
        <v>189</v>
      </c>
      <c r="R31" t="s">
        <v>165</v>
      </c>
    </row>
    <row r="32" spans="1:29" x14ac:dyDescent="0.25">
      <c r="A32">
        <v>0.4</v>
      </c>
      <c r="G32" t="s">
        <v>1359</v>
      </c>
      <c r="H32" t="s">
        <v>1360</v>
      </c>
      <c r="M32" t="s">
        <v>1093</v>
      </c>
      <c r="R32" t="s">
        <v>167</v>
      </c>
    </row>
    <row r="33" spans="1:18" x14ac:dyDescent="0.25">
      <c r="A33">
        <v>0.5</v>
      </c>
      <c r="M33" t="s">
        <v>1094</v>
      </c>
      <c r="R33" t="s">
        <v>168</v>
      </c>
    </row>
    <row r="34" spans="1:18" x14ac:dyDescent="0.25">
      <c r="A34">
        <v>0.6</v>
      </c>
      <c r="M34" t="s">
        <v>1022</v>
      </c>
      <c r="R34" t="s">
        <v>18</v>
      </c>
    </row>
    <row r="35" spans="1:18" x14ac:dyDescent="0.25">
      <c r="A35">
        <v>0.7</v>
      </c>
      <c r="M35" t="s">
        <v>1023</v>
      </c>
      <c r="R35" t="s">
        <v>178</v>
      </c>
    </row>
    <row r="36" spans="1:18" x14ac:dyDescent="0.25">
      <c r="A36">
        <v>0.8</v>
      </c>
      <c r="M36" t="s">
        <v>160</v>
      </c>
      <c r="R36" t="s">
        <v>30</v>
      </c>
    </row>
    <row r="37" spans="1:18" x14ac:dyDescent="0.25">
      <c r="A37">
        <v>0.9</v>
      </c>
      <c r="M37" t="s">
        <v>186</v>
      </c>
      <c r="R37" t="s">
        <v>174</v>
      </c>
    </row>
    <row r="38" spans="1:18" x14ac:dyDescent="0.25">
      <c r="M38" t="s">
        <v>175</v>
      </c>
      <c r="R38" t="s">
        <v>184</v>
      </c>
    </row>
    <row r="39" spans="1:18" x14ac:dyDescent="0.25">
      <c r="M39" t="s">
        <v>1024</v>
      </c>
      <c r="R39" t="s">
        <v>28</v>
      </c>
    </row>
    <row r="40" spans="1:18" x14ac:dyDescent="0.25">
      <c r="M40" t="s">
        <v>172</v>
      </c>
      <c r="R40" t="s">
        <v>189</v>
      </c>
    </row>
    <row r="41" spans="1:18" x14ac:dyDescent="0.25">
      <c r="M41" t="s">
        <v>157</v>
      </c>
      <c r="R41" t="s">
        <v>246</v>
      </c>
    </row>
    <row r="42" spans="1:18" x14ac:dyDescent="0.25">
      <c r="M42" t="s">
        <v>158</v>
      </c>
      <c r="R42" t="s">
        <v>27</v>
      </c>
    </row>
    <row r="43" spans="1:18" x14ac:dyDescent="0.25">
      <c r="M43" t="s">
        <v>280</v>
      </c>
      <c r="R43" t="s">
        <v>179</v>
      </c>
    </row>
    <row r="44" spans="1:18" x14ac:dyDescent="0.25">
      <c r="M44" t="s">
        <v>187</v>
      </c>
      <c r="R44" t="s">
        <v>171</v>
      </c>
    </row>
    <row r="45" spans="1:18" x14ac:dyDescent="0.25">
      <c r="M45" t="s">
        <v>188</v>
      </c>
      <c r="R45" t="s">
        <v>173</v>
      </c>
    </row>
    <row r="46" spans="1:18" x14ac:dyDescent="0.25">
      <c r="M46" t="s">
        <v>180</v>
      </c>
      <c r="R46" t="s">
        <v>29</v>
      </c>
    </row>
    <row r="47" spans="1:18" x14ac:dyDescent="0.25">
      <c r="M47" t="s">
        <v>176</v>
      </c>
      <c r="R47" t="s">
        <v>159</v>
      </c>
    </row>
    <row r="48" spans="1:18" x14ac:dyDescent="0.25">
      <c r="M48" t="s">
        <v>177</v>
      </c>
      <c r="R48" t="s">
        <v>169</v>
      </c>
    </row>
    <row r="49" spans="13:18" x14ac:dyDescent="0.25">
      <c r="M49" t="s">
        <v>156</v>
      </c>
      <c r="R49" t="s">
        <v>1093</v>
      </c>
    </row>
    <row r="50" spans="13:18" x14ac:dyDescent="0.25">
      <c r="M50" t="s">
        <v>185</v>
      </c>
      <c r="R50" t="s">
        <v>1094</v>
      </c>
    </row>
    <row r="51" spans="13:18" x14ac:dyDescent="0.25">
      <c r="M51" t="s">
        <v>9</v>
      </c>
      <c r="R51" t="s">
        <v>1022</v>
      </c>
    </row>
    <row r="52" spans="13:18" x14ac:dyDescent="0.25">
      <c r="M52" t="s">
        <v>1065</v>
      </c>
      <c r="R52" t="s">
        <v>1023</v>
      </c>
    </row>
    <row r="53" spans="13:18" x14ac:dyDescent="0.25">
      <c r="M53" t="s">
        <v>587</v>
      </c>
      <c r="R53" t="s">
        <v>160</v>
      </c>
    </row>
    <row r="54" spans="13:18" x14ac:dyDescent="0.25">
      <c r="M54" t="s">
        <v>340</v>
      </c>
      <c r="R54" t="s">
        <v>186</v>
      </c>
    </row>
    <row r="55" spans="13:18" x14ac:dyDescent="0.25">
      <c r="M55" t="s">
        <v>341</v>
      </c>
      <c r="R55" t="s">
        <v>175</v>
      </c>
    </row>
    <row r="56" spans="13:18" x14ac:dyDescent="0.25">
      <c r="M56" t="s">
        <v>342</v>
      </c>
      <c r="R56" t="s">
        <v>1024</v>
      </c>
    </row>
    <row r="57" spans="13:18" x14ac:dyDescent="0.25">
      <c r="M57" t="s">
        <v>588</v>
      </c>
      <c r="R57" t="s">
        <v>172</v>
      </c>
    </row>
    <row r="58" spans="13:18" x14ac:dyDescent="0.25">
      <c r="M58" t="s">
        <v>343</v>
      </c>
      <c r="R58" t="s">
        <v>157</v>
      </c>
    </row>
    <row r="59" spans="13:18" x14ac:dyDescent="0.25">
      <c r="M59" t="s">
        <v>589</v>
      </c>
      <c r="R59" t="s">
        <v>158</v>
      </c>
    </row>
    <row r="60" spans="13:18" x14ac:dyDescent="0.25">
      <c r="M60" t="s">
        <v>344</v>
      </c>
      <c r="R60" t="s">
        <v>280</v>
      </c>
    </row>
    <row r="61" spans="13:18" x14ac:dyDescent="0.25">
      <c r="M61" t="s">
        <v>345</v>
      </c>
      <c r="R61" t="s">
        <v>281</v>
      </c>
    </row>
    <row r="62" spans="13:18" x14ac:dyDescent="0.25">
      <c r="R62" t="s">
        <v>259</v>
      </c>
    </row>
    <row r="63" spans="13:18" x14ac:dyDescent="0.25">
      <c r="R63" t="s">
        <v>187</v>
      </c>
    </row>
    <row r="64" spans="13:18" x14ac:dyDescent="0.25">
      <c r="R64" t="s">
        <v>188</v>
      </c>
    </row>
    <row r="65" spans="18:18" x14ac:dyDescent="0.25">
      <c r="R65" t="s">
        <v>180</v>
      </c>
    </row>
    <row r="66" spans="18:18" x14ac:dyDescent="0.25">
      <c r="R66" t="s">
        <v>176</v>
      </c>
    </row>
    <row r="67" spans="18:18" x14ac:dyDescent="0.25">
      <c r="R67" t="s">
        <v>177</v>
      </c>
    </row>
    <row r="68" spans="18:18" x14ac:dyDescent="0.25">
      <c r="R68" t="s">
        <v>156</v>
      </c>
    </row>
    <row r="69" spans="18:18" x14ac:dyDescent="0.25">
      <c r="R69" t="s">
        <v>185</v>
      </c>
    </row>
    <row r="70" spans="18:18" x14ac:dyDescent="0.25">
      <c r="R70" t="s">
        <v>9</v>
      </c>
    </row>
    <row r="71" spans="18:18" x14ac:dyDescent="0.25">
      <c r="R71" t="s">
        <v>1065</v>
      </c>
    </row>
    <row r="72" spans="18:18" x14ac:dyDescent="0.25">
      <c r="R72" t="s">
        <v>587</v>
      </c>
    </row>
    <row r="73" spans="18:18" x14ac:dyDescent="0.25">
      <c r="R73" t="s">
        <v>340</v>
      </c>
    </row>
    <row r="74" spans="18:18" x14ac:dyDescent="0.25">
      <c r="R74" t="s">
        <v>341</v>
      </c>
    </row>
    <row r="75" spans="18:18" x14ac:dyDescent="0.25">
      <c r="R75" t="s">
        <v>342</v>
      </c>
    </row>
    <row r="76" spans="18:18" x14ac:dyDescent="0.25">
      <c r="R76" t="s">
        <v>588</v>
      </c>
    </row>
    <row r="77" spans="18:18" x14ac:dyDescent="0.25">
      <c r="R77" t="s">
        <v>343</v>
      </c>
    </row>
    <row r="78" spans="18:18" x14ac:dyDescent="0.25">
      <c r="R78" t="s">
        <v>589</v>
      </c>
    </row>
    <row r="79" spans="18:18" x14ac:dyDescent="0.25">
      <c r="R79" t="s">
        <v>344</v>
      </c>
    </row>
    <row r="80" spans="18:18" x14ac:dyDescent="0.25">
      <c r="R80" t="s">
        <v>345</v>
      </c>
    </row>
  </sheetData>
  <phoneticPr fontId="2"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indexed="42"/>
  </sheetPr>
  <dimension ref="B2:B90"/>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2" t="s">
        <v>409</v>
      </c>
    </row>
    <row r="6" spans="2:2" ht="13" x14ac:dyDescent="0.3">
      <c r="B6" s="783" t="s">
        <v>204</v>
      </c>
    </row>
    <row r="7" spans="2:2" x14ac:dyDescent="0.25">
      <c r="B7" s="747"/>
    </row>
    <row r="8" spans="2:2" x14ac:dyDescent="0.25">
      <c r="B8" s="784"/>
    </row>
    <row r="9" spans="2:2" x14ac:dyDescent="0.25">
      <c r="B9" s="784"/>
    </row>
    <row r="10" spans="2:2" x14ac:dyDescent="0.25">
      <c r="B10" s="784"/>
    </row>
    <row r="11" spans="2:2" x14ac:dyDescent="0.25">
      <c r="B11" s="784"/>
    </row>
    <row r="12" spans="2:2" x14ac:dyDescent="0.25">
      <c r="B12" s="784"/>
    </row>
    <row r="13" spans="2:2" x14ac:dyDescent="0.25">
      <c r="B13" s="784"/>
    </row>
    <row r="14" spans="2:2" x14ac:dyDescent="0.25">
      <c r="B14" s="784"/>
    </row>
    <row r="15" spans="2:2" x14ac:dyDescent="0.25">
      <c r="B15" s="784"/>
    </row>
    <row r="16" spans="2:2" x14ac:dyDescent="0.25">
      <c r="B16" s="784"/>
    </row>
    <row r="17" spans="2:2" x14ac:dyDescent="0.25">
      <c r="B17" s="784"/>
    </row>
    <row r="18" spans="2:2" x14ac:dyDescent="0.25">
      <c r="B18" s="784"/>
    </row>
    <row r="19" spans="2:2" x14ac:dyDescent="0.25">
      <c r="B19" s="784"/>
    </row>
    <row r="20" spans="2:2" x14ac:dyDescent="0.25">
      <c r="B20" s="784"/>
    </row>
    <row r="21" spans="2:2" x14ac:dyDescent="0.25">
      <c r="B21" s="784"/>
    </row>
    <row r="22" spans="2:2" x14ac:dyDescent="0.25">
      <c r="B22" s="784"/>
    </row>
    <row r="23" spans="2:2" x14ac:dyDescent="0.25">
      <c r="B23" s="784"/>
    </row>
    <row r="24" spans="2:2" x14ac:dyDescent="0.25">
      <c r="B24" s="784"/>
    </row>
    <row r="25" spans="2:2" x14ac:dyDescent="0.25">
      <c r="B25" s="784"/>
    </row>
    <row r="26" spans="2:2" x14ac:dyDescent="0.25">
      <c r="B26" s="784"/>
    </row>
    <row r="27" spans="2:2" x14ac:dyDescent="0.25">
      <c r="B27" s="784"/>
    </row>
    <row r="28" spans="2:2" x14ac:dyDescent="0.25">
      <c r="B28" s="784"/>
    </row>
    <row r="29" spans="2:2" ht="13" x14ac:dyDescent="0.3">
      <c r="B29" s="785" t="s">
        <v>205</v>
      </c>
    </row>
    <row r="30" spans="2:2" x14ac:dyDescent="0.25">
      <c r="B30" s="747"/>
    </row>
    <row r="31" spans="2:2" x14ac:dyDescent="0.25">
      <c r="B31" s="209"/>
    </row>
    <row r="32" spans="2:2" x14ac:dyDescent="0.25">
      <c r="B32" s="784"/>
    </row>
    <row r="80" ht="81" customHeight="1" x14ac:dyDescent="0.25"/>
    <row r="82" ht="97.5" customHeight="1" x14ac:dyDescent="0.25"/>
    <row r="84" ht="68.25" customHeight="1" x14ac:dyDescent="0.25"/>
    <row r="86" ht="63" customHeight="1" x14ac:dyDescent="0.25"/>
    <row r="88" ht="63.75" customHeight="1" x14ac:dyDescent="0.25"/>
    <row r="90"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0721" r:id="rId3" name="cmdInputSheet5">
          <controlPr defaultSize="0" autoLine="0" r:id="rId4">
            <anchor moveWithCells="1">
              <from>
                <xdr:col>1</xdr:col>
                <xdr:colOff>7042150</xdr:colOff>
                <xdr:row>0</xdr:row>
                <xdr:rowOff>95250</xdr:rowOff>
              </from>
              <to>
                <xdr:col>1</xdr:col>
                <xdr:colOff>8382000</xdr:colOff>
                <xdr:row>3</xdr:row>
                <xdr:rowOff>25400</xdr:rowOff>
              </to>
            </anchor>
          </controlPr>
        </control>
      </mc:Choice>
      <mc:Fallback>
        <control shapeId="30721" r:id="rId3" name="cmdInputSheet5"/>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indexed="42"/>
  </sheetPr>
  <dimension ref="B2:B85"/>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2" t="s">
        <v>408</v>
      </c>
    </row>
    <row r="6" spans="2:2" ht="13" x14ac:dyDescent="0.3">
      <c r="B6" s="783" t="s">
        <v>206</v>
      </c>
    </row>
    <row r="7" spans="2:2" x14ac:dyDescent="0.25">
      <c r="B7" s="747"/>
    </row>
    <row r="8" spans="2:2" x14ac:dyDescent="0.25">
      <c r="B8" s="784"/>
    </row>
    <row r="9" spans="2:2" x14ac:dyDescent="0.25">
      <c r="B9" s="784"/>
    </row>
    <row r="10" spans="2:2" ht="13" x14ac:dyDescent="0.3">
      <c r="B10" s="785" t="s">
        <v>207</v>
      </c>
    </row>
    <row r="11" spans="2:2" x14ac:dyDescent="0.25">
      <c r="B11" s="747"/>
    </row>
    <row r="12" spans="2:2" x14ac:dyDescent="0.25">
      <c r="B12" s="209"/>
    </row>
    <row r="13" spans="2:2" x14ac:dyDescent="0.25">
      <c r="B13" s="784"/>
    </row>
    <row r="14" spans="2:2" ht="13" x14ac:dyDescent="0.3">
      <c r="B14" s="785" t="s">
        <v>208</v>
      </c>
    </row>
    <row r="15" spans="2:2" x14ac:dyDescent="0.25">
      <c r="B15" s="747"/>
    </row>
    <row r="16" spans="2:2" x14ac:dyDescent="0.25">
      <c r="B16" s="784"/>
    </row>
    <row r="17" spans="2:2" x14ac:dyDescent="0.25">
      <c r="B17" s="784"/>
    </row>
    <row r="18" spans="2:2" ht="13" x14ac:dyDescent="0.3">
      <c r="B18" s="785" t="s">
        <v>209</v>
      </c>
    </row>
    <row r="19" spans="2:2" x14ac:dyDescent="0.25">
      <c r="B19" s="747"/>
    </row>
    <row r="20" spans="2:2" x14ac:dyDescent="0.25">
      <c r="B20" s="784"/>
    </row>
    <row r="21" spans="2:2" ht="13" x14ac:dyDescent="0.25">
      <c r="B21" s="786" t="s">
        <v>210</v>
      </c>
    </row>
    <row r="22" spans="2:2" x14ac:dyDescent="0.25">
      <c r="B22" s="787"/>
    </row>
    <row r="23" spans="2:2" x14ac:dyDescent="0.25">
      <c r="B23" s="747"/>
    </row>
    <row r="24" spans="2:2" x14ac:dyDescent="0.25">
      <c r="B24" s="747"/>
    </row>
    <row r="25" spans="2:2" x14ac:dyDescent="0.25">
      <c r="B25" s="747"/>
    </row>
    <row r="26" spans="2:2" x14ac:dyDescent="0.25">
      <c r="B26" s="787"/>
    </row>
    <row r="75" ht="81" customHeight="1" x14ac:dyDescent="0.25"/>
    <row r="77" ht="97.5" customHeight="1" x14ac:dyDescent="0.25"/>
    <row r="79" ht="68.25" customHeight="1" x14ac:dyDescent="0.25"/>
    <row r="81" ht="63" customHeight="1" x14ac:dyDescent="0.25"/>
    <row r="83" ht="63.75" customHeight="1" x14ac:dyDescent="0.25"/>
    <row r="85"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4">
          <controlPr defaultSize="0" autoLine="0" r:id="rId4">
            <anchor moveWithCells="1">
              <from>
                <xdr:col>1</xdr:col>
                <xdr:colOff>5765800</xdr:colOff>
                <xdr:row>0</xdr:row>
                <xdr:rowOff>95250</xdr:rowOff>
              </from>
              <to>
                <xdr:col>1</xdr:col>
                <xdr:colOff>7112000</xdr:colOff>
                <xdr:row>3</xdr:row>
                <xdr:rowOff>25400</xdr:rowOff>
              </to>
            </anchor>
          </controlPr>
        </control>
      </mc:Choice>
      <mc:Fallback>
        <control shapeId="31745" r:id="rId3" name="cmdInputSheet4"/>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indexed="42"/>
  </sheetPr>
  <dimension ref="B2:D33"/>
  <sheetViews>
    <sheetView workbookViewId="0"/>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82" t="s">
        <v>407</v>
      </c>
    </row>
    <row r="4" spans="2:4" ht="13" thickBot="1" x14ac:dyDescent="0.3"/>
    <row r="5" spans="2:4" ht="13.5" thickTop="1" x14ac:dyDescent="0.3">
      <c r="B5" s="788" t="s">
        <v>211</v>
      </c>
      <c r="C5" s="789"/>
      <c r="D5" s="790"/>
    </row>
    <row r="6" spans="2:4" ht="13" x14ac:dyDescent="0.3">
      <c r="B6" s="791" t="s">
        <v>212</v>
      </c>
      <c r="C6" s="523"/>
      <c r="D6" s="790"/>
    </row>
    <row r="7" spans="2:4" ht="13" x14ac:dyDescent="0.3">
      <c r="B7" s="791" t="s">
        <v>213</v>
      </c>
      <c r="C7" s="523"/>
      <c r="D7" s="790"/>
    </row>
    <row r="8" spans="2:4" ht="13" x14ac:dyDescent="0.3">
      <c r="B8" s="791" t="s">
        <v>214</v>
      </c>
      <c r="C8" s="523"/>
      <c r="D8" s="790"/>
    </row>
    <row r="9" spans="2:4" ht="13" x14ac:dyDescent="0.3">
      <c r="B9" s="791" t="s">
        <v>215</v>
      </c>
      <c r="C9" s="792"/>
      <c r="D9" s="793"/>
    </row>
    <row r="10" spans="2:4" ht="13" x14ac:dyDescent="0.3">
      <c r="B10" s="791" t="s">
        <v>216</v>
      </c>
      <c r="C10" s="523"/>
      <c r="D10" s="790"/>
    </row>
    <row r="11" spans="2:4" ht="13" x14ac:dyDescent="0.3">
      <c r="B11" s="791" t="s">
        <v>217</v>
      </c>
      <c r="C11" s="794"/>
      <c r="D11" s="795"/>
    </row>
    <row r="12" spans="2:4" ht="13.5" thickBot="1" x14ac:dyDescent="0.35">
      <c r="B12" s="796" t="s">
        <v>218</v>
      </c>
      <c r="C12" s="524"/>
      <c r="D12" s="790"/>
    </row>
    <row r="13" spans="2:4" ht="14" thickTop="1" thickBot="1" x14ac:dyDescent="0.35">
      <c r="B13" s="797"/>
      <c r="C13" s="790"/>
      <c r="D13" s="798"/>
    </row>
    <row r="14" spans="2:4" ht="13.5" thickTop="1" x14ac:dyDescent="0.3">
      <c r="B14" s="788" t="s">
        <v>219</v>
      </c>
      <c r="C14" s="799"/>
      <c r="D14" s="800"/>
    </row>
    <row r="15" spans="2:4" ht="13" x14ac:dyDescent="0.3">
      <c r="B15" s="791" t="s">
        <v>220</v>
      </c>
      <c r="C15" s="801"/>
      <c r="D15" s="802"/>
    </row>
    <row r="16" spans="2:4" ht="13" x14ac:dyDescent="0.3">
      <c r="B16" s="791" t="s">
        <v>221</v>
      </c>
      <c r="C16" s="737"/>
      <c r="D16" s="800"/>
    </row>
    <row r="17" spans="2:4" ht="13" x14ac:dyDescent="0.3">
      <c r="B17" s="791" t="s">
        <v>222</v>
      </c>
      <c r="C17" s="737"/>
      <c r="D17" s="800"/>
    </row>
    <row r="18" spans="2:4" ht="13" x14ac:dyDescent="0.3">
      <c r="B18" s="791" t="s">
        <v>223</v>
      </c>
      <c r="C18" s="737"/>
      <c r="D18" s="803"/>
    </row>
    <row r="19" spans="2:4" ht="13" x14ac:dyDescent="0.3">
      <c r="B19" s="791" t="s">
        <v>224</v>
      </c>
      <c r="C19" s="737"/>
      <c r="D19" s="800"/>
    </row>
    <row r="20" spans="2:4" ht="13" x14ac:dyDescent="0.3">
      <c r="B20" s="791" t="s">
        <v>225</v>
      </c>
      <c r="C20" s="737"/>
      <c r="D20" s="800"/>
    </row>
    <row r="21" spans="2:4" ht="13" x14ac:dyDescent="0.3">
      <c r="B21" s="791" t="s">
        <v>226</v>
      </c>
      <c r="C21" s="737"/>
      <c r="D21" s="800"/>
    </row>
    <row r="22" spans="2:4" ht="26" x14ac:dyDescent="0.3">
      <c r="B22" s="804" t="s">
        <v>227</v>
      </c>
      <c r="C22" s="801"/>
      <c r="D22" s="800"/>
    </row>
    <row r="23" spans="2:4" ht="13" x14ac:dyDescent="0.3">
      <c r="B23" s="804" t="s">
        <v>228</v>
      </c>
      <c r="C23" s="737"/>
      <c r="D23" s="800"/>
    </row>
    <row r="24" spans="2:4" ht="13.5" thickBot="1" x14ac:dyDescent="0.35">
      <c r="B24" s="796" t="s">
        <v>229</v>
      </c>
      <c r="C24" s="805"/>
      <c r="D24" s="800"/>
    </row>
    <row r="25" spans="2:4" ht="14" thickTop="1" thickBot="1" x14ac:dyDescent="0.35">
      <c r="B25" s="806"/>
      <c r="C25" s="800"/>
      <c r="D25" s="800"/>
    </row>
    <row r="26" spans="2:4" ht="13.5" thickTop="1" x14ac:dyDescent="0.3">
      <c r="B26" s="1696" t="s">
        <v>230</v>
      </c>
      <c r="C26" s="1697"/>
      <c r="D26" s="1698"/>
    </row>
    <row r="27" spans="2:4" ht="13" x14ac:dyDescent="0.3">
      <c r="B27" s="807" t="s">
        <v>231</v>
      </c>
      <c r="C27" s="808" t="s">
        <v>232</v>
      </c>
      <c r="D27" s="809" t="s">
        <v>1030</v>
      </c>
    </row>
    <row r="28" spans="2:4" x14ac:dyDescent="0.25">
      <c r="B28" s="810"/>
      <c r="C28" s="811"/>
      <c r="D28" s="737"/>
    </row>
    <row r="29" spans="2:4" x14ac:dyDescent="0.25">
      <c r="B29" s="812"/>
      <c r="C29" s="811"/>
      <c r="D29" s="737"/>
    </row>
    <row r="30" spans="2:4" x14ac:dyDescent="0.25">
      <c r="B30" s="812"/>
      <c r="C30" s="811"/>
      <c r="D30" s="737"/>
    </row>
    <row r="31" spans="2:4" x14ac:dyDescent="0.25">
      <c r="B31" s="812"/>
      <c r="C31" s="811"/>
      <c r="D31" s="737"/>
    </row>
    <row r="32" spans="2:4" x14ac:dyDescent="0.25">
      <c r="B32" s="812"/>
      <c r="C32" s="811"/>
      <c r="D32" s="737"/>
    </row>
    <row r="33" spans="2:4" ht="13" thickBot="1" x14ac:dyDescent="0.3">
      <c r="B33" s="813"/>
      <c r="C33" s="814"/>
      <c r="D33" s="805"/>
    </row>
  </sheetData>
  <mergeCells count="1">
    <mergeCell ref="B26:D26"/>
  </mergeCells>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2769" r:id="rId3" name="cmdInputSheet3">
          <controlPr defaultSize="0" autoLine="0" r:id="rId4">
            <anchor moveWithCells="1">
              <from>
                <xdr:col>3</xdr:col>
                <xdr:colOff>647700</xdr:colOff>
                <xdr:row>1</xdr:row>
                <xdr:rowOff>12700</xdr:rowOff>
              </from>
              <to>
                <xdr:col>3</xdr:col>
                <xdr:colOff>1987550</xdr:colOff>
                <xdr:row>2</xdr:row>
                <xdr:rowOff>44450</xdr:rowOff>
              </to>
            </anchor>
          </controlPr>
        </control>
      </mc:Choice>
      <mc:Fallback>
        <control shapeId="32769" r:id="rId3" name="cmdInputSheet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EF8E5CF-3FBC-4639-B789-46FCAB06DA57}">
  <ds:schemaRefs>
    <ds:schemaRef ds:uri="http://purl.org/dc/terms/"/>
    <ds:schemaRef ds:uri="http://schemas.microsoft.com/office/2006/metadata/properties"/>
    <ds:schemaRef ds:uri="http://schemas.microsoft.com/office/2006/documentManagement/types"/>
    <ds:schemaRef ds:uri="http://purl.org/dc/elements/1.1/"/>
    <ds:schemaRef ds:uri="http://schemas.openxmlformats.org/package/2006/metadata/core-properties"/>
    <ds:schemaRef ds:uri="d82b9494-d8c4-46c3-8d38-25b9e100fe6d"/>
    <ds:schemaRef ds:uri="http://www.w3.org/XML/1998/namespace"/>
    <ds:schemaRef ds:uri="http://purl.org/dc/dcmitype/"/>
  </ds:schemaRefs>
</ds:datastoreItem>
</file>

<file path=customXml/itemProps2.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4.xml><?xml version="1.0" encoding="utf-8"?>
<ds:datastoreItem xmlns:ds="http://schemas.openxmlformats.org/officeDocument/2006/customXml" ds:itemID="{5FD97086-85F3-44E1-B356-8D8C4A3E015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314</vt:i4>
      </vt:variant>
    </vt:vector>
  </HeadingPairs>
  <TitlesOfParts>
    <vt:vector size="336"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ProcessFlow - blank</vt:lpstr>
      <vt:lpstr>Description - blank</vt:lpstr>
      <vt:lpstr>Title - blank</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feedstockIndustrial_Natural_Gas_Price</vt:lpstr>
      <vt:lpstr>feedstockIndustrial_Natural_Gas_Usage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utilityIndustrial_Electricity_Price</vt:lpstr>
      <vt:lpstr>utilityIndustrial_Electricity_Usage</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Future Central Hydrogen Production from Natural Gas with CO2 Sequestration version 3.2018</dc:title>
  <dc:subject>DOE H2A production case study for future central hydrogen production from natural gas with CO2 sequestration.</dc:subject>
  <dc:creator>dsteward</dc:creator>
  <cp:lastModifiedBy>JRICKARD</cp:lastModifiedBy>
  <cp:lastPrinted>2008-09-22T17:50:40Z</cp:lastPrinted>
  <dcterms:created xsi:type="dcterms:W3CDTF">2007-03-27T19:45:13Z</dcterms:created>
  <dcterms:modified xsi:type="dcterms:W3CDTF">2018-11-27T16:34:24Z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